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ormh\Desktop\Silver Companies\Endeavour\"/>
    </mc:Choice>
  </mc:AlternateContent>
  <xr:revisionPtr revIDLastSave="0" documentId="13_ncr:1_{C64F33A0-A60B-464E-A9BC-AFD93CA71579}" xr6:coauthVersionLast="47" xr6:coauthVersionMax="47" xr10:uidLastSave="{00000000-0000-0000-0000-000000000000}"/>
  <bookViews>
    <workbookView xWindow="270" yWindow="4050" windowWidth="21600" windowHeight="11385" activeTab="1" xr2:uid="{D67631DF-B8E5-4AFE-9B1E-3013A7C84000}"/>
  </bookViews>
  <sheets>
    <sheet name="Valuation" sheetId="10" r:id="rId1"/>
    <sheet name="Central sheet " sheetId="8" r:id="rId2"/>
    <sheet name="DCF Guanacevi" sheetId="1" r:id="rId3"/>
    <sheet name="DCF Bolanitos" sheetId="6" r:id="rId4"/>
    <sheet name="DCF Terronera" sheetId="7" r:id="rId5"/>
    <sheet name="WACC" sheetId="5" r:id="rId6"/>
    <sheet name="Auxiliary" sheetId="2" r:id="rId7"/>
    <sheet name="Guidance vs resul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2" i="10" l="1"/>
  <c r="C4" i="10"/>
  <c r="C6" i="10" s="1"/>
  <c r="M54" i="8" l="1"/>
  <c r="Q46" i="8"/>
  <c r="C9" i="5"/>
  <c r="K88" i="7" l="1"/>
  <c r="J88" i="7"/>
  <c r="P71" i="6"/>
  <c r="M71" i="6"/>
  <c r="L71" i="6"/>
  <c r="R68" i="6"/>
  <c r="S68" i="6"/>
  <c r="T68" i="6"/>
  <c r="U68" i="6"/>
  <c r="V68" i="6"/>
  <c r="Q68" i="6"/>
  <c r="P68" i="1"/>
  <c r="P68" i="6"/>
  <c r="O68" i="6"/>
  <c r="N68" i="6"/>
  <c r="M68" i="6"/>
  <c r="L68" i="6"/>
  <c r="L64" i="6"/>
  <c r="I26" i="6"/>
  <c r="L32" i="6"/>
  <c r="F88" i="1"/>
  <c r="G88" i="1"/>
  <c r="H88" i="1"/>
  <c r="I88" i="1"/>
  <c r="J88" i="1"/>
  <c r="E88" i="1"/>
  <c r="Q68" i="1"/>
  <c r="R68" i="1"/>
  <c r="S68" i="1"/>
  <c r="T68" i="1"/>
  <c r="U68" i="1"/>
  <c r="V68" i="1"/>
  <c r="W68" i="1"/>
  <c r="L68" i="1"/>
  <c r="U64" i="1"/>
  <c r="T64" i="1"/>
  <c r="V64" i="1"/>
  <c r="W64" i="1"/>
  <c r="R64" i="1"/>
  <c r="Q64" i="1"/>
  <c r="P64" i="1"/>
  <c r="S64" i="1"/>
  <c r="L64" i="1" l="1"/>
  <c r="L56" i="1"/>
  <c r="J37" i="1"/>
  <c r="K19" i="1"/>
  <c r="K22" i="1"/>
  <c r="K23" i="1"/>
  <c r="K26" i="1"/>
  <c r="N58" i="8"/>
  <c r="O58" i="8"/>
  <c r="Y58" i="8"/>
  <c r="Z58" i="8"/>
  <c r="AA58" i="8"/>
  <c r="AB58" i="8"/>
  <c r="AC58" i="8"/>
  <c r="AH58" i="8"/>
  <c r="AI58" i="8"/>
  <c r="AJ58" i="8"/>
  <c r="M58" i="8"/>
  <c r="G60" i="8"/>
  <c r="H60" i="8"/>
  <c r="I60" i="8"/>
  <c r="J60" i="8"/>
  <c r="K60" i="8"/>
  <c r="F60" i="8"/>
  <c r="G43" i="8"/>
  <c r="H43" i="8"/>
  <c r="J43" i="8"/>
  <c r="F43" i="8"/>
  <c r="G42" i="8"/>
  <c r="G63" i="8" s="1"/>
  <c r="H42" i="8"/>
  <c r="H63" i="8" s="1"/>
  <c r="I42" i="8"/>
  <c r="I63" i="8" s="1"/>
  <c r="J42" i="8"/>
  <c r="J63" i="8" s="1"/>
  <c r="K42" i="8"/>
  <c r="F42" i="8"/>
  <c r="F63" i="8" s="1"/>
  <c r="P61" i="8"/>
  <c r="Q61" i="8"/>
  <c r="R61" i="8"/>
  <c r="S61" i="8"/>
  <c r="T61" i="8"/>
  <c r="U61" i="8"/>
  <c r="V61" i="8"/>
  <c r="W61" i="8"/>
  <c r="X61" i="8"/>
  <c r="Y61" i="8"/>
  <c r="Z61" i="8"/>
  <c r="AA61" i="8"/>
  <c r="AB61" i="8"/>
  <c r="AC61" i="8"/>
  <c r="AD61" i="8"/>
  <c r="AE61" i="8"/>
  <c r="AF61" i="8"/>
  <c r="AG61" i="8"/>
  <c r="AH61" i="8"/>
  <c r="AI61" i="8"/>
  <c r="AJ61" i="8"/>
  <c r="AK61" i="8"/>
  <c r="AL61" i="8"/>
  <c r="AM61" i="8"/>
  <c r="K53" i="8"/>
  <c r="J53" i="8"/>
  <c r="J51" i="8"/>
  <c r="I51" i="8"/>
  <c r="G87" i="6"/>
  <c r="H87" i="6"/>
  <c r="I87" i="6"/>
  <c r="J87" i="6"/>
  <c r="E87" i="6"/>
  <c r="F87" i="6"/>
  <c r="H51" i="8"/>
  <c r="G51" i="8"/>
  <c r="F51" i="8"/>
  <c r="M59" i="8"/>
  <c r="N59" i="8" s="1"/>
  <c r="O59" i="8" s="1"/>
  <c r="P59" i="8" s="1"/>
  <c r="Q59" i="8" s="1"/>
  <c r="R59" i="8" s="1"/>
  <c r="S59" i="8" s="1"/>
  <c r="T59" i="8" s="1"/>
  <c r="U59" i="8" s="1"/>
  <c r="V59" i="8" s="1"/>
  <c r="W59" i="8" s="1"/>
  <c r="X59" i="8" s="1"/>
  <c r="Y59" i="8" s="1"/>
  <c r="Z59" i="8" s="1"/>
  <c r="AA59" i="8" s="1"/>
  <c r="AB59" i="8" s="1"/>
  <c r="AC59" i="8" s="1"/>
  <c r="AD59" i="8" s="1"/>
  <c r="AE59" i="8" s="1"/>
  <c r="AF59" i="8" s="1"/>
  <c r="AG59" i="8" s="1"/>
  <c r="AH59" i="8" s="1"/>
  <c r="K51" i="8"/>
  <c r="F59" i="6"/>
  <c r="G59" i="6"/>
  <c r="H59" i="6"/>
  <c r="I59" i="6"/>
  <c r="J59" i="6"/>
  <c r="E59" i="6"/>
  <c r="F57" i="6"/>
  <c r="G57" i="6"/>
  <c r="H57" i="6"/>
  <c r="I57" i="6"/>
  <c r="J57" i="6"/>
  <c r="E57" i="6"/>
  <c r="AD53" i="8"/>
  <c r="AE53" i="8"/>
  <c r="AF53" i="8"/>
  <c r="AG53" i="8"/>
  <c r="AH53" i="8"/>
  <c r="AI53" i="8"/>
  <c r="AJ53" i="8"/>
  <c r="AK53" i="8"/>
  <c r="AL53" i="8"/>
  <c r="AM53" i="8"/>
  <c r="AD51" i="8"/>
  <c r="AE51" i="8"/>
  <c r="AF51" i="8"/>
  <c r="AG51" i="8"/>
  <c r="AH51" i="8"/>
  <c r="AI51" i="8"/>
  <c r="AJ51" i="8"/>
  <c r="AK51" i="8"/>
  <c r="AL51" i="8"/>
  <c r="AM5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M41" i="8"/>
  <c r="F36" i="8"/>
  <c r="G36" i="8"/>
  <c r="H36" i="8"/>
  <c r="I36" i="8"/>
  <c r="J36" i="8"/>
  <c r="K36" i="8"/>
  <c r="F29" i="8"/>
  <c r="F28" i="8"/>
  <c r="G29" i="8"/>
  <c r="G28" i="8"/>
  <c r="H29" i="8"/>
  <c r="H28" i="8"/>
  <c r="I31" i="8"/>
  <c r="I30" i="8"/>
  <c r="I43" i="8" s="1"/>
  <c r="I29" i="8"/>
  <c r="I28" i="8"/>
  <c r="I27" i="8"/>
  <c r="I26" i="8"/>
  <c r="J31" i="8"/>
  <c r="J30" i="8"/>
  <c r="J29" i="8"/>
  <c r="J28" i="8"/>
  <c r="AD47" i="8"/>
  <c r="AE47" i="8"/>
  <c r="AF47" i="8"/>
  <c r="AG47" i="8"/>
  <c r="AH47" i="8"/>
  <c r="AI47" i="8"/>
  <c r="AJ47" i="8"/>
  <c r="AK47" i="8"/>
  <c r="AL47" i="8"/>
  <c r="AM47" i="8"/>
  <c r="K47" i="8"/>
  <c r="K66" i="8" s="1"/>
  <c r="K44" i="8"/>
  <c r="J47" i="8"/>
  <c r="J66" i="8" s="1"/>
  <c r="J44" i="8"/>
  <c r="I47" i="8"/>
  <c r="I66" i="8" s="1"/>
  <c r="H47" i="8"/>
  <c r="H66" i="8" s="1"/>
  <c r="I44" i="8"/>
  <c r="H44" i="8"/>
  <c r="G47" i="8"/>
  <c r="G66" i="8" s="1"/>
  <c r="F47" i="8"/>
  <c r="F66" i="8" s="1"/>
  <c r="G44" i="8"/>
  <c r="F44" i="8"/>
  <c r="F46" i="8"/>
  <c r="G46" i="8"/>
  <c r="H46" i="8"/>
  <c r="I46" i="8"/>
  <c r="J46" i="8"/>
  <c r="F45" i="8"/>
  <c r="G45" i="8"/>
  <c r="H45" i="8"/>
  <c r="I45" i="8"/>
  <c r="J45" i="8"/>
  <c r="K46" i="8"/>
  <c r="K45" i="8"/>
  <c r="Y46" i="8"/>
  <c r="Z46" i="8"/>
  <c r="AA46" i="8"/>
  <c r="AB46" i="8"/>
  <c r="AC46" i="8"/>
  <c r="AD46" i="8"/>
  <c r="AE46" i="8"/>
  <c r="AF46" i="8"/>
  <c r="AG46" i="8"/>
  <c r="AH46" i="8"/>
  <c r="AI46" i="8"/>
  <c r="AJ46" i="8"/>
  <c r="AK46" i="8"/>
  <c r="AL46" i="8"/>
  <c r="AM46" i="8"/>
  <c r="P45" i="8"/>
  <c r="Y45" i="8"/>
  <c r="Z45" i="8"/>
  <c r="AA45" i="8"/>
  <c r="AB45" i="8"/>
  <c r="AC45" i="8"/>
  <c r="AD45" i="8"/>
  <c r="AE45" i="8"/>
  <c r="AF45" i="8"/>
  <c r="AG45" i="8"/>
  <c r="AH45" i="8"/>
  <c r="AI45" i="8"/>
  <c r="AJ45" i="8"/>
  <c r="AK45" i="8"/>
  <c r="AL45" i="8"/>
  <c r="AM45" i="8"/>
  <c r="Y44" i="8"/>
  <c r="Z44" i="8"/>
  <c r="AA44" i="8"/>
  <c r="AB44" i="8"/>
  <c r="AC44" i="8"/>
  <c r="AD44" i="8"/>
  <c r="AE44" i="8"/>
  <c r="AF44" i="8"/>
  <c r="AG44" i="8"/>
  <c r="AH44" i="8"/>
  <c r="AI44" i="8"/>
  <c r="AJ44" i="8"/>
  <c r="AK44" i="8"/>
  <c r="AL44" i="8"/>
  <c r="AM44" i="8"/>
  <c r="AD40" i="8"/>
  <c r="AE40" i="8"/>
  <c r="AF40" i="8"/>
  <c r="AG40" i="8"/>
  <c r="AH40" i="8"/>
  <c r="AH42" i="8" s="1"/>
  <c r="AI40" i="8"/>
  <c r="AI42" i="8" s="1"/>
  <c r="AJ40" i="8"/>
  <c r="AK40" i="8"/>
  <c r="AL40" i="8"/>
  <c r="AL42" i="8" s="1"/>
  <c r="AM40" i="8"/>
  <c r="J97" i="7"/>
  <c r="AD29" i="8"/>
  <c r="AE29" i="8"/>
  <c r="AF29" i="8"/>
  <c r="AG29" i="8"/>
  <c r="AH29" i="8"/>
  <c r="AI29" i="8"/>
  <c r="AJ29" i="8"/>
  <c r="AK29" i="8"/>
  <c r="AL29" i="8"/>
  <c r="AM29" i="8"/>
  <c r="AD28" i="8"/>
  <c r="AE28" i="8"/>
  <c r="AF28" i="8"/>
  <c r="AG28" i="8"/>
  <c r="AH28" i="8"/>
  <c r="AI28" i="8"/>
  <c r="AJ28" i="8"/>
  <c r="AK28" i="8"/>
  <c r="AL28" i="8"/>
  <c r="AM28" i="8"/>
  <c r="K81" i="6"/>
  <c r="K48" i="6"/>
  <c r="K47" i="6"/>
  <c r="K40" i="6"/>
  <c r="K39" i="6"/>
  <c r="K40" i="1"/>
  <c r="P29" i="6"/>
  <c r="Q29" i="6" s="1"/>
  <c r="R29" i="6" s="1"/>
  <c r="S29" i="6" s="1"/>
  <c r="W39" i="1"/>
  <c r="P29" i="1"/>
  <c r="Q29" i="1" s="1"/>
  <c r="K26" i="6"/>
  <c r="K23" i="6"/>
  <c r="K22" i="6"/>
  <c r="K19" i="6"/>
  <c r="K18" i="6"/>
  <c r="F35" i="7"/>
  <c r="F36" i="7"/>
  <c r="F43" i="7"/>
  <c r="F44" i="7"/>
  <c r="F57" i="7"/>
  <c r="F84" i="7"/>
  <c r="F83" i="7"/>
  <c r="F24" i="7"/>
  <c r="F22" i="7"/>
  <c r="F23" i="7"/>
  <c r="F7" i="7"/>
  <c r="M15" i="1"/>
  <c r="M56" i="1" s="1"/>
  <c r="N15" i="1"/>
  <c r="N56" i="1" s="1"/>
  <c r="L15" i="1"/>
  <c r="M15" i="6"/>
  <c r="N15" i="6"/>
  <c r="L15" i="6"/>
  <c r="M14" i="6"/>
  <c r="N14" i="6"/>
  <c r="O14" i="6"/>
  <c r="L14" i="6"/>
  <c r="M14" i="1"/>
  <c r="N14" i="1"/>
  <c r="O14" i="1"/>
  <c r="O55" i="1" s="1"/>
  <c r="L14" i="1"/>
  <c r="K37" i="8"/>
  <c r="Y31" i="8"/>
  <c r="Z31" i="8"/>
  <c r="AA31" i="8"/>
  <c r="AB31" i="8"/>
  <c r="AC31" i="8"/>
  <c r="AD31" i="8"/>
  <c r="AE31" i="8"/>
  <c r="AF31" i="8"/>
  <c r="AG31" i="8"/>
  <c r="AH31" i="8"/>
  <c r="AI31" i="8"/>
  <c r="AJ31" i="8"/>
  <c r="AK31" i="8"/>
  <c r="AL31" i="8"/>
  <c r="AM31" i="8"/>
  <c r="K31" i="8"/>
  <c r="Y30" i="8"/>
  <c r="Z30" i="8"/>
  <c r="AA30" i="8"/>
  <c r="AB30" i="8"/>
  <c r="AC30" i="8"/>
  <c r="AD30" i="8"/>
  <c r="AD63" i="8" s="1"/>
  <c r="AE30" i="8"/>
  <c r="AE63" i="8" s="1"/>
  <c r="AF30" i="8"/>
  <c r="AG30" i="8"/>
  <c r="AH30" i="8"/>
  <c r="AH63" i="8" s="1"/>
  <c r="AI30" i="8"/>
  <c r="AI63" i="8" s="1"/>
  <c r="AJ30" i="8"/>
  <c r="AK30" i="8"/>
  <c r="AL30" i="8"/>
  <c r="AL63" i="8" s="1"/>
  <c r="AM30" i="8"/>
  <c r="AM63" i="8" s="1"/>
  <c r="K30" i="8"/>
  <c r="K43" i="8" s="1"/>
  <c r="K23" i="8"/>
  <c r="K27" i="8" s="1"/>
  <c r="Y23" i="8"/>
  <c r="Y24" i="8" s="1"/>
  <c r="Z23" i="8"/>
  <c r="AA23" i="8"/>
  <c r="AA24" i="8" s="1"/>
  <c r="AB23" i="8"/>
  <c r="AB24" i="8" s="1"/>
  <c r="AC23" i="8"/>
  <c r="AC24" i="8" s="1"/>
  <c r="AD23" i="8"/>
  <c r="AD24" i="8" s="1"/>
  <c r="AE23" i="8"/>
  <c r="AE26" i="8" s="1"/>
  <c r="AF23" i="8"/>
  <c r="AF26" i="8" s="1"/>
  <c r="AG23" i="8"/>
  <c r="AG26" i="8" s="1"/>
  <c r="AH23" i="8"/>
  <c r="AH26" i="8" s="1"/>
  <c r="AI23" i="8"/>
  <c r="AI27" i="8" s="1"/>
  <c r="AJ23" i="8"/>
  <c r="AJ26" i="8" s="1"/>
  <c r="AK23" i="8"/>
  <c r="AK24" i="8" s="1"/>
  <c r="AL23" i="8"/>
  <c r="AL27" i="8" s="1"/>
  <c r="AM23" i="8"/>
  <c r="AM24" i="8" s="1"/>
  <c r="P15" i="8"/>
  <c r="Q15" i="8" s="1"/>
  <c r="R15" i="8" s="1"/>
  <c r="S15" i="8" s="1"/>
  <c r="T15" i="8" s="1"/>
  <c r="U15" i="8" s="1"/>
  <c r="V15" i="8" s="1"/>
  <c r="W15" i="8" s="1"/>
  <c r="V15" i="6" s="1"/>
  <c r="Q14" i="8"/>
  <c r="R14" i="8" s="1"/>
  <c r="S14" i="8" s="1"/>
  <c r="T14" i="8" s="1"/>
  <c r="U14" i="8" s="1"/>
  <c r="V14" i="8" s="1"/>
  <c r="W14" i="8" s="1"/>
  <c r="V14" i="6" s="1"/>
  <c r="G8" i="1"/>
  <c r="G7" i="1"/>
  <c r="H8" i="1"/>
  <c r="H7" i="1"/>
  <c r="V7" i="1"/>
  <c r="U7" i="1"/>
  <c r="N8" i="1"/>
  <c r="N7" i="1"/>
  <c r="O8" i="1"/>
  <c r="O7" i="1"/>
  <c r="G8" i="6"/>
  <c r="G7" i="6"/>
  <c r="H8" i="6"/>
  <c r="H7" i="6"/>
  <c r="O8" i="6"/>
  <c r="O7" i="6"/>
  <c r="N8" i="6"/>
  <c r="N7" i="6"/>
  <c r="V7" i="6"/>
  <c r="U7" i="6"/>
  <c r="M8" i="7"/>
  <c r="M7" i="7"/>
  <c r="L8" i="7"/>
  <c r="L7" i="7"/>
  <c r="E7" i="7"/>
  <c r="K8" i="7"/>
  <c r="K7" i="7"/>
  <c r="D7" i="7"/>
  <c r="H7" i="7" s="1"/>
  <c r="T7" i="6"/>
  <c r="M8" i="6"/>
  <c r="M7" i="6"/>
  <c r="F8" i="6"/>
  <c r="F7" i="6"/>
  <c r="T7" i="1"/>
  <c r="M8" i="1"/>
  <c r="M7" i="1"/>
  <c r="F8" i="1"/>
  <c r="F7" i="1"/>
  <c r="C5" i="8" s="1"/>
  <c r="W94" i="7"/>
  <c r="V94" i="7"/>
  <c r="U94" i="7"/>
  <c r="T94" i="7"/>
  <c r="S94" i="7"/>
  <c r="P94" i="7"/>
  <c r="Q94" i="7"/>
  <c r="R94" i="7"/>
  <c r="O94" i="7"/>
  <c r="N94" i="7"/>
  <c r="M94" i="7"/>
  <c r="L94" i="7"/>
  <c r="K94" i="7"/>
  <c r="AF90" i="7"/>
  <c r="AF97" i="7" s="1"/>
  <c r="AG90" i="7"/>
  <c r="AG97" i="7" s="1"/>
  <c r="AB90" i="7"/>
  <c r="AB97" i="7" s="1"/>
  <c r="AC90" i="7"/>
  <c r="AC97" i="7" s="1"/>
  <c r="AD90" i="7"/>
  <c r="AD97" i="7" s="1"/>
  <c r="AE90" i="7"/>
  <c r="AE97" i="7" s="1"/>
  <c r="AA90" i="7"/>
  <c r="AA97" i="7" s="1"/>
  <c r="Z90" i="7"/>
  <c r="Z97" i="7" s="1"/>
  <c r="Y90" i="7"/>
  <c r="Y97" i="7" s="1"/>
  <c r="X90" i="7"/>
  <c r="X97" i="7" s="1"/>
  <c r="W90" i="7"/>
  <c r="T89" i="7"/>
  <c r="S89" i="7"/>
  <c r="R89" i="7"/>
  <c r="Q89" i="7"/>
  <c r="P89" i="7"/>
  <c r="O89" i="7"/>
  <c r="N89" i="7"/>
  <c r="F89" i="7" s="1"/>
  <c r="M89" i="7"/>
  <c r="L89" i="7"/>
  <c r="K89" i="7"/>
  <c r="Q58" i="8" s="1"/>
  <c r="E88" i="7"/>
  <c r="H88" i="7" s="1"/>
  <c r="H64" i="7"/>
  <c r="I64" i="7"/>
  <c r="G64" i="7"/>
  <c r="F64" i="7" s="1"/>
  <c r="G88" i="7"/>
  <c r="M61" i="8" s="1"/>
  <c r="W69" i="7"/>
  <c r="M69" i="7"/>
  <c r="N69" i="7"/>
  <c r="O69" i="7"/>
  <c r="P69" i="7"/>
  <c r="Q69" i="7"/>
  <c r="R69" i="7"/>
  <c r="S69" i="7"/>
  <c r="T69" i="7"/>
  <c r="U69" i="7"/>
  <c r="V69" i="7"/>
  <c r="L69" i="7"/>
  <c r="K69" i="7"/>
  <c r="F69" i="7" s="1"/>
  <c r="W68" i="7"/>
  <c r="V68" i="7"/>
  <c r="U68" i="7"/>
  <c r="T68" i="7"/>
  <c r="S68" i="7"/>
  <c r="R68" i="7"/>
  <c r="Q68" i="7"/>
  <c r="P68" i="7"/>
  <c r="O68" i="7"/>
  <c r="N68" i="7"/>
  <c r="M68" i="7"/>
  <c r="L68" i="7"/>
  <c r="K68" i="7"/>
  <c r="F68" i="7" s="1"/>
  <c r="W67" i="7"/>
  <c r="V67" i="7"/>
  <c r="U67" i="7"/>
  <c r="T67" i="7"/>
  <c r="S67" i="7"/>
  <c r="R67" i="7"/>
  <c r="Q67" i="7"/>
  <c r="P67" i="7"/>
  <c r="O67" i="7"/>
  <c r="N67" i="7"/>
  <c r="M67" i="7"/>
  <c r="L67" i="7"/>
  <c r="K67" i="7"/>
  <c r="F67" i="7" s="1"/>
  <c r="W58" i="7"/>
  <c r="Q58" i="7"/>
  <c r="R58" i="7"/>
  <c r="S58" i="7"/>
  <c r="T58" i="7"/>
  <c r="U58" i="7"/>
  <c r="V58" i="7"/>
  <c r="P58" i="7"/>
  <c r="O58" i="7"/>
  <c r="F58" i="7" s="1"/>
  <c r="N58" i="7"/>
  <c r="M58" i="7"/>
  <c r="L58" i="7"/>
  <c r="K58" i="7"/>
  <c r="W56" i="7"/>
  <c r="V56" i="7"/>
  <c r="U56" i="7"/>
  <c r="T56" i="7"/>
  <c r="S56" i="7"/>
  <c r="R56" i="7"/>
  <c r="Q56" i="7"/>
  <c r="P56" i="7"/>
  <c r="O56" i="7"/>
  <c r="N56" i="7"/>
  <c r="M56" i="7"/>
  <c r="L56" i="7"/>
  <c r="F56" i="7" s="1"/>
  <c r="K56" i="7"/>
  <c r="W55" i="7"/>
  <c r="V55" i="7"/>
  <c r="U55" i="7"/>
  <c r="T55" i="7"/>
  <c r="S55" i="7"/>
  <c r="R55" i="7"/>
  <c r="Q55" i="7"/>
  <c r="P55" i="7"/>
  <c r="O55" i="7"/>
  <c r="N55" i="7"/>
  <c r="M55" i="7"/>
  <c r="L55" i="7"/>
  <c r="K55" i="7"/>
  <c r="F55" i="7" s="1"/>
  <c r="W54" i="7"/>
  <c r="V54" i="7"/>
  <c r="U54" i="7"/>
  <c r="T54" i="7"/>
  <c r="S54" i="7"/>
  <c r="R54" i="7"/>
  <c r="Q54" i="7"/>
  <c r="P54" i="7"/>
  <c r="O54" i="7"/>
  <c r="N54" i="7"/>
  <c r="M54" i="7"/>
  <c r="L54" i="7"/>
  <c r="K54" i="7"/>
  <c r="F54" i="7" s="1"/>
  <c r="N61" i="8" l="1"/>
  <c r="H97" i="7"/>
  <c r="J6" i="8"/>
  <c r="L6" i="8" s="1"/>
  <c r="K6" i="8"/>
  <c r="M6" i="8" s="1"/>
  <c r="G97" i="7"/>
  <c r="G98" i="7" s="1"/>
  <c r="I88" i="7"/>
  <c r="AM58" i="8"/>
  <c r="AE58" i="8"/>
  <c r="AK63" i="8"/>
  <c r="AJ63" i="8"/>
  <c r="F18" i="7"/>
  <c r="AF58" i="8"/>
  <c r="AL58" i="8"/>
  <c r="AD58" i="8"/>
  <c r="AK58" i="8"/>
  <c r="F90" i="7"/>
  <c r="Q5" i="8"/>
  <c r="S5" i="8" s="1"/>
  <c r="R5" i="8"/>
  <c r="AG58" i="8"/>
  <c r="K63" i="8"/>
  <c r="AG63" i="8"/>
  <c r="AF63" i="8"/>
  <c r="M60" i="8"/>
  <c r="AD42" i="8"/>
  <c r="N55" i="1"/>
  <c r="L55" i="1"/>
  <c r="M55" i="1"/>
  <c r="AE42" i="8"/>
  <c r="AC60" i="8"/>
  <c r="AB60" i="8"/>
  <c r="Y60" i="8"/>
  <c r="AM42" i="8"/>
  <c r="O60" i="8"/>
  <c r="AK42" i="8"/>
  <c r="AA60" i="8"/>
  <c r="Z60" i="8"/>
  <c r="N60" i="8"/>
  <c r="AI59" i="8"/>
  <c r="AJ59" i="8" s="1"/>
  <c r="AK59" i="8" s="1"/>
  <c r="AL59" i="8" s="1"/>
  <c r="AM59" i="8" s="1"/>
  <c r="AM60" i="8" s="1"/>
  <c r="AH60" i="8"/>
  <c r="AG60" i="8"/>
  <c r="AF60" i="8"/>
  <c r="AE60" i="8"/>
  <c r="AD60" i="8"/>
  <c r="AJ42" i="8"/>
  <c r="AG42" i="8"/>
  <c r="AF42" i="8"/>
  <c r="AM43" i="8"/>
  <c r="AL43" i="8"/>
  <c r="AH43" i="8"/>
  <c r="AF43" i="8"/>
  <c r="AK43" i="8"/>
  <c r="AI26" i="8"/>
  <c r="AD43" i="8"/>
  <c r="AJ43" i="8"/>
  <c r="AI43" i="8"/>
  <c r="AE43" i="8"/>
  <c r="AG43" i="8"/>
  <c r="AK27" i="8"/>
  <c r="AJ27" i="8"/>
  <c r="AM26" i="8"/>
  <c r="AL26" i="8"/>
  <c r="AH27" i="8"/>
  <c r="AK26" i="8"/>
  <c r="AG27" i="8"/>
  <c r="AF27" i="8"/>
  <c r="AE27" i="8"/>
  <c r="AD27" i="8"/>
  <c r="AM27" i="8"/>
  <c r="AD26" i="8"/>
  <c r="U14" i="6"/>
  <c r="S14" i="6"/>
  <c r="S15" i="1"/>
  <c r="S56" i="1" s="1"/>
  <c r="R14" i="6"/>
  <c r="Q15" i="1"/>
  <c r="Q56" i="1" s="1"/>
  <c r="P15" i="1"/>
  <c r="P56" i="1" s="1"/>
  <c r="X15" i="8"/>
  <c r="Y15" i="8" s="1"/>
  <c r="Z15" i="8" s="1"/>
  <c r="V14" i="1"/>
  <c r="T14" i="1"/>
  <c r="S14" i="1"/>
  <c r="T15" i="6"/>
  <c r="R15" i="6"/>
  <c r="Q15" i="6"/>
  <c r="U14" i="1"/>
  <c r="T14" i="6"/>
  <c r="S15" i="6"/>
  <c r="R15" i="1"/>
  <c r="R56" i="1" s="1"/>
  <c r="R14" i="1"/>
  <c r="Q14" i="6"/>
  <c r="P15" i="6"/>
  <c r="O15" i="1"/>
  <c r="O56" i="1" s="1"/>
  <c r="Q14" i="1"/>
  <c r="P14" i="6"/>
  <c r="O15" i="6"/>
  <c r="P14" i="1"/>
  <c r="V15" i="1"/>
  <c r="V56" i="1" s="1"/>
  <c r="X14" i="8"/>
  <c r="U15" i="1"/>
  <c r="U56" i="1" s="1"/>
  <c r="U15" i="6"/>
  <c r="T15" i="1"/>
  <c r="T56" i="1" s="1"/>
  <c r="K18" i="1"/>
  <c r="AH20" i="8"/>
  <c r="I37" i="8"/>
  <c r="T29" i="6"/>
  <c r="U29" i="6" s="1"/>
  <c r="V29" i="6" s="1"/>
  <c r="K29" i="6"/>
  <c r="J5" i="8"/>
  <c r="K5" i="8" s="1"/>
  <c r="H37" i="8"/>
  <c r="C6" i="8"/>
  <c r="G37" i="8"/>
  <c r="K25" i="8"/>
  <c r="F37" i="8"/>
  <c r="J37" i="8"/>
  <c r="AG24" i="8"/>
  <c r="AA25" i="8"/>
  <c r="AI24" i="8"/>
  <c r="AH24" i="8"/>
  <c r="Z25" i="8"/>
  <c r="Y25" i="8"/>
  <c r="AF24" i="8"/>
  <c r="Z24" i="8"/>
  <c r="AM25" i="8"/>
  <c r="AL25" i="8"/>
  <c r="AK25" i="8"/>
  <c r="AJ25" i="8"/>
  <c r="AL24" i="8"/>
  <c r="AI25" i="8"/>
  <c r="AJ24" i="8"/>
  <c r="AH25" i="8"/>
  <c r="AD25" i="8"/>
  <c r="K24" i="8"/>
  <c r="K26" i="8"/>
  <c r="AC25" i="8"/>
  <c r="AB25" i="8"/>
  <c r="AE24" i="8"/>
  <c r="AG25" i="8"/>
  <c r="AF25" i="8"/>
  <c r="AE25" i="8"/>
  <c r="D5" i="8"/>
  <c r="E5" i="8"/>
  <c r="G5" i="8" s="1"/>
  <c r="O61" i="8" l="1"/>
  <c r="L61" i="8" s="1"/>
  <c r="I97" i="7"/>
  <c r="F88" i="7"/>
  <c r="P55" i="1"/>
  <c r="R55" i="1"/>
  <c r="U55" i="1"/>
  <c r="Q55" i="1"/>
  <c r="S55" i="1"/>
  <c r="T55" i="1"/>
  <c r="V55" i="1"/>
  <c r="AJ20" i="8"/>
  <c r="AJ60" i="8"/>
  <c r="AI60" i="8"/>
  <c r="AL60" i="8"/>
  <c r="AK60" i="8"/>
  <c r="U5" i="8"/>
  <c r="AA20" i="8"/>
  <c r="AK20" i="8"/>
  <c r="AC20" i="8"/>
  <c r="T5" i="8"/>
  <c r="AE20" i="8"/>
  <c r="AI20" i="8"/>
  <c r="Z20" i="8"/>
  <c r="AM20" i="8"/>
  <c r="AF20" i="8"/>
  <c r="AA15" i="8"/>
  <c r="AA35" i="8" s="1"/>
  <c r="Y35" i="8"/>
  <c r="AL20" i="8"/>
  <c r="AD20" i="8"/>
  <c r="Y20" i="8"/>
  <c r="AG20" i="8"/>
  <c r="AB20" i="8"/>
  <c r="Z35" i="8"/>
  <c r="W15" i="1"/>
  <c r="K14" i="6"/>
  <c r="K15" i="6"/>
  <c r="D6" i="8"/>
  <c r="F6" i="8" s="1"/>
  <c r="E6" i="8"/>
  <c r="G6" i="8" s="1"/>
  <c r="G7" i="8" s="1"/>
  <c r="Y14" i="8"/>
  <c r="W14" i="1"/>
  <c r="N6" i="8"/>
  <c r="L5" i="8"/>
  <c r="N5" i="8" s="1"/>
  <c r="J7" i="8"/>
  <c r="Z19" i="8" s="1"/>
  <c r="C7" i="8"/>
  <c r="AE18" i="8" s="1"/>
  <c r="F5" i="8"/>
  <c r="M5" i="8"/>
  <c r="M7" i="8" s="1"/>
  <c r="K15" i="1" l="1"/>
  <c r="W56" i="1"/>
  <c r="K14" i="1"/>
  <c r="W55" i="1"/>
  <c r="N7" i="8"/>
  <c r="AB15" i="8"/>
  <c r="F7" i="8"/>
  <c r="AD19" i="8"/>
  <c r="AC19" i="8"/>
  <c r="K7" i="8"/>
  <c r="AM19" i="8"/>
  <c r="L7" i="8"/>
  <c r="D7" i="8"/>
  <c r="AG18" i="8"/>
  <c r="AH19" i="8"/>
  <c r="AB19" i="8"/>
  <c r="AA19" i="8"/>
  <c r="AK19" i="8"/>
  <c r="AE19" i="8"/>
  <c r="AF18" i="8"/>
  <c r="AM18" i="8"/>
  <c r="AL18" i="8"/>
  <c r="AK18" i="8"/>
  <c r="E7" i="8"/>
  <c r="AJ18" i="8"/>
  <c r="Y19" i="8"/>
  <c r="Z14" i="8"/>
  <c r="Y34" i="8"/>
  <c r="AI18" i="8"/>
  <c r="AJ19" i="8"/>
  <c r="AH18" i="8"/>
  <c r="AG19" i="8"/>
  <c r="AD18" i="8"/>
  <c r="AI19" i="8"/>
  <c r="AF19" i="8"/>
  <c r="AL19" i="8"/>
  <c r="Y37" i="8" l="1"/>
  <c r="Y36" i="8"/>
  <c r="AC15" i="8"/>
  <c r="AB35" i="8"/>
  <c r="AA14" i="8"/>
  <c r="Z34" i="8"/>
  <c r="AD15" i="8" l="1"/>
  <c r="AC35" i="8"/>
  <c r="Z37" i="8"/>
  <c r="Z36" i="8"/>
  <c r="AB14" i="8"/>
  <c r="AA34" i="8"/>
  <c r="AA37" i="8" l="1"/>
  <c r="AA36" i="8"/>
  <c r="AE15" i="8"/>
  <c r="AD35" i="8"/>
  <c r="AC14" i="8"/>
  <c r="AB34" i="8"/>
  <c r="AF15" i="8" l="1"/>
  <c r="AE35" i="8"/>
  <c r="AB37" i="8"/>
  <c r="AB36" i="8"/>
  <c r="AD14" i="8"/>
  <c r="AC34" i="8"/>
  <c r="AC37" i="8" l="1"/>
  <c r="AC36" i="8"/>
  <c r="AG15" i="8"/>
  <c r="AF35" i="8"/>
  <c r="AE14" i="8"/>
  <c r="AD34" i="8"/>
  <c r="AH15" i="8" l="1"/>
  <c r="AG35" i="8"/>
  <c r="AD37" i="8"/>
  <c r="AD36" i="8"/>
  <c r="AD48" i="8" s="1"/>
  <c r="AD52" i="8" s="1"/>
  <c r="AF14" i="8"/>
  <c r="AE34" i="8"/>
  <c r="AE37" i="8" l="1"/>
  <c r="AE36" i="8"/>
  <c r="AE48" i="8" s="1"/>
  <c r="AE52" i="8" s="1"/>
  <c r="AI15" i="8"/>
  <c r="AH35" i="8"/>
  <c r="AG14" i="8"/>
  <c r="AF34" i="8"/>
  <c r="AF37" i="8" l="1"/>
  <c r="AF36" i="8"/>
  <c r="AF48" i="8" s="1"/>
  <c r="AF52" i="8" s="1"/>
  <c r="AJ15" i="8"/>
  <c r="AI35" i="8"/>
  <c r="AH14" i="8"/>
  <c r="AG34" i="8"/>
  <c r="AK15" i="8" l="1"/>
  <c r="AJ35" i="8"/>
  <c r="AG37" i="8"/>
  <c r="AG36" i="8"/>
  <c r="AG48" i="8" s="1"/>
  <c r="AG52" i="8" s="1"/>
  <c r="AI14" i="8"/>
  <c r="AH34" i="8"/>
  <c r="AH37" i="8" l="1"/>
  <c r="AH36" i="8"/>
  <c r="AH48" i="8" s="1"/>
  <c r="AH52" i="8" s="1"/>
  <c r="AL15" i="8"/>
  <c r="AK35" i="8"/>
  <c r="AJ14" i="8"/>
  <c r="AI34" i="8"/>
  <c r="AI37" i="8" l="1"/>
  <c r="AI36" i="8"/>
  <c r="AI48" i="8" s="1"/>
  <c r="AI52" i="8" s="1"/>
  <c r="AM15" i="8"/>
  <c r="AL35" i="8"/>
  <c r="AK14" i="8"/>
  <c r="AJ34" i="8"/>
  <c r="AJ37" i="8" l="1"/>
  <c r="AJ36" i="8"/>
  <c r="AJ48" i="8" s="1"/>
  <c r="AJ52" i="8" s="1"/>
  <c r="AM35" i="8"/>
  <c r="L15" i="8"/>
  <c r="AL14" i="8"/>
  <c r="AK34" i="8"/>
  <c r="W63" i="7"/>
  <c r="AC47" i="8" s="1"/>
  <c r="V63" i="7"/>
  <c r="AB47" i="8" s="1"/>
  <c r="U63" i="7"/>
  <c r="AA47" i="8" s="1"/>
  <c r="T63" i="7"/>
  <c r="Z47" i="8" s="1"/>
  <c r="S63" i="7"/>
  <c r="Y47" i="8" s="1"/>
  <c r="R63" i="7"/>
  <c r="Q63" i="7"/>
  <c r="P63" i="7"/>
  <c r="O63" i="7"/>
  <c r="N63" i="7"/>
  <c r="M63" i="7"/>
  <c r="L63" i="7"/>
  <c r="L62" i="7"/>
  <c r="M62" i="7"/>
  <c r="N62" i="7"/>
  <c r="O62" i="7"/>
  <c r="P62" i="7"/>
  <c r="P73" i="7" s="1"/>
  <c r="Q62" i="7"/>
  <c r="R62" i="7"/>
  <c r="S62" i="7"/>
  <c r="T62" i="7"/>
  <c r="T73" i="7" s="1"/>
  <c r="U62" i="7"/>
  <c r="V62" i="7"/>
  <c r="V73" i="7" s="1"/>
  <c r="W62" i="7"/>
  <c r="K62" i="7"/>
  <c r="F62" i="7" s="1"/>
  <c r="AB40" i="8" l="1"/>
  <c r="Z40" i="8"/>
  <c r="F63" i="7"/>
  <c r="AK37" i="8"/>
  <c r="AK36" i="8"/>
  <c r="AK48" i="8" s="1"/>
  <c r="AK52" i="8" s="1"/>
  <c r="AM14" i="8"/>
  <c r="AL34" i="8"/>
  <c r="U73" i="7"/>
  <c r="O73" i="7"/>
  <c r="S73" i="7"/>
  <c r="Q73" i="7"/>
  <c r="L73" i="7"/>
  <c r="R73" i="7"/>
  <c r="W73" i="7"/>
  <c r="K73" i="7"/>
  <c r="N73" i="7"/>
  <c r="M73" i="7"/>
  <c r="T72" i="7"/>
  <c r="V72" i="7"/>
  <c r="P72" i="7"/>
  <c r="Z42" i="8" l="1"/>
  <c r="Z43" i="8"/>
  <c r="Z48" i="8"/>
  <c r="AB42" i="8"/>
  <c r="AB43" i="8"/>
  <c r="AB48" i="8"/>
  <c r="AA40" i="8"/>
  <c r="Y40" i="8"/>
  <c r="F73" i="7"/>
  <c r="AC40" i="8"/>
  <c r="AL37" i="8"/>
  <c r="AL36" i="8"/>
  <c r="AL48" i="8" s="1"/>
  <c r="AL52" i="8" s="1"/>
  <c r="AM34" i="8"/>
  <c r="L14" i="8"/>
  <c r="U72" i="7"/>
  <c r="Q72" i="7"/>
  <c r="S72" i="7"/>
  <c r="R72" i="7"/>
  <c r="K72" i="7"/>
  <c r="N72" i="7"/>
  <c r="W72" i="7"/>
  <c r="L72" i="7"/>
  <c r="O72" i="7"/>
  <c r="M72" i="7"/>
  <c r="L40" i="7"/>
  <c r="M40" i="7"/>
  <c r="N40" i="7"/>
  <c r="O40" i="7"/>
  <c r="P40" i="7"/>
  <c r="Q40" i="7"/>
  <c r="R40" i="7"/>
  <c r="S40" i="7"/>
  <c r="Y29" i="8" s="1"/>
  <c r="T40" i="7"/>
  <c r="Z29" i="8" s="1"/>
  <c r="U40" i="7"/>
  <c r="AA29" i="8" s="1"/>
  <c r="V40" i="7"/>
  <c r="AB29" i="8" s="1"/>
  <c r="W40" i="7"/>
  <c r="AC29" i="8" s="1"/>
  <c r="K40" i="7"/>
  <c r="L39" i="7"/>
  <c r="M39" i="7"/>
  <c r="N39" i="7"/>
  <c r="O39" i="7"/>
  <c r="P39" i="7"/>
  <c r="Q39" i="7"/>
  <c r="R39" i="7"/>
  <c r="S39" i="7"/>
  <c r="Y28" i="8" s="1"/>
  <c r="T39" i="7"/>
  <c r="Z28" i="8" s="1"/>
  <c r="U39" i="7"/>
  <c r="AA28" i="8" s="1"/>
  <c r="V39" i="7"/>
  <c r="AB28" i="8" s="1"/>
  <c r="W39" i="7"/>
  <c r="AC28" i="8" s="1"/>
  <c r="K39" i="7"/>
  <c r="L28" i="7"/>
  <c r="L32" i="7" s="1"/>
  <c r="M28" i="7"/>
  <c r="M32" i="7" s="1"/>
  <c r="N28" i="7"/>
  <c r="N32" i="7" s="1"/>
  <c r="O28" i="7"/>
  <c r="O32" i="7" s="1"/>
  <c r="P28" i="7"/>
  <c r="P32" i="7" s="1"/>
  <c r="Q28" i="7"/>
  <c r="Q32" i="7" s="1"/>
  <c r="R28" i="7"/>
  <c r="R32" i="7" s="1"/>
  <c r="S28" i="7"/>
  <c r="S32" i="7" s="1"/>
  <c r="Y27" i="8" s="1"/>
  <c r="T28" i="7"/>
  <c r="T32" i="7" s="1"/>
  <c r="Z27" i="8" s="1"/>
  <c r="U28" i="7"/>
  <c r="U32" i="7" s="1"/>
  <c r="AA27" i="8" s="1"/>
  <c r="V28" i="7"/>
  <c r="V32" i="7" s="1"/>
  <c r="AB27" i="8" s="1"/>
  <c r="W28" i="7"/>
  <c r="W32" i="7" s="1"/>
  <c r="AC27" i="8" s="1"/>
  <c r="K28" i="7"/>
  <c r="L27" i="7"/>
  <c r="L31" i="7" s="1"/>
  <c r="M27" i="7"/>
  <c r="M31" i="7" s="1"/>
  <c r="N27" i="7"/>
  <c r="N31" i="7" s="1"/>
  <c r="O27" i="7"/>
  <c r="O31" i="7" s="1"/>
  <c r="P27" i="7"/>
  <c r="P31" i="7" s="1"/>
  <c r="Q27" i="7"/>
  <c r="Q31" i="7" s="1"/>
  <c r="R27" i="7"/>
  <c r="R31" i="7" s="1"/>
  <c r="S27" i="7"/>
  <c r="S31" i="7" s="1"/>
  <c r="Y26" i="8" s="1"/>
  <c r="T27" i="7"/>
  <c r="T31" i="7" s="1"/>
  <c r="Z26" i="8" s="1"/>
  <c r="U27" i="7"/>
  <c r="U31" i="7" s="1"/>
  <c r="AA26" i="8" s="1"/>
  <c r="V27" i="7"/>
  <c r="V31" i="7" s="1"/>
  <c r="AB26" i="8" s="1"/>
  <c r="W27" i="7"/>
  <c r="W31" i="7" s="1"/>
  <c r="AC26" i="8" s="1"/>
  <c r="K27" i="7"/>
  <c r="V21" i="7"/>
  <c r="W21" i="7"/>
  <c r="U21" i="7"/>
  <c r="T21" i="7"/>
  <c r="R21" i="7"/>
  <c r="S21" i="7"/>
  <c r="Q21" i="7"/>
  <c r="P21" i="7"/>
  <c r="N21" i="7"/>
  <c r="O21" i="7"/>
  <c r="M21" i="7"/>
  <c r="L21" i="7"/>
  <c r="K21" i="7"/>
  <c r="E18" i="7"/>
  <c r="G18" i="7" s="1"/>
  <c r="H18" i="7" s="1"/>
  <c r="I18" i="7" s="1"/>
  <c r="J18" i="7" s="1"/>
  <c r="K18" i="7" s="1"/>
  <c r="L18" i="7" s="1"/>
  <c r="M18" i="7" s="1"/>
  <c r="N18" i="7" s="1"/>
  <c r="O18" i="7" s="1"/>
  <c r="P18" i="7" s="1"/>
  <c r="Q18" i="7" s="1"/>
  <c r="R18" i="7" s="1"/>
  <c r="F40" i="7" l="1"/>
  <c r="Y42" i="8"/>
  <c r="Y43" i="8"/>
  <c r="Y48" i="8"/>
  <c r="K31" i="7"/>
  <c r="F31" i="7" s="1"/>
  <c r="F27" i="7"/>
  <c r="F72" i="7"/>
  <c r="F39" i="7"/>
  <c r="AC42" i="8"/>
  <c r="AC43" i="8"/>
  <c r="AC48" i="8"/>
  <c r="F21" i="7"/>
  <c r="AA42" i="8"/>
  <c r="AA43" i="8"/>
  <c r="AA48" i="8"/>
  <c r="K32" i="7"/>
  <c r="F32" i="7" s="1"/>
  <c r="F28" i="7"/>
  <c r="AM37" i="8"/>
  <c r="AM36" i="8"/>
  <c r="AM48" i="8" s="1"/>
  <c r="AM52" i="8" s="1"/>
  <c r="S18" i="7"/>
  <c r="J15" i="7"/>
  <c r="K14" i="7"/>
  <c r="G7" i="7"/>
  <c r="K9" i="7"/>
  <c r="M9" i="7" s="1"/>
  <c r="O8" i="7"/>
  <c r="N8" i="7"/>
  <c r="O7" i="7"/>
  <c r="N7" i="7"/>
  <c r="F90" i="6"/>
  <c r="G90" i="6"/>
  <c r="H90" i="6"/>
  <c r="I90" i="6"/>
  <c r="J90" i="6"/>
  <c r="E90" i="6"/>
  <c r="N71" i="6"/>
  <c r="O71" i="6" s="1"/>
  <c r="M85" i="6"/>
  <c r="N85" i="6"/>
  <c r="L85" i="6"/>
  <c r="E81" i="6"/>
  <c r="F81" i="6"/>
  <c r="H81" i="6"/>
  <c r="I81" i="6"/>
  <c r="J81" i="6"/>
  <c r="F73" i="6"/>
  <c r="G73" i="6"/>
  <c r="H73" i="6"/>
  <c r="I73" i="6"/>
  <c r="J73" i="6"/>
  <c r="E73" i="6"/>
  <c r="O69" i="6"/>
  <c r="M69" i="6"/>
  <c r="N69" i="6"/>
  <c r="L69" i="6"/>
  <c r="L70" i="6"/>
  <c r="F66" i="6"/>
  <c r="G66" i="6"/>
  <c r="H66" i="6"/>
  <c r="I66" i="6"/>
  <c r="J66" i="6"/>
  <c r="E66" i="6"/>
  <c r="J65" i="1"/>
  <c r="K15" i="7" l="1"/>
  <c r="K74" i="7" s="1"/>
  <c r="M44" i="8"/>
  <c r="T18" i="7"/>
  <c r="Y18" i="8"/>
  <c r="L14" i="7"/>
  <c r="K47" i="7"/>
  <c r="L15" i="7"/>
  <c r="N9" i="7"/>
  <c r="O9" i="7"/>
  <c r="L9" i="7"/>
  <c r="K48" i="7" l="1"/>
  <c r="U18" i="7"/>
  <c r="Z18" i="8"/>
  <c r="L74" i="7"/>
  <c r="M15" i="7"/>
  <c r="L48" i="7"/>
  <c r="M14" i="7"/>
  <c r="L47" i="7"/>
  <c r="F64" i="6"/>
  <c r="G64" i="6"/>
  <c r="H64" i="6"/>
  <c r="I64" i="6"/>
  <c r="J64" i="6"/>
  <c r="E64" i="6"/>
  <c r="K49" i="7" l="1"/>
  <c r="V18" i="7"/>
  <c r="AA18" i="8"/>
  <c r="L49" i="7"/>
  <c r="L78" i="7" s="1"/>
  <c r="M74" i="7"/>
  <c r="K51" i="7"/>
  <c r="N14" i="7"/>
  <c r="M47" i="7"/>
  <c r="N15" i="7"/>
  <c r="M48" i="7"/>
  <c r="M64" i="6"/>
  <c r="L18" i="6"/>
  <c r="M18" i="6" s="1"/>
  <c r="N18" i="6" s="1"/>
  <c r="M39" i="6"/>
  <c r="N39" i="6"/>
  <c r="L39" i="6"/>
  <c r="K78" i="7" l="1"/>
  <c r="K79" i="7"/>
  <c r="K59" i="7"/>
  <c r="N74" i="7"/>
  <c r="W18" i="7"/>
  <c r="AC18" i="8" s="1"/>
  <c r="AB18" i="8"/>
  <c r="K77" i="7"/>
  <c r="L59" i="7"/>
  <c r="L79" i="7"/>
  <c r="L51" i="7"/>
  <c r="M49" i="7"/>
  <c r="M78" i="7" s="1"/>
  <c r="O15" i="7"/>
  <c r="N48" i="7"/>
  <c r="O14" i="7"/>
  <c r="N47" i="7"/>
  <c r="N64" i="6"/>
  <c r="O18" i="6"/>
  <c r="K82" i="7" l="1"/>
  <c r="K91" i="7"/>
  <c r="L77" i="7"/>
  <c r="M59" i="7"/>
  <c r="M79" i="7"/>
  <c r="N49" i="7"/>
  <c r="N51" i="7"/>
  <c r="O74" i="7"/>
  <c r="M51" i="7"/>
  <c r="P14" i="7"/>
  <c r="O47" i="7"/>
  <c r="P15" i="7"/>
  <c r="O48" i="7"/>
  <c r="O64" i="6"/>
  <c r="P18" i="6"/>
  <c r="K85" i="7" l="1"/>
  <c r="N78" i="7"/>
  <c r="L82" i="7"/>
  <c r="L91" i="7"/>
  <c r="P74" i="7"/>
  <c r="M77" i="7"/>
  <c r="N59" i="7"/>
  <c r="N79" i="7"/>
  <c r="Q15" i="7"/>
  <c r="P48" i="7"/>
  <c r="O49" i="7"/>
  <c r="O78" i="7" s="1"/>
  <c r="Q14" i="7"/>
  <c r="P47" i="7"/>
  <c r="Q18" i="6"/>
  <c r="K97" i="7" l="1"/>
  <c r="M82" i="7"/>
  <c r="M91" i="7"/>
  <c r="L85" i="7"/>
  <c r="L97" i="7" s="1"/>
  <c r="N77" i="7"/>
  <c r="O59" i="7"/>
  <c r="O79" i="7"/>
  <c r="P49" i="7"/>
  <c r="Q74" i="7"/>
  <c r="O51" i="7"/>
  <c r="Q47" i="7"/>
  <c r="R14" i="7"/>
  <c r="Q48" i="7"/>
  <c r="R15" i="7"/>
  <c r="R18" i="6"/>
  <c r="P78" i="7" l="1"/>
  <c r="M85" i="7"/>
  <c r="N82" i="7"/>
  <c r="N91" i="7"/>
  <c r="P51" i="7"/>
  <c r="R74" i="7"/>
  <c r="O77" i="7"/>
  <c r="P59" i="7"/>
  <c r="P79" i="7"/>
  <c r="S15" i="7"/>
  <c r="R48" i="7"/>
  <c r="R47" i="7"/>
  <c r="S14" i="7"/>
  <c r="Q49" i="7"/>
  <c r="Q78" i="7" s="1"/>
  <c r="S18" i="6"/>
  <c r="O82" i="7" l="1"/>
  <c r="O91" i="7"/>
  <c r="M97" i="7"/>
  <c r="N97" i="7"/>
  <c r="N85" i="7"/>
  <c r="P77" i="7"/>
  <c r="Q59" i="7"/>
  <c r="Q79" i="7"/>
  <c r="R49" i="7"/>
  <c r="R78" i="7" s="1"/>
  <c r="S74" i="7"/>
  <c r="Q51" i="7"/>
  <c r="T14" i="7"/>
  <c r="S47" i="7"/>
  <c r="T15" i="7"/>
  <c r="S48" i="7"/>
  <c r="T18" i="6"/>
  <c r="O85" i="7" l="1"/>
  <c r="O97" i="7" s="1"/>
  <c r="P82" i="7"/>
  <c r="P91" i="7"/>
  <c r="T74" i="7"/>
  <c r="Q77" i="7"/>
  <c r="R59" i="7"/>
  <c r="R79" i="7"/>
  <c r="R51" i="7"/>
  <c r="S49" i="7"/>
  <c r="S78" i="7" s="1"/>
  <c r="U15" i="7"/>
  <c r="T48" i="7"/>
  <c r="U14" i="7"/>
  <c r="T47" i="7"/>
  <c r="U18" i="6"/>
  <c r="P85" i="7" l="1"/>
  <c r="P97" i="7" s="1"/>
  <c r="Q82" i="7"/>
  <c r="Q91" i="7"/>
  <c r="R77" i="7"/>
  <c r="U74" i="7"/>
  <c r="T49" i="7"/>
  <c r="T78" i="7" s="1"/>
  <c r="S59" i="7"/>
  <c r="S79" i="7"/>
  <c r="S51" i="7"/>
  <c r="V14" i="7"/>
  <c r="U47" i="7"/>
  <c r="V15" i="7"/>
  <c r="U48" i="7"/>
  <c r="V18" i="6"/>
  <c r="O30" i="6"/>
  <c r="N30" i="6"/>
  <c r="M30" i="6"/>
  <c r="L30" i="6"/>
  <c r="J48" i="6"/>
  <c r="J47" i="6"/>
  <c r="J36" i="6"/>
  <c r="J35" i="6"/>
  <c r="J29" i="6"/>
  <c r="I48" i="6"/>
  <c r="I47" i="6"/>
  <c r="H47" i="6"/>
  <c r="I29" i="6"/>
  <c r="I36" i="6"/>
  <c r="I35" i="6"/>
  <c r="F48" i="6"/>
  <c r="G48" i="6"/>
  <c r="H48" i="6"/>
  <c r="E48" i="6"/>
  <c r="F47" i="6"/>
  <c r="G47" i="6"/>
  <c r="E47" i="6"/>
  <c r="H29" i="6"/>
  <c r="G29" i="6"/>
  <c r="G36" i="6"/>
  <c r="H36" i="6"/>
  <c r="G35" i="6"/>
  <c r="H35" i="6"/>
  <c r="F36" i="6"/>
  <c r="F35" i="6"/>
  <c r="E36" i="6"/>
  <c r="E35" i="6"/>
  <c r="F29" i="6"/>
  <c r="E29" i="6"/>
  <c r="J26" i="6"/>
  <c r="L26" i="6" s="1"/>
  <c r="J23" i="6"/>
  <c r="L23" i="6" s="1"/>
  <c r="J22" i="6"/>
  <c r="L22" i="6" s="1"/>
  <c r="J19" i="6"/>
  <c r="L19" i="6" s="1"/>
  <c r="M9" i="6"/>
  <c r="O9" i="6" s="1"/>
  <c r="F9" i="6"/>
  <c r="G9" i="6" s="1"/>
  <c r="Q8" i="6"/>
  <c r="P8" i="6"/>
  <c r="J8" i="6"/>
  <c r="I8" i="6"/>
  <c r="X7" i="6"/>
  <c r="W7" i="6"/>
  <c r="Q7" i="6"/>
  <c r="P7" i="6"/>
  <c r="J7" i="6"/>
  <c r="I7" i="6"/>
  <c r="C19" i="5"/>
  <c r="C15" i="5"/>
  <c r="F91" i="1"/>
  <c r="G91" i="1"/>
  <c r="H91" i="1"/>
  <c r="I91" i="1"/>
  <c r="J91" i="1"/>
  <c r="E91" i="1"/>
  <c r="M69" i="1"/>
  <c r="N45" i="8" s="1"/>
  <c r="N69" i="1"/>
  <c r="O45" i="8" s="1"/>
  <c r="L69" i="1"/>
  <c r="J82" i="1"/>
  <c r="I82" i="1"/>
  <c r="E73" i="1"/>
  <c r="F73" i="1"/>
  <c r="G73" i="1"/>
  <c r="H73" i="1"/>
  <c r="I73" i="1"/>
  <c r="J73" i="1"/>
  <c r="M86" i="1"/>
  <c r="N86" i="1"/>
  <c r="O86" i="1" s="1"/>
  <c r="L86" i="1"/>
  <c r="M68" i="1"/>
  <c r="O70" i="1"/>
  <c r="P46" i="8" s="1"/>
  <c r="N70" i="1"/>
  <c r="O46" i="8" s="1"/>
  <c r="M70" i="1"/>
  <c r="N46" i="8" s="1"/>
  <c r="L70" i="1"/>
  <c r="F66" i="1"/>
  <c r="G66" i="1"/>
  <c r="H66" i="1"/>
  <c r="I66" i="1"/>
  <c r="E66" i="1"/>
  <c r="J66" i="1"/>
  <c r="F64" i="1"/>
  <c r="G64" i="1"/>
  <c r="H64" i="1"/>
  <c r="E64" i="1"/>
  <c r="I64" i="1"/>
  <c r="M82" i="1"/>
  <c r="R82" i="7" l="1"/>
  <c r="R91" i="7"/>
  <c r="Q85" i="7"/>
  <c r="Q97" i="7" s="1"/>
  <c r="N68" i="1"/>
  <c r="N44" i="8"/>
  <c r="M45" i="8"/>
  <c r="N82" i="1"/>
  <c r="O82" i="1" s="1"/>
  <c r="P82" i="1" s="1"/>
  <c r="Q82" i="1" s="1"/>
  <c r="R82" i="1" s="1"/>
  <c r="S82" i="1" s="1"/>
  <c r="T82" i="1" s="1"/>
  <c r="U82" i="1" s="1"/>
  <c r="V82" i="1" s="1"/>
  <c r="W82" i="1" s="1"/>
  <c r="K82" i="1"/>
  <c r="M46" i="8"/>
  <c r="L71" i="1"/>
  <c r="T51" i="7"/>
  <c r="V74" i="7"/>
  <c r="S77" i="7"/>
  <c r="T59" i="7"/>
  <c r="T79" i="7"/>
  <c r="W15" i="7"/>
  <c r="V48" i="7"/>
  <c r="U49" i="7"/>
  <c r="U78" i="7" s="1"/>
  <c r="W14" i="7"/>
  <c r="V47" i="7"/>
  <c r="L65" i="6"/>
  <c r="L73" i="6" s="1"/>
  <c r="M36" i="6"/>
  <c r="M44" i="6" s="1"/>
  <c r="M35" i="6"/>
  <c r="M43" i="6" s="1"/>
  <c r="M65" i="6"/>
  <c r="M73" i="6" s="1"/>
  <c r="M22" i="6"/>
  <c r="M19" i="6"/>
  <c r="N35" i="6"/>
  <c r="N43" i="6" s="1"/>
  <c r="N51" i="6" s="1"/>
  <c r="N36" i="6"/>
  <c r="N44" i="6" s="1"/>
  <c r="N52" i="6" s="1"/>
  <c r="N56" i="6" s="1"/>
  <c r="N65" i="6"/>
  <c r="O70" i="6"/>
  <c r="O65" i="6"/>
  <c r="V48" i="6"/>
  <c r="L48" i="6"/>
  <c r="M48" i="6"/>
  <c r="T48" i="6"/>
  <c r="U48" i="6"/>
  <c r="N48" i="6"/>
  <c r="S48" i="6"/>
  <c r="O48" i="6"/>
  <c r="P48" i="6"/>
  <c r="Q48" i="6"/>
  <c r="R48" i="6"/>
  <c r="V47" i="6"/>
  <c r="M47" i="6"/>
  <c r="N47" i="6"/>
  <c r="R47" i="6"/>
  <c r="O47" i="6"/>
  <c r="P47" i="6"/>
  <c r="S47" i="6"/>
  <c r="L47" i="6"/>
  <c r="Q47" i="6"/>
  <c r="T47" i="6"/>
  <c r="U47" i="6"/>
  <c r="M23" i="6"/>
  <c r="M26" i="6"/>
  <c r="L35" i="6"/>
  <c r="L43" i="6" s="1"/>
  <c r="L36" i="6"/>
  <c r="L44" i="6" s="1"/>
  <c r="L52" i="6" s="1"/>
  <c r="L56" i="6" s="1"/>
  <c r="Q9" i="6"/>
  <c r="P9" i="6"/>
  <c r="I9" i="6"/>
  <c r="J9" i="6"/>
  <c r="H9" i="6"/>
  <c r="N9" i="6"/>
  <c r="C21" i="5"/>
  <c r="C22" i="5" s="1"/>
  <c r="J64" i="1"/>
  <c r="S82" i="7" l="1"/>
  <c r="Y51" i="8"/>
  <c r="S91" i="7"/>
  <c r="F15" i="7"/>
  <c r="W47" i="7"/>
  <c r="F47" i="7" s="1"/>
  <c r="F14" i="7"/>
  <c r="R85" i="7"/>
  <c r="R97" i="7" s="1"/>
  <c r="C9" i="8"/>
  <c r="D4" i="7"/>
  <c r="D4" i="6"/>
  <c r="D4" i="1"/>
  <c r="M71" i="1"/>
  <c r="M47" i="8"/>
  <c r="O68" i="1"/>
  <c r="O44" i="8"/>
  <c r="L51" i="6"/>
  <c r="L66" i="6" s="1"/>
  <c r="M52" i="6"/>
  <c r="M56" i="6" s="1"/>
  <c r="O73" i="6"/>
  <c r="L55" i="6"/>
  <c r="L57" i="6" s="1"/>
  <c r="T77" i="7"/>
  <c r="U59" i="7"/>
  <c r="U79" i="7"/>
  <c r="V49" i="7"/>
  <c r="W48" i="7"/>
  <c r="W74" i="7"/>
  <c r="F74" i="7" s="1"/>
  <c r="U51" i="7"/>
  <c r="N22" i="6"/>
  <c r="N19" i="6"/>
  <c r="M51" i="6"/>
  <c r="N55" i="6"/>
  <c r="N57" i="6" s="1"/>
  <c r="N66" i="6"/>
  <c r="N73" i="6"/>
  <c r="N23" i="6"/>
  <c r="N26" i="6"/>
  <c r="M64" i="1"/>
  <c r="N64" i="1" s="1"/>
  <c r="T82" i="7" l="1"/>
  <c r="Z51" i="8"/>
  <c r="T91" i="7"/>
  <c r="W49" i="7"/>
  <c r="F48" i="7"/>
  <c r="Y52" i="8"/>
  <c r="Y63" i="8"/>
  <c r="S97" i="7"/>
  <c r="S98" i="7" s="1"/>
  <c r="S85" i="7"/>
  <c r="Y53" i="8"/>
  <c r="AG98" i="7"/>
  <c r="R98" i="7"/>
  <c r="J98" i="7"/>
  <c r="AF98" i="7"/>
  <c r="Y98" i="7"/>
  <c r="AE98" i="7"/>
  <c r="AD98" i="7"/>
  <c r="AC98" i="7"/>
  <c r="Q98" i="7"/>
  <c r="N98" i="7"/>
  <c r="X98" i="7"/>
  <c r="AB98" i="7"/>
  <c r="P98" i="7"/>
  <c r="O98" i="7"/>
  <c r="Z98" i="7"/>
  <c r="M98" i="7"/>
  <c r="AA98" i="7"/>
  <c r="I98" i="7"/>
  <c r="H98" i="7"/>
  <c r="L98" i="7"/>
  <c r="K98" i="7"/>
  <c r="P44" i="8"/>
  <c r="O64" i="1"/>
  <c r="N71" i="1"/>
  <c r="N47" i="8"/>
  <c r="L76" i="6"/>
  <c r="N76" i="6"/>
  <c r="V51" i="7"/>
  <c r="V78" i="7"/>
  <c r="L59" i="6"/>
  <c r="L77" i="6"/>
  <c r="N59" i="6"/>
  <c r="N77" i="6"/>
  <c r="W51" i="7"/>
  <c r="U77" i="7"/>
  <c r="W59" i="7"/>
  <c r="W79" i="7"/>
  <c r="V59" i="7"/>
  <c r="V79" i="7"/>
  <c r="O19" i="6"/>
  <c r="O22" i="6"/>
  <c r="M66" i="6"/>
  <c r="M55" i="6"/>
  <c r="M57" i="6" s="1"/>
  <c r="M76" i="6" s="1"/>
  <c r="O23" i="6"/>
  <c r="O26" i="6"/>
  <c r="L48" i="1"/>
  <c r="L47" i="1"/>
  <c r="F48" i="1"/>
  <c r="G48" i="1"/>
  <c r="H48" i="1"/>
  <c r="I48" i="1"/>
  <c r="J48" i="1"/>
  <c r="K29" i="8" s="1"/>
  <c r="E48" i="1"/>
  <c r="F47" i="1"/>
  <c r="G47" i="1"/>
  <c r="H47" i="1"/>
  <c r="I47" i="1"/>
  <c r="J47" i="1"/>
  <c r="K28" i="8" s="1"/>
  <c r="E47" i="1"/>
  <c r="F79" i="7" l="1"/>
  <c r="W78" i="7"/>
  <c r="F78" i="7" s="1"/>
  <c r="F49" i="7"/>
  <c r="F59" i="7"/>
  <c r="Z52" i="8"/>
  <c r="Z63" i="8"/>
  <c r="U82" i="7"/>
  <c r="AA51" i="8"/>
  <c r="U91" i="7"/>
  <c r="F51" i="7"/>
  <c r="T85" i="7"/>
  <c r="T97" i="7" s="1"/>
  <c r="T98" i="7" s="1"/>
  <c r="Z53" i="8"/>
  <c r="L87" i="6"/>
  <c r="N87" i="6"/>
  <c r="O71" i="1"/>
  <c r="P47" i="8" s="1"/>
  <c r="O47" i="8"/>
  <c r="L80" i="6"/>
  <c r="M47" i="1"/>
  <c r="N47" i="1" s="1"/>
  <c r="O47" i="1" s="1"/>
  <c r="P47" i="1" s="1"/>
  <c r="Q47" i="1" s="1"/>
  <c r="R47" i="1" s="1"/>
  <c r="S47" i="1" s="1"/>
  <c r="T47" i="1" s="1"/>
  <c r="U47" i="1" s="1"/>
  <c r="V47" i="1" s="1"/>
  <c r="W47" i="1" s="1"/>
  <c r="M48" i="1"/>
  <c r="N48" i="1" s="1"/>
  <c r="O48" i="1" s="1"/>
  <c r="P48" i="1" s="1"/>
  <c r="Q48" i="1" s="1"/>
  <c r="R48" i="1" s="1"/>
  <c r="S48" i="1" s="1"/>
  <c r="T48" i="1" s="1"/>
  <c r="U48" i="1" s="1"/>
  <c r="V48" i="1" s="1"/>
  <c r="W48" i="1" s="1"/>
  <c r="K48" i="1" s="1"/>
  <c r="N80" i="6"/>
  <c r="N82" i="6" s="1"/>
  <c r="N90" i="6" s="1"/>
  <c r="N91" i="6" s="1"/>
  <c r="M59" i="6"/>
  <c r="M77" i="6"/>
  <c r="M80" i="6" s="1"/>
  <c r="M82" i="6" s="1"/>
  <c r="M90" i="6" s="1"/>
  <c r="M91" i="6" s="1"/>
  <c r="V77" i="7"/>
  <c r="W77" i="7"/>
  <c r="O31" i="6"/>
  <c r="O35" i="6" s="1"/>
  <c r="O43" i="6" s="1"/>
  <c r="O51" i="6" s="1"/>
  <c r="O32" i="6"/>
  <c r="O36" i="6" s="1"/>
  <c r="O44" i="6" s="1"/>
  <c r="O52" i="6" s="1"/>
  <c r="O56" i="6" s="1"/>
  <c r="P19" i="6"/>
  <c r="P22" i="6"/>
  <c r="P23" i="6"/>
  <c r="P26" i="6"/>
  <c r="J57" i="1"/>
  <c r="J59" i="1" s="1"/>
  <c r="V39" i="1"/>
  <c r="F36" i="1"/>
  <c r="G36" i="1"/>
  <c r="H36" i="1"/>
  <c r="I36" i="1"/>
  <c r="J36" i="1"/>
  <c r="E36" i="1"/>
  <c r="L39" i="1"/>
  <c r="R39" i="1"/>
  <c r="S39" i="1"/>
  <c r="T39" i="1"/>
  <c r="U39" i="1"/>
  <c r="M39" i="1"/>
  <c r="N39" i="1"/>
  <c r="O39" i="1"/>
  <c r="P39" i="1"/>
  <c r="Q39" i="1"/>
  <c r="F57" i="1"/>
  <c r="F59" i="1" s="1"/>
  <c r="G57" i="1"/>
  <c r="G59" i="1" s="1"/>
  <c r="H57" i="1"/>
  <c r="H59" i="1" s="1"/>
  <c r="I57" i="1"/>
  <c r="I59" i="1" s="1"/>
  <c r="E57" i="1"/>
  <c r="E59" i="1" s="1"/>
  <c r="J35" i="1"/>
  <c r="E35" i="1"/>
  <c r="F35" i="1"/>
  <c r="G35" i="1"/>
  <c r="H35" i="1"/>
  <c r="I35" i="1"/>
  <c r="M29" i="1"/>
  <c r="L19" i="1"/>
  <c r="L18" i="1"/>
  <c r="M18" i="8" s="1"/>
  <c r="J26" i="1"/>
  <c r="L26" i="1" s="1"/>
  <c r="M20" i="8" s="1"/>
  <c r="J23" i="1"/>
  <c r="L23" i="1" s="1"/>
  <c r="J22" i="1"/>
  <c r="L22" i="1" s="1"/>
  <c r="L30" i="1"/>
  <c r="X7" i="1"/>
  <c r="W7" i="1"/>
  <c r="M9" i="1"/>
  <c r="O9" i="1" s="1"/>
  <c r="Q8" i="1"/>
  <c r="Q7" i="1"/>
  <c r="P8" i="1"/>
  <c r="P7" i="1"/>
  <c r="J8" i="1"/>
  <c r="J7" i="1"/>
  <c r="I8" i="1"/>
  <c r="I7" i="1"/>
  <c r="F9" i="1"/>
  <c r="H9" i="1" s="1"/>
  <c r="AA63" i="8" l="1"/>
  <c r="AA52" i="8"/>
  <c r="U85" i="7"/>
  <c r="U97" i="7" s="1"/>
  <c r="AA53" i="8"/>
  <c r="V82" i="7"/>
  <c r="AB51" i="8"/>
  <c r="V91" i="7"/>
  <c r="W82" i="7"/>
  <c r="AC51" i="8"/>
  <c r="F77" i="7"/>
  <c r="W91" i="7"/>
  <c r="M87" i="6"/>
  <c r="K39" i="1"/>
  <c r="L82" i="6"/>
  <c r="N29" i="1"/>
  <c r="O29" i="1" s="1"/>
  <c r="M23" i="8"/>
  <c r="K47" i="1"/>
  <c r="M19" i="8"/>
  <c r="P30" i="6"/>
  <c r="Q19" i="6"/>
  <c r="Q22" i="6"/>
  <c r="O55" i="6"/>
  <c r="O66" i="6"/>
  <c r="P32" i="6"/>
  <c r="Q23" i="6"/>
  <c r="Q26" i="6"/>
  <c r="L35" i="1"/>
  <c r="L65" i="1"/>
  <c r="J9" i="1"/>
  <c r="M23" i="1"/>
  <c r="M22" i="1"/>
  <c r="L36" i="1"/>
  <c r="M18" i="1"/>
  <c r="M19" i="1"/>
  <c r="M26" i="1"/>
  <c r="N20" i="8" s="1"/>
  <c r="R29" i="1"/>
  <c r="Q9" i="1"/>
  <c r="P9" i="1"/>
  <c r="N9" i="1"/>
  <c r="I9" i="1"/>
  <c r="G9" i="1"/>
  <c r="U98" i="7" l="1"/>
  <c r="AB52" i="8"/>
  <c r="AB63" i="8"/>
  <c r="V85" i="7"/>
  <c r="V97" i="7" s="1"/>
  <c r="AB53" i="8"/>
  <c r="F91" i="7"/>
  <c r="AC52" i="8"/>
  <c r="AC63" i="8"/>
  <c r="W85" i="7"/>
  <c r="F85" i="7" s="1"/>
  <c r="AC53" i="8"/>
  <c r="F82" i="7"/>
  <c r="P36" i="6"/>
  <c r="L73" i="1"/>
  <c r="M40" i="8"/>
  <c r="M42" i="8" s="1"/>
  <c r="M27" i="8"/>
  <c r="M26" i="8"/>
  <c r="M24" i="8"/>
  <c r="M25" i="8"/>
  <c r="L90" i="6"/>
  <c r="O57" i="6"/>
  <c r="O59" i="6" s="1"/>
  <c r="L43" i="1"/>
  <c r="M28" i="8" s="1"/>
  <c r="N18" i="8"/>
  <c r="N19" i="8"/>
  <c r="P69" i="6"/>
  <c r="P86" i="6"/>
  <c r="P64" i="6"/>
  <c r="P70" i="6"/>
  <c r="R19" i="6"/>
  <c r="R22" i="6"/>
  <c r="Q30" i="6"/>
  <c r="Q86" i="6" s="1"/>
  <c r="Q31" i="6"/>
  <c r="Q32" i="6"/>
  <c r="R23" i="6"/>
  <c r="R26" i="6"/>
  <c r="P31" i="6"/>
  <c r="S29" i="1"/>
  <c r="N22" i="1"/>
  <c r="N19" i="1"/>
  <c r="N18" i="1"/>
  <c r="N23" i="1"/>
  <c r="N26" i="1"/>
  <c r="O20" i="8" s="1"/>
  <c r="M30" i="1"/>
  <c r="L44" i="1"/>
  <c r="M29" i="8" s="1"/>
  <c r="V98" i="7" l="1"/>
  <c r="W97" i="7"/>
  <c r="W98" i="7" s="1"/>
  <c r="F98" i="7"/>
  <c r="P65" i="6"/>
  <c r="P44" i="6"/>
  <c r="P35" i="6"/>
  <c r="L51" i="1"/>
  <c r="O76" i="6"/>
  <c r="O77" i="6"/>
  <c r="L91" i="6"/>
  <c r="M30" i="8"/>
  <c r="O19" i="8"/>
  <c r="O18" i="8"/>
  <c r="M65" i="1"/>
  <c r="N23" i="8"/>
  <c r="Q70" i="6"/>
  <c r="Q69" i="6"/>
  <c r="Q36" i="6"/>
  <c r="Q44" i="6" s="1"/>
  <c r="Q52" i="6" s="1"/>
  <c r="Q56" i="6" s="1"/>
  <c r="Q35" i="6"/>
  <c r="Q43" i="6" s="1"/>
  <c r="Q51" i="6" s="1"/>
  <c r="S19" i="6"/>
  <c r="S22" i="6"/>
  <c r="Q64" i="6"/>
  <c r="Q65" i="6" s="1"/>
  <c r="R30" i="6"/>
  <c r="R86" i="6" s="1"/>
  <c r="R31" i="6"/>
  <c r="S23" i="6"/>
  <c r="S26" i="6"/>
  <c r="R32" i="6" s="1"/>
  <c r="M36" i="1"/>
  <c r="T29" i="1"/>
  <c r="L52" i="1"/>
  <c r="M35" i="1"/>
  <c r="O18" i="1"/>
  <c r="O19" i="1"/>
  <c r="O23" i="1"/>
  <c r="O22" i="1"/>
  <c r="N30" i="1"/>
  <c r="N65" i="1" s="1"/>
  <c r="O40" i="8" s="1"/>
  <c r="O42" i="8" s="1"/>
  <c r="O26" i="1"/>
  <c r="P20" i="8" s="1"/>
  <c r="F97" i="7" l="1"/>
  <c r="P52" i="6"/>
  <c r="P43" i="6"/>
  <c r="P19" i="8"/>
  <c r="M73" i="1"/>
  <c r="N40" i="8"/>
  <c r="N42" i="8" s="1"/>
  <c r="N27" i="8"/>
  <c r="N26" i="8"/>
  <c r="M34" i="8"/>
  <c r="O80" i="6"/>
  <c r="M43" i="1"/>
  <c r="N28" i="8" s="1"/>
  <c r="L57" i="1"/>
  <c r="M31" i="8"/>
  <c r="M43" i="8" s="1"/>
  <c r="M44" i="1"/>
  <c r="N29" i="8" s="1"/>
  <c r="P18" i="8"/>
  <c r="N73" i="1"/>
  <c r="O23" i="8"/>
  <c r="N25" i="8"/>
  <c r="N24" i="8"/>
  <c r="S30" i="6"/>
  <c r="R64" i="6"/>
  <c r="R65" i="6" s="1"/>
  <c r="Q55" i="6"/>
  <c r="Q57" i="6" s="1"/>
  <c r="Q66" i="6"/>
  <c r="R70" i="6"/>
  <c r="R69" i="6"/>
  <c r="R35" i="6"/>
  <c r="R43" i="6" s="1"/>
  <c r="R51" i="6" s="1"/>
  <c r="R36" i="6"/>
  <c r="T19" i="6"/>
  <c r="T22" i="6"/>
  <c r="L66" i="1"/>
  <c r="S32" i="6"/>
  <c r="S31" i="6"/>
  <c r="T23" i="6"/>
  <c r="T26" i="6"/>
  <c r="U29" i="1"/>
  <c r="P18" i="1"/>
  <c r="P19" i="1"/>
  <c r="P23" i="1"/>
  <c r="P22" i="1"/>
  <c r="Q19" i="8" s="1"/>
  <c r="O30" i="1"/>
  <c r="P26" i="1"/>
  <c r="Q20" i="8" s="1"/>
  <c r="N35" i="1"/>
  <c r="N43" i="1" s="1"/>
  <c r="O28" i="8" s="1"/>
  <c r="N36" i="1"/>
  <c r="N44" i="1" s="1"/>
  <c r="O29" i="8" s="1"/>
  <c r="L78" i="1" l="1"/>
  <c r="L76" i="1"/>
  <c r="P51" i="6"/>
  <c r="P56" i="6"/>
  <c r="R44" i="6"/>
  <c r="P32" i="1"/>
  <c r="M51" i="1"/>
  <c r="N30" i="8" s="1"/>
  <c r="O27" i="8"/>
  <c r="O26" i="8"/>
  <c r="M35" i="8"/>
  <c r="M36" i="8" s="1"/>
  <c r="M48" i="8" s="1"/>
  <c r="O82" i="6"/>
  <c r="L59" i="1"/>
  <c r="L77" i="1"/>
  <c r="M52" i="1"/>
  <c r="Q18" i="8"/>
  <c r="S35" i="6"/>
  <c r="S36" i="6"/>
  <c r="S44" i="6" s="1"/>
  <c r="S52" i="6" s="1"/>
  <c r="S56" i="6" s="1"/>
  <c r="N52" i="1"/>
  <c r="O31" i="8" s="1"/>
  <c r="O35" i="8" s="1"/>
  <c r="O65" i="1"/>
  <c r="P23" i="8"/>
  <c r="O25" i="8"/>
  <c r="O24" i="8"/>
  <c r="S86" i="6"/>
  <c r="Q77" i="6"/>
  <c r="S64" i="6"/>
  <c r="S69" i="6"/>
  <c r="S70" i="6"/>
  <c r="T30" i="6"/>
  <c r="T86" i="6" s="1"/>
  <c r="Q59" i="6"/>
  <c r="R55" i="6"/>
  <c r="U19" i="6"/>
  <c r="U22" i="6"/>
  <c r="T32" i="6"/>
  <c r="T31" i="6"/>
  <c r="U23" i="6"/>
  <c r="U26" i="6"/>
  <c r="P31" i="1"/>
  <c r="V29" i="1"/>
  <c r="N51" i="1"/>
  <c r="O35" i="1"/>
  <c r="O43" i="1" s="1"/>
  <c r="P28" i="8" s="1"/>
  <c r="O36" i="1"/>
  <c r="O44" i="1" s="1"/>
  <c r="P29" i="8" s="1"/>
  <c r="Q23" i="1"/>
  <c r="Q18" i="1"/>
  <c r="Q22" i="1"/>
  <c r="Q19" i="1"/>
  <c r="P30" i="1"/>
  <c r="Q23" i="8" s="1"/>
  <c r="Q26" i="1"/>
  <c r="R20" i="8" s="1"/>
  <c r="S65" i="6" l="1"/>
  <c r="S43" i="6"/>
  <c r="R52" i="6"/>
  <c r="P55" i="6"/>
  <c r="P57" i="6" s="1"/>
  <c r="P66" i="6"/>
  <c r="M51" i="8"/>
  <c r="L88" i="1"/>
  <c r="O30" i="8"/>
  <c r="N66" i="1"/>
  <c r="W29" i="1"/>
  <c r="O73" i="1"/>
  <c r="P40" i="8"/>
  <c r="P42" i="8" s="1"/>
  <c r="M57" i="1"/>
  <c r="P27" i="8"/>
  <c r="P26" i="8"/>
  <c r="Q26" i="8"/>
  <c r="Q27" i="8"/>
  <c r="N34" i="8"/>
  <c r="M37" i="8"/>
  <c r="L81" i="1"/>
  <c r="M53" i="8" s="1"/>
  <c r="N31" i="8"/>
  <c r="N43" i="8" s="1"/>
  <c r="M66" i="1"/>
  <c r="V23" i="6"/>
  <c r="R19" i="8"/>
  <c r="Q24" i="8"/>
  <c r="Q25" i="8"/>
  <c r="R18" i="1"/>
  <c r="R18" i="8"/>
  <c r="P24" i="8"/>
  <c r="P25" i="8"/>
  <c r="T35" i="6"/>
  <c r="T43" i="6" s="1"/>
  <c r="T51" i="6" s="1"/>
  <c r="T55" i="6" s="1"/>
  <c r="T36" i="6"/>
  <c r="T70" i="6"/>
  <c r="T64" i="6"/>
  <c r="T65" i="6" s="1"/>
  <c r="T69" i="6"/>
  <c r="V22" i="6"/>
  <c r="V26" i="6"/>
  <c r="V19" i="6"/>
  <c r="U30" i="6"/>
  <c r="U86" i="6" s="1"/>
  <c r="U32" i="6"/>
  <c r="U31" i="6"/>
  <c r="P87" i="1"/>
  <c r="P69" i="1"/>
  <c r="N57" i="1"/>
  <c r="P70" i="1"/>
  <c r="O52" i="1"/>
  <c r="P31" i="8" s="1"/>
  <c r="P35" i="8" s="1"/>
  <c r="O51" i="1"/>
  <c r="P30" i="8" s="1"/>
  <c r="P36" i="1"/>
  <c r="P44" i="1" s="1"/>
  <c r="Q29" i="8" s="1"/>
  <c r="P35" i="1"/>
  <c r="R19" i="1"/>
  <c r="R23" i="1"/>
  <c r="R22" i="1"/>
  <c r="Q30" i="1"/>
  <c r="R23" i="8" s="1"/>
  <c r="R26" i="1"/>
  <c r="S20" i="8" s="1"/>
  <c r="N77" i="1" l="1"/>
  <c r="N76" i="1"/>
  <c r="M77" i="1"/>
  <c r="M76" i="1"/>
  <c r="M52" i="8"/>
  <c r="N54" i="8" s="1"/>
  <c r="M63" i="8"/>
  <c r="P77" i="6"/>
  <c r="P59" i="6"/>
  <c r="R56" i="6"/>
  <c r="R57" i="6" s="1"/>
  <c r="R66" i="6"/>
  <c r="T44" i="6"/>
  <c r="S51" i="6"/>
  <c r="S66" i="6" s="1"/>
  <c r="Q65" i="1"/>
  <c r="R40" i="8" s="1"/>
  <c r="R42" i="8" s="1"/>
  <c r="O34" i="8"/>
  <c r="O36" i="8" s="1"/>
  <c r="O48" i="8" s="1"/>
  <c r="O43" i="8"/>
  <c r="M78" i="1"/>
  <c r="N51" i="8" s="1"/>
  <c r="N63" i="8" s="1"/>
  <c r="M59" i="1"/>
  <c r="Q45" i="8"/>
  <c r="Q44" i="8"/>
  <c r="K29" i="1"/>
  <c r="P65" i="1"/>
  <c r="Q40" i="8" s="1"/>
  <c r="Q42" i="8" s="1"/>
  <c r="P34" i="8"/>
  <c r="P36" i="8" s="1"/>
  <c r="P48" i="8" s="1"/>
  <c r="P43" i="8"/>
  <c r="R26" i="8"/>
  <c r="R27" i="8"/>
  <c r="N35" i="8"/>
  <c r="N36" i="8" s="1"/>
  <c r="N48" i="8" s="1"/>
  <c r="L83" i="1"/>
  <c r="P43" i="1"/>
  <c r="Q28" i="8" s="1"/>
  <c r="S18" i="1"/>
  <c r="S18" i="8"/>
  <c r="Q31" i="1"/>
  <c r="S19" i="8"/>
  <c r="R44" i="8"/>
  <c r="U36" i="6"/>
  <c r="U44" i="6" s="1"/>
  <c r="U52" i="6" s="1"/>
  <c r="U56" i="6" s="1"/>
  <c r="U35" i="6"/>
  <c r="U43" i="6" s="1"/>
  <c r="U51" i="6" s="1"/>
  <c r="U70" i="6"/>
  <c r="U69" i="6"/>
  <c r="U64" i="6"/>
  <c r="U65" i="6" s="1"/>
  <c r="V32" i="6"/>
  <c r="K32" i="6" s="1"/>
  <c r="V30" i="6"/>
  <c r="V31" i="6"/>
  <c r="K31" i="6" s="1"/>
  <c r="N78" i="1"/>
  <c r="O51" i="8" s="1"/>
  <c r="N59" i="1"/>
  <c r="O66" i="1"/>
  <c r="Q87" i="1"/>
  <c r="Q69" i="1"/>
  <c r="R45" i="8" s="1"/>
  <c r="Q32" i="1"/>
  <c r="Q70" i="1"/>
  <c r="R46" i="8" s="1"/>
  <c r="O57" i="1"/>
  <c r="P52" i="1"/>
  <c r="Q31" i="8" s="1"/>
  <c r="Q35" i="8" s="1"/>
  <c r="S23" i="1"/>
  <c r="S19" i="1"/>
  <c r="S22" i="1"/>
  <c r="T19" i="8" s="1"/>
  <c r="R30" i="1"/>
  <c r="S23" i="8" s="1"/>
  <c r="S26" i="1"/>
  <c r="T20" i="8" s="1"/>
  <c r="O37" i="8" l="1"/>
  <c r="O77" i="1"/>
  <c r="O76" i="1"/>
  <c r="M55" i="8"/>
  <c r="O52" i="8"/>
  <c r="O55" i="8" s="1"/>
  <c r="N52" i="8"/>
  <c r="M81" i="1"/>
  <c r="N53" i="8" s="1"/>
  <c r="S55" i="6"/>
  <c r="S57" i="6" s="1"/>
  <c r="U55" i="6"/>
  <c r="U87" i="6"/>
  <c r="T52" i="6"/>
  <c r="F7" i="2" a="1"/>
  <c r="F7" i="2" s="1"/>
  <c r="T85" i="6" s="1"/>
  <c r="K30" i="6"/>
  <c r="R59" i="6"/>
  <c r="R77" i="6"/>
  <c r="O63" i="8"/>
  <c r="N88" i="1"/>
  <c r="M88" i="1"/>
  <c r="P37" i="8"/>
  <c r="P51" i="1"/>
  <c r="Q30" i="8" s="1"/>
  <c r="Q34" i="8" s="1"/>
  <c r="Q36" i="8" s="1"/>
  <c r="Q36" i="1"/>
  <c r="Q44" i="1" s="1"/>
  <c r="R29" i="8" s="1"/>
  <c r="R65" i="1"/>
  <c r="S40" i="8" s="1"/>
  <c r="S42" i="8" s="1"/>
  <c r="R24" i="8"/>
  <c r="S26" i="8"/>
  <c r="S27" i="8"/>
  <c r="N37" i="8"/>
  <c r="L91" i="1"/>
  <c r="F4" i="2" a="1"/>
  <c r="F4" i="2" s="1"/>
  <c r="Q85" i="6" s="1"/>
  <c r="F5" i="2" a="1"/>
  <c r="F5" i="2" s="1"/>
  <c r="R85" i="6" s="1"/>
  <c r="F3" i="2" a="1"/>
  <c r="F3" i="2" s="1"/>
  <c r="F8" i="2" a="1"/>
  <c r="F8" i="2" s="1"/>
  <c r="U85" i="6" s="1"/>
  <c r="Q35" i="1"/>
  <c r="T18" i="1"/>
  <c r="T18" i="8"/>
  <c r="R25" i="8"/>
  <c r="U57" i="6"/>
  <c r="U77" i="6" s="1"/>
  <c r="U66" i="6"/>
  <c r="F6" i="2" a="1"/>
  <c r="F6" i="2" s="1"/>
  <c r="S85" i="6" s="1"/>
  <c r="V86" i="6"/>
  <c r="K86" i="6" s="1"/>
  <c r="N81" i="1"/>
  <c r="O53" i="8" s="1"/>
  <c r="V64" i="6"/>
  <c r="F9" i="2"/>
  <c r="V70" i="6"/>
  <c r="K70" i="6" s="1"/>
  <c r="K68" i="6"/>
  <c r="V69" i="6"/>
  <c r="K69" i="6" s="1"/>
  <c r="V36" i="6"/>
  <c r="V44" i="6" s="1"/>
  <c r="V52" i="6" s="1"/>
  <c r="V56" i="6" s="1"/>
  <c r="V35" i="6"/>
  <c r="R87" i="1"/>
  <c r="R69" i="1"/>
  <c r="S45" i="8" s="1"/>
  <c r="R32" i="1"/>
  <c r="R36" i="1" s="1"/>
  <c r="R44" i="1" s="1"/>
  <c r="S29" i="8" s="1"/>
  <c r="R31" i="1"/>
  <c r="R35" i="1" s="1"/>
  <c r="R43" i="1" s="1"/>
  <c r="S28" i="8" s="1"/>
  <c r="R70" i="1"/>
  <c r="S46" i="8" s="1"/>
  <c r="T19" i="1"/>
  <c r="O59" i="1"/>
  <c r="O78" i="1"/>
  <c r="P51" i="8" s="1"/>
  <c r="T22" i="1"/>
  <c r="T23" i="1"/>
  <c r="S30" i="1"/>
  <c r="T23" i="8" s="1"/>
  <c r="T26" i="1"/>
  <c r="O66" i="8" l="1"/>
  <c r="O67" i="8" s="1"/>
  <c r="M66" i="8"/>
  <c r="M67" i="8" s="1"/>
  <c r="N55" i="8"/>
  <c r="N66" i="8" s="1"/>
  <c r="O54" i="8"/>
  <c r="P54" i="8" s="1"/>
  <c r="M83" i="1"/>
  <c r="M91" i="1" s="1"/>
  <c r="M92" i="1" s="1"/>
  <c r="K44" i="6"/>
  <c r="T56" i="6"/>
  <c r="T57" i="6" s="1"/>
  <c r="T66" i="6"/>
  <c r="K52" i="6"/>
  <c r="T71" i="6"/>
  <c r="T73" i="6" s="1"/>
  <c r="K36" i="6"/>
  <c r="V65" i="6"/>
  <c r="K65" i="6" s="1"/>
  <c r="K64" i="6"/>
  <c r="V43" i="6"/>
  <c r="K35" i="6"/>
  <c r="S77" i="6"/>
  <c r="S59" i="6"/>
  <c r="P66" i="1"/>
  <c r="Q52" i="1"/>
  <c r="R31" i="8" s="1"/>
  <c r="R35" i="8" s="1"/>
  <c r="P52" i="8"/>
  <c r="N67" i="8"/>
  <c r="O88" i="1"/>
  <c r="Q37" i="8"/>
  <c r="P73" i="6"/>
  <c r="Q43" i="8"/>
  <c r="P57" i="1"/>
  <c r="S44" i="8"/>
  <c r="N83" i="1"/>
  <c r="N91" i="1" s="1"/>
  <c r="N92" i="1" s="1"/>
  <c r="T26" i="8"/>
  <c r="T27" i="8"/>
  <c r="L92" i="1"/>
  <c r="Q43" i="1"/>
  <c r="W86" i="1"/>
  <c r="W71" i="1"/>
  <c r="X47" i="8" s="1"/>
  <c r="T76" i="6"/>
  <c r="U71" i="6"/>
  <c r="U73" i="6" s="1"/>
  <c r="Q71" i="6"/>
  <c r="Q73" i="6" s="1"/>
  <c r="Q76" i="6" s="1"/>
  <c r="Q87" i="6" s="1"/>
  <c r="P85" i="6"/>
  <c r="R71" i="6"/>
  <c r="R73" i="6" s="1"/>
  <c r="O85" i="6"/>
  <c r="U59" i="6"/>
  <c r="S71" i="6"/>
  <c r="S73" i="6" s="1"/>
  <c r="S31" i="1"/>
  <c r="S35" i="1" s="1"/>
  <c r="S43" i="1" s="1"/>
  <c r="T28" i="8" s="1"/>
  <c r="U20" i="8"/>
  <c r="S24" i="8"/>
  <c r="S25" i="8"/>
  <c r="U18" i="1"/>
  <c r="U18" i="8"/>
  <c r="U19" i="8"/>
  <c r="V85" i="6"/>
  <c r="V71" i="6"/>
  <c r="T44" i="8"/>
  <c r="S87" i="1"/>
  <c r="S69" i="1"/>
  <c r="T45" i="8" s="1"/>
  <c r="S32" i="1"/>
  <c r="T32" i="1"/>
  <c r="S65" i="1"/>
  <c r="T40" i="8" s="1"/>
  <c r="T42" i="8" s="1"/>
  <c r="S70" i="1"/>
  <c r="T46" i="8" s="1"/>
  <c r="O81" i="1"/>
  <c r="P53" i="8" s="1"/>
  <c r="R51" i="1"/>
  <c r="S30" i="8" s="1"/>
  <c r="S34" i="8" s="1"/>
  <c r="R52" i="1"/>
  <c r="S31" i="8" s="1"/>
  <c r="S35" i="8" s="1"/>
  <c r="U23" i="1"/>
  <c r="U19" i="1"/>
  <c r="U22" i="1"/>
  <c r="U26" i="1"/>
  <c r="V20" i="8" s="1"/>
  <c r="T30" i="1"/>
  <c r="U23" i="8" s="1"/>
  <c r="K56" i="6" l="1"/>
  <c r="P78" i="1"/>
  <c r="P76" i="1"/>
  <c r="P55" i="8"/>
  <c r="V73" i="6"/>
  <c r="K73" i="6" s="1"/>
  <c r="V51" i="6"/>
  <c r="K43" i="6"/>
  <c r="P58" i="8"/>
  <c r="P60" i="8" s="1"/>
  <c r="P63" i="8" s="1"/>
  <c r="O87" i="6"/>
  <c r="T59" i="6"/>
  <c r="T77" i="6"/>
  <c r="T80" i="6" s="1"/>
  <c r="T82" i="6" s="1"/>
  <c r="T90" i="6" s="1"/>
  <c r="T91" i="6" s="1"/>
  <c r="P59" i="1"/>
  <c r="T87" i="6"/>
  <c r="K71" i="6"/>
  <c r="P76" i="6"/>
  <c r="K85" i="6"/>
  <c r="Q57" i="1"/>
  <c r="R28" i="8"/>
  <c r="T65" i="1"/>
  <c r="U40" i="8" s="1"/>
  <c r="U42" i="8" s="1"/>
  <c r="S36" i="1"/>
  <c r="S44" i="1" s="1"/>
  <c r="T29" i="8" s="1"/>
  <c r="S36" i="8"/>
  <c r="S43" i="8"/>
  <c r="U26" i="8"/>
  <c r="U27" i="8"/>
  <c r="O83" i="1"/>
  <c r="Q51" i="1"/>
  <c r="R30" i="8" s="1"/>
  <c r="R43" i="8" s="1"/>
  <c r="U76" i="6"/>
  <c r="U80" i="6" s="1"/>
  <c r="Q80" i="6"/>
  <c r="T31" i="1"/>
  <c r="U24" i="8" s="1"/>
  <c r="O90" i="6"/>
  <c r="S76" i="6"/>
  <c r="R76" i="6"/>
  <c r="S37" i="8"/>
  <c r="T24" i="8"/>
  <c r="V18" i="1"/>
  <c r="V18" i="8"/>
  <c r="T25" i="8"/>
  <c r="U25" i="8"/>
  <c r="V19" i="8"/>
  <c r="U31" i="1"/>
  <c r="U44" i="8"/>
  <c r="R66" i="1"/>
  <c r="T87" i="1"/>
  <c r="T69" i="1"/>
  <c r="U32" i="1"/>
  <c r="R57" i="1"/>
  <c r="R76" i="1" s="1"/>
  <c r="T70" i="1"/>
  <c r="S51" i="1"/>
  <c r="T30" i="8" s="1"/>
  <c r="T34" i="8" s="1"/>
  <c r="T36" i="1"/>
  <c r="T44" i="1" s="1"/>
  <c r="U29" i="8" s="1"/>
  <c r="V19" i="1"/>
  <c r="V23" i="1"/>
  <c r="V22" i="1"/>
  <c r="U30" i="1"/>
  <c r="V23" i="8" s="1"/>
  <c r="V26" i="1"/>
  <c r="W20" i="8" s="1"/>
  <c r="Q54" i="8" l="1"/>
  <c r="P66" i="8"/>
  <c r="Q59" i="1"/>
  <c r="Q76" i="1"/>
  <c r="V87" i="6"/>
  <c r="K51" i="6"/>
  <c r="V66" i="6"/>
  <c r="K66" i="6" s="1"/>
  <c r="V55" i="6"/>
  <c r="S52" i="1"/>
  <c r="T31" i="8" s="1"/>
  <c r="T35" i="8" s="1"/>
  <c r="T36" i="8" s="1"/>
  <c r="Q66" i="1"/>
  <c r="P80" i="6"/>
  <c r="P82" i="6" s="1"/>
  <c r="P90" i="6" s="1"/>
  <c r="P91" i="6" s="1"/>
  <c r="P87" i="6"/>
  <c r="R80" i="6"/>
  <c r="R82" i="6" s="1"/>
  <c r="R90" i="6" s="1"/>
  <c r="R91" i="6" s="1"/>
  <c r="R87" i="6"/>
  <c r="S80" i="6"/>
  <c r="S82" i="6" s="1"/>
  <c r="S90" i="6" s="1"/>
  <c r="S91" i="6" s="1"/>
  <c r="S87" i="6"/>
  <c r="Q78" i="1"/>
  <c r="U82" i="6"/>
  <c r="U90" i="6" s="1"/>
  <c r="U91" i="6" s="1"/>
  <c r="Q82" i="6"/>
  <c r="Q90" i="6" s="1"/>
  <c r="Q91" i="6" s="1"/>
  <c r="U46" i="8"/>
  <c r="U45" i="8"/>
  <c r="S57" i="1"/>
  <c r="S76" i="1" s="1"/>
  <c r="U65" i="1"/>
  <c r="V40" i="8" s="1"/>
  <c r="V42" i="8" s="1"/>
  <c r="V26" i="8"/>
  <c r="V27" i="8"/>
  <c r="R34" i="8"/>
  <c r="O91" i="6"/>
  <c r="O91" i="1"/>
  <c r="W26" i="1"/>
  <c r="W23" i="1"/>
  <c r="W18" i="1"/>
  <c r="W22" i="1"/>
  <c r="X19" i="8" s="1"/>
  <c r="W19" i="1"/>
  <c r="T35" i="1"/>
  <c r="T43" i="1" s="1"/>
  <c r="U28" i="8" s="1"/>
  <c r="W19" i="8"/>
  <c r="V25" i="8"/>
  <c r="V24" i="8"/>
  <c r="W18" i="8"/>
  <c r="R59" i="1"/>
  <c r="V31" i="1"/>
  <c r="V44" i="8"/>
  <c r="S66" i="1"/>
  <c r="U87" i="1"/>
  <c r="U69" i="1"/>
  <c r="V45" i="8" s="1"/>
  <c r="R78" i="1"/>
  <c r="V32" i="1"/>
  <c r="U70" i="1"/>
  <c r="V46" i="8" s="1"/>
  <c r="T52" i="1"/>
  <c r="U31" i="8" s="1"/>
  <c r="U35" i="8" s="1"/>
  <c r="U35" i="1"/>
  <c r="U43" i="1" s="1"/>
  <c r="V28" i="8" s="1"/>
  <c r="U36" i="1"/>
  <c r="U44" i="1" s="1"/>
  <c r="V29" i="8" s="1"/>
  <c r="V30" i="1"/>
  <c r="T37" i="8" l="1"/>
  <c r="T43" i="8"/>
  <c r="K87" i="6"/>
  <c r="K55" i="6"/>
  <c r="V57" i="6"/>
  <c r="T51" i="1"/>
  <c r="U30" i="8" s="1"/>
  <c r="U34" i="8" s="1"/>
  <c r="U37" i="8" s="1"/>
  <c r="W32" i="1"/>
  <c r="K32" i="1" s="1"/>
  <c r="R37" i="8"/>
  <c r="R36" i="8"/>
  <c r="O92" i="1"/>
  <c r="V36" i="1"/>
  <c r="V44" i="1" s="1"/>
  <c r="W29" i="8" s="1"/>
  <c r="W31" i="1"/>
  <c r="X18" i="8"/>
  <c r="X20" i="8"/>
  <c r="W30" i="1"/>
  <c r="K64" i="1" s="1"/>
  <c r="E6" i="2" a="1"/>
  <c r="E6" i="2" s="1"/>
  <c r="S71" i="1" s="1"/>
  <c r="W23" i="8"/>
  <c r="S59" i="1"/>
  <c r="E7" i="2" a="1"/>
  <c r="E7" i="2" s="1"/>
  <c r="E8" i="2" a="1"/>
  <c r="E8" i="2" s="1"/>
  <c r="E3" i="2" a="1"/>
  <c r="E3" i="2" s="1"/>
  <c r="P71" i="1" s="1"/>
  <c r="E4" i="2" a="1"/>
  <c r="E4" i="2" s="1"/>
  <c r="Q71" i="1" s="1"/>
  <c r="R47" i="8" s="1"/>
  <c r="V69" i="1"/>
  <c r="W45" i="8" s="1"/>
  <c r="E9" i="2"/>
  <c r="W44" i="8"/>
  <c r="E5" i="2" a="1"/>
  <c r="E5" i="2" s="1"/>
  <c r="R71" i="1" s="1"/>
  <c r="S47" i="8" s="1"/>
  <c r="S48" i="8" s="1"/>
  <c r="T66" i="1"/>
  <c r="V87" i="1"/>
  <c r="S78" i="1"/>
  <c r="V65" i="1"/>
  <c r="V70" i="1"/>
  <c r="W46" i="8" s="1"/>
  <c r="U52" i="1"/>
  <c r="V31" i="8" s="1"/>
  <c r="V35" i="8" s="1"/>
  <c r="U51" i="1"/>
  <c r="V30" i="8" s="1"/>
  <c r="V34" i="8" s="1"/>
  <c r="V35" i="1"/>
  <c r="V43" i="1" s="1"/>
  <c r="W28" i="8" s="1"/>
  <c r="U36" i="8" l="1"/>
  <c r="U43" i="8"/>
  <c r="K57" i="6"/>
  <c r="V77" i="6"/>
  <c r="K77" i="6" s="1"/>
  <c r="V76" i="6"/>
  <c r="V59" i="6"/>
  <c r="K59" i="6" s="1"/>
  <c r="S73" i="1"/>
  <c r="S77" i="1" s="1"/>
  <c r="S81" i="1" s="1"/>
  <c r="T53" i="8" s="1"/>
  <c r="T47" i="8"/>
  <c r="T48" i="8" s="1"/>
  <c r="W36" i="1"/>
  <c r="K31" i="1"/>
  <c r="R48" i="8"/>
  <c r="Q47" i="8"/>
  <c r="V36" i="8"/>
  <c r="V43" i="8"/>
  <c r="W40" i="8"/>
  <c r="W42" i="8" s="1"/>
  <c r="W26" i="8"/>
  <c r="W27" i="8"/>
  <c r="T57" i="1"/>
  <c r="W87" i="1"/>
  <c r="X23" i="8"/>
  <c r="W69" i="1"/>
  <c r="W35" i="1"/>
  <c r="W70" i="1"/>
  <c r="K30" i="1"/>
  <c r="W65" i="1"/>
  <c r="K65" i="1" s="1"/>
  <c r="W44" i="1"/>
  <c r="X29" i="8" s="1"/>
  <c r="L29" i="8" s="1"/>
  <c r="K36" i="1"/>
  <c r="V37" i="8"/>
  <c r="W25" i="8"/>
  <c r="W24" i="8"/>
  <c r="U66" i="1"/>
  <c r="Q86" i="1"/>
  <c r="R58" i="8" s="1"/>
  <c r="R60" i="8" s="1"/>
  <c r="Q73" i="1"/>
  <c r="Q77" i="1" s="1"/>
  <c r="R86" i="1"/>
  <c r="S58" i="8" s="1"/>
  <c r="S60" i="8" s="1"/>
  <c r="R73" i="1"/>
  <c r="R77" i="1" s="1"/>
  <c r="S86" i="1"/>
  <c r="T58" i="8" s="1"/>
  <c r="T60" i="8" s="1"/>
  <c r="P73" i="1"/>
  <c r="P77" i="1" s="1"/>
  <c r="P86" i="1"/>
  <c r="V86" i="1"/>
  <c r="W58" i="8" s="1"/>
  <c r="W60" i="8" s="1"/>
  <c r="V71" i="1"/>
  <c r="T86" i="1"/>
  <c r="U58" i="8" s="1"/>
  <c r="U60" i="8" s="1"/>
  <c r="T71" i="1"/>
  <c r="U86" i="1"/>
  <c r="V58" i="8" s="1"/>
  <c r="V60" i="8" s="1"/>
  <c r="U71" i="1"/>
  <c r="U57" i="1"/>
  <c r="U76" i="1" s="1"/>
  <c r="V51" i="1"/>
  <c r="V52" i="1"/>
  <c r="W31" i="8" s="1"/>
  <c r="W35" i="8" s="1"/>
  <c r="T51" i="8" l="1"/>
  <c r="T78" i="1"/>
  <c r="T76" i="1"/>
  <c r="K76" i="6"/>
  <c r="V80" i="6"/>
  <c r="T63" i="8"/>
  <c r="K86" i="1"/>
  <c r="V88" i="1"/>
  <c r="K87" i="1"/>
  <c r="X58" i="8"/>
  <c r="X60" i="8" s="1"/>
  <c r="S88" i="1"/>
  <c r="Q51" i="8"/>
  <c r="P88" i="1"/>
  <c r="S51" i="8"/>
  <c r="S52" i="8" s="1"/>
  <c r="R88" i="1"/>
  <c r="R51" i="8"/>
  <c r="R63" i="8" s="1"/>
  <c r="Q88" i="1"/>
  <c r="T52" i="8"/>
  <c r="X46" i="8"/>
  <c r="L46" i="8" s="1"/>
  <c r="K70" i="1"/>
  <c r="S83" i="1"/>
  <c r="S91" i="1" s="1"/>
  <c r="S92" i="1" s="1"/>
  <c r="X45" i="8"/>
  <c r="L45" i="8" s="1"/>
  <c r="K69" i="1"/>
  <c r="Q48" i="8"/>
  <c r="U73" i="1"/>
  <c r="V47" i="8"/>
  <c r="V48" i="8" s="1"/>
  <c r="X44" i="8"/>
  <c r="L44" i="8" s="1"/>
  <c r="K68" i="1"/>
  <c r="T73" i="1"/>
  <c r="T77" i="1" s="1"/>
  <c r="T81" i="1" s="1"/>
  <c r="U53" i="8" s="1"/>
  <c r="U47" i="8"/>
  <c r="U48" i="8" s="1"/>
  <c r="K71" i="1"/>
  <c r="V73" i="1"/>
  <c r="W47" i="8"/>
  <c r="T59" i="1"/>
  <c r="W73" i="1"/>
  <c r="X40" i="8"/>
  <c r="L23" i="8"/>
  <c r="X26" i="8"/>
  <c r="L26" i="8" s="1"/>
  <c r="X27" i="8"/>
  <c r="L27" i="8" s="1"/>
  <c r="K56" i="1"/>
  <c r="W52" i="1"/>
  <c r="K44" i="1"/>
  <c r="W30" i="8"/>
  <c r="W34" i="8" s="1"/>
  <c r="W43" i="1"/>
  <c r="X28" i="8" s="1"/>
  <c r="L28" i="8" s="1"/>
  <c r="K35" i="1"/>
  <c r="X24" i="8"/>
  <c r="L24" i="8" s="1"/>
  <c r="X25" i="8"/>
  <c r="L25" i="8" s="1"/>
  <c r="U59" i="1"/>
  <c r="Q81" i="1"/>
  <c r="R53" i="8" s="1"/>
  <c r="U78" i="1"/>
  <c r="V57" i="1"/>
  <c r="V76" i="1" s="1"/>
  <c r="V66" i="1"/>
  <c r="K66" i="1" s="1"/>
  <c r="P81" i="1"/>
  <c r="Q53" i="8" s="1"/>
  <c r="R81" i="1"/>
  <c r="S53" i="8" s="1"/>
  <c r="K80" i="6" l="1"/>
  <c r="V82" i="6"/>
  <c r="R52" i="8"/>
  <c r="V77" i="1"/>
  <c r="L58" i="8"/>
  <c r="Q60" i="8"/>
  <c r="Q52" i="8"/>
  <c r="K73" i="1"/>
  <c r="S63" i="8"/>
  <c r="U51" i="8"/>
  <c r="U63" i="8" s="1"/>
  <c r="T88" i="1"/>
  <c r="L40" i="8"/>
  <c r="X42" i="8"/>
  <c r="L42" i="8" s="1"/>
  <c r="L47" i="8"/>
  <c r="Q83" i="1"/>
  <c r="Q91" i="1" s="1"/>
  <c r="Q92" i="1" s="1"/>
  <c r="U77" i="1"/>
  <c r="T83" i="1"/>
  <c r="T91" i="1" s="1"/>
  <c r="T92" i="1" s="1"/>
  <c r="R83" i="1"/>
  <c r="R91" i="1" s="1"/>
  <c r="R92" i="1" s="1"/>
  <c r="W43" i="8"/>
  <c r="W37" i="8"/>
  <c r="W36" i="8"/>
  <c r="W48" i="8" s="1"/>
  <c r="P83" i="1"/>
  <c r="W51" i="1"/>
  <c r="W88" i="1" s="1"/>
  <c r="K43" i="1"/>
  <c r="X31" i="8"/>
  <c r="K52" i="1"/>
  <c r="V59" i="1"/>
  <c r="V78" i="1"/>
  <c r="V81" i="1" s="1"/>
  <c r="W53" i="8" s="1"/>
  <c r="V90" i="6" l="1"/>
  <c r="K82" i="6"/>
  <c r="Q63" i="8"/>
  <c r="L60" i="8"/>
  <c r="U52" i="8"/>
  <c r="U81" i="1"/>
  <c r="V53" i="8" s="1"/>
  <c r="U88" i="1"/>
  <c r="K88" i="1" s="1"/>
  <c r="V51" i="8"/>
  <c r="U83" i="1"/>
  <c r="U91" i="1" s="1"/>
  <c r="U92" i="1" s="1"/>
  <c r="V83" i="1"/>
  <c r="V91" i="1" s="1"/>
  <c r="V92" i="1" s="1"/>
  <c r="W51" i="8"/>
  <c r="X35" i="8"/>
  <c r="L35" i="8" s="1"/>
  <c r="L31" i="8"/>
  <c r="P91" i="1"/>
  <c r="X30" i="8"/>
  <c r="K51" i="1"/>
  <c r="W57" i="1"/>
  <c r="W76" i="1" s="1"/>
  <c r="K55" i="1"/>
  <c r="V91" i="6" l="1"/>
  <c r="K91" i="6" s="1"/>
  <c r="K90" i="6"/>
  <c r="V52" i="8"/>
  <c r="V63" i="8"/>
  <c r="W52" i="8"/>
  <c r="W63" i="8"/>
  <c r="X43" i="8"/>
  <c r="L43" i="8" s="1"/>
  <c r="K76" i="1"/>
  <c r="X34" i="8"/>
  <c r="X36" i="8" s="1"/>
  <c r="X48" i="8" s="1"/>
  <c r="L30" i="8"/>
  <c r="P92" i="1"/>
  <c r="W59" i="1"/>
  <c r="K59" i="1" s="1"/>
  <c r="W78" i="1"/>
  <c r="K78" i="1" s="1"/>
  <c r="K57" i="1"/>
  <c r="W77" i="1"/>
  <c r="X51" i="8" l="1"/>
  <c r="X52" i="8" s="1"/>
  <c r="L52" i="8" s="1"/>
  <c r="L48" i="8"/>
  <c r="L36" i="8"/>
  <c r="X37" i="8"/>
  <c r="L37" i="8" s="1"/>
  <c r="L34" i="8"/>
  <c r="W81" i="1"/>
  <c r="X53" i="8" s="1"/>
  <c r="L53" i="8" s="1"/>
  <c r="K77" i="1"/>
  <c r="L51" i="8" l="1"/>
  <c r="X63" i="8"/>
  <c r="L63" i="8" s="1"/>
  <c r="W83" i="1"/>
  <c r="K81" i="1"/>
  <c r="W91" i="1" l="1"/>
  <c r="K83" i="1"/>
  <c r="W92" i="1" l="1"/>
  <c r="K92" i="1" s="1"/>
  <c r="K91" i="1"/>
  <c r="Q55" i="8" l="1"/>
  <c r="R54" i="8" l="1"/>
  <c r="Q66" i="8"/>
  <c r="Q67" i="8" s="1"/>
  <c r="P67" i="8"/>
  <c r="R55" i="8" l="1"/>
  <c r="S54" i="8" l="1"/>
  <c r="R66" i="8"/>
  <c r="R67" i="8" s="1"/>
  <c r="S55" i="8"/>
  <c r="T54" i="8" l="1"/>
  <c r="S66" i="8"/>
  <c r="S67" i="8" s="1"/>
  <c r="T55" i="8"/>
  <c r="U54" i="8" l="1"/>
  <c r="T66" i="8"/>
  <c r="T67" i="8" s="1"/>
  <c r="U55" i="8"/>
  <c r="V54" i="8" l="1"/>
  <c r="U66" i="8"/>
  <c r="U67" i="8" s="1"/>
  <c r="V55" i="8"/>
  <c r="W54" i="8" l="1"/>
  <c r="V66" i="8"/>
  <c r="W55" i="8"/>
  <c r="V67" i="8"/>
  <c r="X54" i="8" l="1"/>
  <c r="W66" i="8"/>
  <c r="X55" i="8"/>
  <c r="W67" i="8"/>
  <c r="Y54" i="8" l="1"/>
  <c r="X66" i="8"/>
  <c r="Y55" i="8"/>
  <c r="X67" i="8"/>
  <c r="Z54" i="8" l="1"/>
  <c r="Y66" i="8"/>
  <c r="Y67" i="8" s="1"/>
  <c r="Z55" i="8"/>
  <c r="AA54" i="8" l="1"/>
  <c r="Z66" i="8"/>
  <c r="AA55" i="8"/>
  <c r="Z67" i="8"/>
  <c r="AB54" i="8" l="1"/>
  <c r="AA66" i="8"/>
  <c r="AB55" i="8"/>
  <c r="AA67" i="8"/>
  <c r="AC54" i="8" l="1"/>
  <c r="AB66" i="8"/>
  <c r="AB67" i="8" s="1"/>
  <c r="AC55" i="8"/>
  <c r="AD54" i="8" l="1"/>
  <c r="AC66" i="8"/>
  <c r="AC67" i="8" s="1"/>
  <c r="AD55" i="8"/>
  <c r="AE54" i="8" l="1"/>
  <c r="AD66" i="8"/>
  <c r="AE55" i="8"/>
  <c r="AD67" i="8"/>
  <c r="AF54" i="8" l="1"/>
  <c r="AE66" i="8"/>
  <c r="AE67" i="8" s="1"/>
  <c r="AF55" i="8"/>
  <c r="AG54" i="8" l="1"/>
  <c r="AF66" i="8"/>
  <c r="AG55" i="8"/>
  <c r="AF67" i="8"/>
  <c r="AH54" i="8" l="1"/>
  <c r="AG66" i="8"/>
  <c r="AH55" i="8"/>
  <c r="AG67" i="8"/>
  <c r="AI54" i="8" l="1"/>
  <c r="AH66" i="8"/>
  <c r="AI55" i="8"/>
  <c r="AH67" i="8"/>
  <c r="AJ54" i="8" l="1"/>
  <c r="AI66" i="8"/>
  <c r="AJ55" i="8"/>
  <c r="AI67" i="8"/>
  <c r="AK54" i="8" l="1"/>
  <c r="AJ66" i="8"/>
  <c r="AK55" i="8"/>
  <c r="AJ67" i="8"/>
  <c r="AL54" i="8" l="1"/>
  <c r="AK66" i="8"/>
  <c r="AL55" i="8"/>
  <c r="AK67" i="8"/>
  <c r="AM54" i="8" l="1"/>
  <c r="AL66" i="8"/>
  <c r="AM55" i="8"/>
  <c r="AM66" i="8" l="1"/>
  <c r="AM67" i="8" s="1"/>
  <c r="L55" i="8"/>
  <c r="AL67" i="8"/>
  <c r="L66" i="8"/>
  <c r="L67" i="8" l="1"/>
  <c r="C3" i="10" s="1"/>
  <c r="C9" i="10" s="1"/>
  <c r="C10" i="10" s="1"/>
  <c r="C13" i="10" s="1"/>
  <c r="C16" i="10" s="1"/>
  <c r="C15"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tc={D996DE3B-FD26-4A27-BB86-231EA205C6E0}</author>
    <author>tc={22DAC695-5864-4E65-9B1A-CF826E835417}</author>
    <author>tc={D07F3B45-7FE1-45F8-8A90-8C26FE519549}</author>
    <author>tc={57EF7ECF-B140-427C-8557-0841B1F40F3F}</author>
    <author>tc={26E0FE1C-F608-4838-B106-65854A5B5B38}</author>
    <author>tc={F9C57797-8452-4E1F-8EA6-D00B85EB402F}</author>
    <author>tc={701A5B32-F693-446F-ACBC-3277735D875B}</author>
    <author>tc={88447837-4C4C-4FCE-9686-10E812BBCF0B}</author>
    <author>tc={D9FEBCAB-95BC-4FD2-937E-B800D5088225}</author>
    <author>tc={FBF1A66E-0F35-4671-AF59-FF3B088CCF5D}</author>
    <author>tc={CCC15107-6A72-416E-8013-C6AF9026DF8A}</author>
    <author>tc={01924525-6612-4D5D-8582-A6C180B155EF}</author>
    <author>tc={85E94866-E0A7-4CCC-B676-529FB56BB197}</author>
    <author>tc={B7DB6963-E3A9-492D-BA13-379B47C6B707}</author>
    <author>tc={3E0D8E73-151B-43A0-9CAA-F8FFF0C34362}</author>
    <author>tc={B0CCEA97-1CB4-484C-BDAE-8CBEE3DD5D27}</author>
    <author>tc={BAFA70A3-AED3-41FB-B966-7B70E648B6E8}</author>
  </authors>
  <commentList>
    <comment ref="K14" authorId="0" shapeId="0" xr:uid="{D996DE3B-FD26-4A27-BB86-231EA205C6E0}">
      <text>
        <t>[Threaded comment]
Your version of Excel allows you to read this threaded comment; however, any edits to it will get removed if the file is opened in a newer version of Excel. Learn more: https://go.microsoft.com/fwlink/?linkid=870924
Comment:
    Average realized price</t>
      </text>
    </comment>
    <comment ref="B33" authorId="1" shapeId="0" xr:uid="{22DAC695-5864-4E65-9B1A-CF826E835417}">
      <text>
        <t>[Threaded comment]
Your version of Excel allows you to read this threaded comment; however, any edits to it will get removed if the file is opened in a newer version of Excel. Learn more: https://go.microsoft.com/fwlink/?linkid=870924
Comment:
    Gross sales, i.e. without deducting refinining, smelting and transportation costs</t>
      </text>
    </comment>
    <comment ref="H34" authorId="2" shapeId="0" xr:uid="{D07F3B45-7FE1-45F8-8A90-8C26FE519549}">
      <text>
        <t>[Threaded comment]
Your version of Excel allows you to read this threaded comment; however, any edits to it will get removed if the file is opened in a newer version of Excel. Learn more: https://go.microsoft.com/fwlink/?linkid=870924
Comment:
    2017-2019 net sales, with refining, smelting and transportation costs subtracted</t>
      </text>
    </comment>
    <comment ref="B43" authorId="3" shapeId="0" xr:uid="{57EF7ECF-B140-427C-8557-0841B1F40F3F}">
      <text>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text>
    </comment>
    <comment ref="B44" authorId="4" shapeId="0" xr:uid="{26E0FE1C-F608-4838-B106-65854A5B5B38}">
      <text>
        <t>[Threaded comment]
Your version of Excel allows you to read this threaded comment; however, any edits to it will get removed if the file is opened in a newer version of Excel. Learn more: https://go.microsoft.com/fwlink/?linkid=870924
Comment:
    If central general and administrative costs are separate, predict them as well. For Endeavour Silver everything is included in the individual mines.</t>
      </text>
    </comment>
    <comment ref="F44" authorId="5" shapeId="0" xr:uid="{F9C57797-8452-4E1F-8EA6-D00B85EB402F}">
      <text>
        <t>[Threaded comment]
Your version of Excel allows you to read this threaded comment; however, any edits to it will get removed if the file is opened in a newer version of Excel. Learn more: https://go.microsoft.com/fwlink/?linkid=870924
Comment:
    No depreciation or share-based compensation included</t>
      </text>
    </comment>
    <comment ref="K45" authorId="6" shapeId="0" xr:uid="{701A5B32-F693-446F-ACBC-3277735D875B}">
      <text>
        <t>[Threaded comment]
Your version of Excel allows you to read this threaded comment; however, any edits to it will get removed if the file is opened in a newer version of Excel. Learn more: https://go.microsoft.com/fwlink/?linkid=870924
Comment:
    $600K to Parral, $3.2M in Exploration and evaluation expenses in total</t>
      </text>
    </comment>
    <comment ref="P45" authorId="7" shapeId="0" xr:uid="{88447837-4C4C-4FCE-9686-10E812BBCF0B}">
      <text>
        <t>[Threaded comment]
Your version of Excel allows you to read this threaded comment; however, any edits to it will get removed if the file is opened in a newer version of Excel. Learn more: https://go.microsoft.com/fwlink/?linkid=870924
Comment:
    Only exploration at Guanacevi and Bolanitos included</t>
      </text>
    </comment>
    <comment ref="B46" authorId="8" shapeId="0" xr:uid="{D9FEBCAB-95BC-4FD2-937E-B800D5088225}">
      <text>
        <t>[Threaded comment]
Your version of Excel allows you to read this threaded comment; however, any edits to it will get removed if the file is opened in a newer version of Excel. Learn more: https://go.microsoft.com/fwlink/?linkid=870924
Comment:
    Including care and maintenance cost (see El Compas whose production was suspended in August 2021. Also sold El Cubo mine in April 2021, which as put on care maintenance and cost $2.96M in 2020.</t>
      </text>
    </comment>
    <comment ref="F46" authorId="9" shapeId="0" xr:uid="{FBF1A66E-0F35-4671-AF59-FF3B088CCF5D}">
      <text>
        <t>[Threaded comment]
Your version of Excel allows you to read this threaded comment; however, any edits to it will get removed if the file is opened in a newer version of Excel. Learn more: https://go.microsoft.com/fwlink/?linkid=870924
Comment:
    Share-based compensation is included here, therefore not in corporate general and administrative</t>
      </text>
    </comment>
    <comment ref="G46" authorId="10" shapeId="0" xr:uid="{CCC15107-6A72-416E-8013-C6AF9026DF8A}">
      <text>
        <t>[Threaded comment]
Your version of Excel allows you to read this threaded comment; however, any edits to it will get removed if the file is opened in a newer version of Excel. Learn more: https://go.microsoft.com/fwlink/?linkid=870924
Comment:
    2017-2018 no care and maintenance and severance costs</t>
      </text>
    </comment>
    <comment ref="J46" authorId="11" shapeId="0" xr:uid="{01924525-6612-4D5D-8582-A6C180B155EF}">
      <text>
        <t>[Threaded comment]
Your version of Excel allows you to read this threaded comment; however, any edits to it will get removed if the file is opened in a newer version of Excel. Learn more: https://go.microsoft.com/fwlink/?linkid=870924
Comment:
    $870K severance costs, $1.136M care and maintenance costs</t>
      </text>
    </comment>
    <comment ref="M46" authorId="12" shapeId="0" xr:uid="{85E94866-E0A7-4CCC-B676-529FB56BB197}">
      <text>
        <t>[Threaded comment]
Your version of Excel allows you to read this threaded comment; however, any edits to it will get removed if the file is opened in a newer version of Excel. Learn more: https://go.microsoft.com/fwlink/?linkid=870924
Comment:
    Assume quarterly $190K care and maintenance cost for El Compas, similar to 2021 and equal to Q1 2022</t>
      </text>
    </comment>
    <comment ref="Q46" authorId="13" shapeId="0" xr:uid="{B7DB6963-E3A9-492D-BA13-379B47C6B707}">
      <text>
        <t>[Threaded comment]
Your version of Excel allows you to read this threaded comment; however, any edits to it will get removed if the file is opened in a newer version of Excel. Learn more: https://go.microsoft.com/fwlink/?linkid=870924
Comment:
    Assume that this is the last period with El Compas being on care and maintenance. Assume it gets shut down in H2 and therefore only care and maintenance cost for Q2 2023.</t>
      </text>
    </comment>
    <comment ref="B53" authorId="14" shapeId="0" xr:uid="{3E0D8E73-151B-43A0-9CAA-F8FFF0C34362}">
      <text>
        <t>[Threaded comment]
Your version of Excel allows you to read this threaded comment; however, any edits to it will get removed if the file is opened in a newer version of Excel. Learn more: https://go.microsoft.com/fwlink/?linkid=870924
Comment:
    Weighted average statutory income tax rate</t>
      </text>
    </comment>
    <comment ref="K53" authorId="15" shapeId="0" xr:uid="{B0CCEA97-1CB4-484C-BDAE-8CBEE3DD5D27}">
      <text>
        <t>[Threaded comment]
Your version of Excel allows you to read this threaded comment; however, any edits to it will get removed if the file is opened in a newer version of Excel. Learn more: https://go.microsoft.com/fwlink/?linkid=870924
Comment:
    Including special mining duty</t>
      </text>
    </comment>
    <comment ref="B58" authorId="16" shapeId="0" xr:uid="{BAFA70A3-AED3-41FB-B966-7B70E648B6E8}">
      <text>
        <t>[Threaded comment]
Your version of Excel allows you to read this threaded comment; however, any edits to it will get removed if the file is opened in a newer version of Excel. Learn more: https://go.microsoft.com/fwlink/?linkid=870924
Comment:
    Including closure costs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tc={4C58E792-A8F0-4A73-BD75-130A4A35A5F0}</author>
    <author>tc={03C1B92E-CCFC-497D-8A9A-3ABCC01469B7}</author>
    <author>tc={902085F7-7FC1-4B18-9526-0B8965B449B8}</author>
    <author>tc={317DF1D0-BBDF-48EE-84CA-EB31CA121AC5}</author>
    <author>tc={016983C1-ACB6-4654-972A-6E2ABF5E4BA9}</author>
    <author>tc={92A1C318-EFF5-4CD4-BB13-DEF77684B1C4}</author>
    <author>tc={9EA59D34-3F44-4C99-9D87-98CDB270F4E9}</author>
    <author>tc={4E744F9A-1712-4188-86C0-21B508954A29}</author>
    <author>tc={97221998-982D-4A46-8BEA-3121162E6AEF}</author>
    <author>tc={61D1BE3C-8671-4173-83EC-AA1DC75B76CC}</author>
    <author>tc={1F4352D2-59A6-4D74-B907-1A34A0399054}</author>
    <author>tc={F5CEF290-1B0C-493F-B8E4-ADC17BD66512}</author>
    <author>tc={56311A6B-BF49-4348-A17F-2D8942861AD5}</author>
    <author>tc={AF01FB2A-2E5B-4B7A-AF6B-56C5EDA13A7C}</author>
    <author>tc={95DE305B-8390-438F-858F-AEC72FC3600A}</author>
    <author>tc={70F9506A-1312-4442-A1F9-E8ED04D37B6C}</author>
    <author>tc={3D32255F-8128-45A1-BB09-0E3829E8D1CD}</author>
    <author>tc={3A21AC70-E04D-4E94-B69E-4FE5689C2A43}</author>
    <author>tc={38F6D065-0D3F-433E-98D7-AC1DCAEDCC32}</author>
    <author>tc={8129F3AE-BEEA-42B9-8481-256416A5578E}</author>
  </authors>
  <commentList>
    <comment ref="F7" authorId="0" shapeId="0" xr:uid="{4C58E792-A8F0-4A73-BD75-130A4A35A5F0}">
      <text>
        <t>[Threaded comment]
Your version of Excel allows you to read this threaded comment; however, any edits to it will get removed if the file is opened in a newer version of Excel. Learn more: https://go.microsoft.com/fwlink/?linkid=870924
Comment:
    End of 2022 Q1</t>
      </text>
    </comment>
    <comment ref="J14" authorId="1" shapeId="0" xr:uid="{03C1B92E-CCFC-497D-8A9A-3ABCC01469B7}">
      <text>
        <t>[Threaded comment]
Your version of Excel allows you to read this threaded comment; however, any edits to it will get removed if the file is opened in a newer version of Excel. Learn more: https://go.microsoft.com/fwlink/?linkid=870924
Comment:
    Average realized price</t>
      </text>
    </comment>
    <comment ref="J18" authorId="2" shapeId="0" xr:uid="{902085F7-7FC1-4B18-9526-0B8965B449B8}">
      <text>
        <t>[Threaded comment]
Your version of Excel allows you to read this threaded comment; however, any edits to it will get removed if the file is opened in a newer version of Excel. Learn more: https://go.microsoft.com/fwlink/?linkid=870924
Comment:
    In the beginning of the quarter</t>
      </text>
    </comment>
    <comment ref="L29" authorId="3" shapeId="0" xr:uid="{317DF1D0-BBDF-48EE-84CA-EB31CA121AC5}">
      <text>
        <t>[Threaded comment]
Your version of Excel allows you to read this threaded comment; however, any edits to it will get removed if the file is opened in a newer version of Excel. Learn more: https://go.microsoft.com/fwlink/?linkid=870924
Comment:
    Guidance said 1,165 but that has historically been a bit optimistic, so I think 1,150 tpd is more reasonable</t>
      </text>
    </comment>
    <comment ref="B54" authorId="4" shapeId="0" xr:uid="{016983C1-ACB6-4654-972A-6E2ABF5E4BA9}">
      <text>
        <t>[Threaded comment]
Your version of Excel allows you to read this threaded comment; however, any edits to it will get removed if the file is opened in a newer version of Excel. Learn more: https://go.microsoft.com/fwlink/?linkid=870924
Comment:
    Gross sales</t>
      </text>
    </comment>
    <comment ref="G55" authorId="5" shapeId="0" xr:uid="{92A1C318-EFF5-4CD4-BB13-DEF77684B1C4}">
      <text>
        <t>[Threaded comment]
Your version of Excel allows you to read this threaded comment; however, any edits to it will get removed if the file is opened in a newer version of Excel. Learn more: https://go.microsoft.com/fwlink/?linkid=870924
Comment:
    Net sales 2017-2019 (refining, smelting and transportation costs subtracted)</t>
      </text>
    </comment>
    <comment ref="B64" authorId="6" shapeId="0" xr:uid="{9EA59D34-3F44-4C99-9D87-98CDB270F4E9}">
      <text>
        <t>[Threaded comment]
Your version of Excel allows you to read this threaded comment; however, any edits to it will get removed if the file is opened in a newer version of Excel. Learn more: https://go.microsoft.com/fwlink/?linkid=870924
Comment:
    Mining, processing, smelting, refining, transportation and selling costs, direct overhead costs</t>
      </text>
    </comment>
    <comment ref="B66" authorId="7" shapeId="0" xr:uid="{4E744F9A-1712-4188-86C0-21B508954A29}">
      <text>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text>
    </comment>
    <comment ref="B68" authorId="8" shapeId="0" xr:uid="{97221998-982D-4A46-8BEA-3121162E6AEF}">
      <text>
        <t>[Threaded comment]
Your version of Excel allows you to read this threaded comment; however, any edits to it will get removed if the file is opened in a newer version of Excel. Learn more: https://go.microsoft.com/fwlink/?linkid=870924
Comment:
    Kan vara bara för den enskilda gruvan eller centralt, tex Endeavour sprider ut sin corporate G&amp;A över alla gruvor medan Hochschild delar upp G&amp;A i corporate och vanlig, där den vanliga tillskrivs enskilda gruvor.</t>
      </text>
    </comment>
    <comment ref="L69" authorId="9" shapeId="0" xr:uid="{61D1BE3C-8671-4173-83EC-AA1DC75B76CC}">
      <text>
        <t>[Threaded comment]
Your version of Excel allows you to read this threaded comment; however, any edits to it will get removed if the file is opened in a newer version of Excel. Learn more: https://go.microsoft.com/fwlink/?linkid=870924
Comment:
    From Guidance 2022</t>
      </text>
    </comment>
    <comment ref="B70" authorId="10" shapeId="0" xr:uid="{1F4352D2-59A6-4D74-B907-1A34A0399054}">
      <text>
        <t>[Threaded comment]
Your version of Excel allows you to read this threaded comment; however, any edits to it will get removed if the file is opened in a newer version of Excel. Learn more: https://go.microsoft.com/fwlink/?linkid=870924
Comment:
    I Endeavours fall: Stock based compensation, intangible payments, equipment loan payments</t>
      </text>
    </comment>
    <comment ref="F70" authorId="11" shapeId="0" xr:uid="{F5CEF290-1B0C-493F-B8E4-ADC17BD66512}">
      <text>
        <t>[Threaded comment]
Your version of Excel allows you to read this threaded comment; however, any edits to it will get removed if the file is opened in a newer version of Excel. Learn more: https://go.microsoft.com/fwlink/?linkid=870924
Comment:
    Does not include Intangible payments and Equipment loan payments, which cannot be found in the MD&amp;A of the year. Though they were zero for 2019 so perhaps  they did not exist before or they started to become recorded from 2020 and onwards.</t>
      </text>
    </comment>
    <comment ref="B76" authorId="12" shapeId="0" xr:uid="{56311A6B-BF49-4348-A17F-2D8942861AD5}">
      <text>
        <t>[Threaded comment]
Your version of Excel allows you to read this threaded comment; however, any edits to it will get removed if the file is opened in a newer version of Excel. Learn more: https://go.microsoft.com/fwlink/?linkid=870924
Comment:
    12$/t plus sliding royalty on NSR value on silver</t>
      </text>
    </comment>
    <comment ref="J76" authorId="13" shapeId="0" xr:uid="{AF01FB2A-2E5B-4B7A-AF6B-56C5EDA13A7C}">
      <text>
        <t>[Threaded comment]
Your version of Excel allows you to read this threaded comment; however, any edits to it will get removed if the file is opened in a newer version of Excel. Learn more: https://go.microsoft.com/fwlink/?linkid=870924
Comment:
    No data</t>
      </text>
    </comment>
    <comment ref="B77" authorId="14" shapeId="0" xr:uid="{95DE305B-8390-438F-858F-AEC72FC3600A}">
      <text>
        <t>[Threaded comment]
Your version of Excel allows you to read this threaded comment; however, any edits to it will get removed if the file is opened in a newer version of Excel. Learn more: https://go.microsoft.com/fwlink/?linkid=870924
Comment:
    7.5% of EBITDA</t>
      </text>
    </comment>
    <comment ref="G77" authorId="15" shapeId="0" xr:uid="{70F9506A-1312-4442-A1F9-E8ED04D37B6C}">
      <text>
        <t>[Threaded comment]
Your version of Excel allows you to read this threaded comment; however, any edits to it will get removed if the file is opened in a newer version of Excel. Learn more: https://go.microsoft.com/fwlink/?linkid=870924
Comment:
    No data 2017-2019</t>
      </text>
    </comment>
    <comment ref="B78" authorId="16" shapeId="0" xr:uid="{3D32255F-8128-45A1-BB09-0E3829E8D1CD}">
      <text>
        <t>[Threaded comment]
Your version of Excel allows you to read this threaded comment; however, any edits to it will get removed if the file is opened in a newer version of Excel. Learn more: https://go.microsoft.com/fwlink/?linkid=870924
Comment:
    0.5% on sales</t>
      </text>
    </comment>
    <comment ref="J78" authorId="17" shapeId="0" xr:uid="{3A21AC70-E04D-4E94-B69E-4FE5689C2A43}">
      <text>
        <t>[Threaded comment]
Your version of Excel allows you to read this threaded comment; however, any edits to it will get removed if the file is opened in a newer version of Excel. Learn more: https://go.microsoft.com/fwlink/?linkid=870924
Comment:
    No data</t>
      </text>
    </comment>
    <comment ref="I83" authorId="18" shapeId="0" xr:uid="{38F6D065-0D3F-433E-98D7-AC1DCAEDCC32}">
      <text>
        <t>[Threaded comment]
Your version of Excel allows you to read this threaded comment; however, any edits to it will get removed if the file is opened in a newer version of Excel. Learn more: https://go.microsoft.com/fwlink/?linkid=870924
Comment:
    Includes the mining royalty and deferred income tax enpense</t>
      </text>
    </comment>
    <comment ref="B87" authorId="19" shapeId="0" xr:uid="{8129F3AE-BEEA-42B9-8481-256416A5578E}">
      <text>
        <t>[Threaded comment]
Your version of Excel allows you to read this threaded comment; however, any edits to it will get removed if the file is opened in a newer version of Excel. Learn more: https://go.microsoft.com/fwlink/?linkid=870924
Comment:
    2091000 * 1.2 (2091000 is from the Technical report)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tc={167B6703-20E7-4860-92EC-9B030B9901E3}</author>
    <author>tc={1A20A62F-4375-4EFF-9747-8FDDD433ABDD}</author>
    <author>tc={28C83DBE-8ABC-4A8A-812F-A0C804AF6E99}</author>
    <author>tc={55DFCB31-F367-4DE6-A733-025807E95F83}</author>
    <author>tc={DB9EC9BF-9F4F-41BF-B30C-213CB77BFFB0}</author>
    <author>tc={3A27A682-FCD0-4D4B-AF38-2C0D6AEA7E0F}</author>
    <author>tc={29C8306A-FC4F-4422-BE76-402078723FB9}</author>
    <author>tc={F5A44405-992D-4237-9144-8E82E167C7B3}</author>
    <author>tc={6E1556CB-B5B1-4B38-9F8E-B2798E8E1ACB}</author>
    <author>tc={A81F1757-112C-4F19-AD69-EBC3843FFE03}</author>
    <author>tc={83D3B581-BC8A-443C-A19E-B8DF49079E3E}</author>
    <author>tc={5CBAA213-B177-4A52-9E54-73DF8E0631EF}</author>
    <author>tc={02A4DEE6-7C8A-4605-AEB7-B3AC6DAE6D67}</author>
    <author>tc={80F59678-CD41-4531-9AFE-13469D191F2A}</author>
    <author>tc={3EE5952C-8540-4E92-A0C0-02EF8D1F78AF}</author>
    <author>tc={40397A33-C559-48C3-94BE-198D14BFDACC}</author>
    <author>tc={2A269C5D-EBB5-4926-A303-3CD18C3A2676}</author>
    <author>tc={43FA16BC-40DE-4361-8562-3DBFAE0C566C}</author>
    <author>tc={FD56EA64-2BDD-4134-972B-94BCE5C9F0AA}</author>
    <author>tc={4E27B9DC-5960-42FD-A832-87C5EEAD0767}</author>
    <author>tc={0CCC7E6A-C38F-4B74-9C2E-6C6FCBA31CBA}</author>
    <author>tc={CE6D4040-D611-4D54-9E93-E7B88B6E09FA}</author>
  </authors>
  <commentList>
    <comment ref="F7" authorId="0" shapeId="0" xr:uid="{167B6703-20E7-4860-92EC-9B030B9901E3}">
      <text>
        <t>[Threaded comment]
Your version of Excel allows you to read this threaded comment; however, any edits to it will get removed if the file is opened in a newer version of Excel. Learn more: https://go.microsoft.com/fwlink/?linkid=870924
Comment:
    End of 2022 Q1</t>
      </text>
    </comment>
    <comment ref="J14" authorId="1" shapeId="0" xr:uid="{1A20A62F-4375-4EFF-9747-8FDDD433ABDD}">
      <text>
        <t>[Threaded comment]
Your version of Excel allows you to read this threaded comment; however, any edits to it will get removed if the file is opened in a newer version of Excel. Learn more: https://go.microsoft.com/fwlink/?linkid=870924
Comment:
    Average realized price</t>
      </text>
    </comment>
    <comment ref="J18" authorId="2" shapeId="0" xr:uid="{28C83DBE-8ABC-4A8A-812F-A0C804AF6E99}">
      <text>
        <t>[Threaded comment]
Your version of Excel allows you to read this threaded comment; however, any edits to it will get removed if the file is opened in a newer version of Excel. Learn more: https://go.microsoft.com/fwlink/?linkid=870924
Comment:
    In the beginning of the quarter</t>
      </text>
    </comment>
    <comment ref="L29" authorId="3" shapeId="0" xr:uid="{55DFCB31-F367-4DE6-A733-025807E95F83}">
      <text>
        <t>[Threaded comment]
Your version of Excel allows you to read this threaded comment; however, any edits to it will get removed if the file is opened in a newer version of Excel. Learn more: https://go.microsoft.com/fwlink/?linkid=870924
Comment:
    1,600 tpd capacity but only processing around 1,200 tdp or less. 1,080 tpd is guidance for 2022.</t>
      </text>
    </comment>
    <comment ref="L31" authorId="4" shapeId="0" xr:uid="{DB9EC9BF-9F4F-41BF-B30C-213CB77BFFB0}">
      <text>
        <t>[Threaded comment]
Your version of Excel allows you to read this threaded comment; however, any edits to it will get removed if the file is opened in a newer version of Excel. Learn more: https://go.microsoft.com/fwlink/?linkid=870924
Comment:
    Guidance said similar grades as in 2021, but I believe in slightly higher grades as their probable resevers have higher grades.</t>
      </text>
    </comment>
    <comment ref="L39" authorId="5" shapeId="0" xr:uid="{3A27A682-FCD0-4D4B-AF38-2C0D6AEA7E0F}">
      <text>
        <t>[Threaded comment]
Your version of Excel allows you to read this threaded comment; however, any edits to it will get removed if the file is opened in a newer version of Excel. Learn more: https://go.microsoft.com/fwlink/?linkid=870924
Comment:
    Guidance for 2022</t>
      </text>
    </comment>
    <comment ref="O39" authorId="6" shapeId="0" xr:uid="{29C8306A-FC4F-4422-BE76-402078723FB9}">
      <text>
        <t>[Threaded comment]
Your version of Excel allows you to read this threaded comment; however, any edits to it will get removed if the file is opened in a newer version of Excel. Learn more: https://go.microsoft.com/fwlink/?linkid=870924
Comment:
    Conservative estimate that the recovery is getting a bit lower but higher than previous five years' average</t>
      </text>
    </comment>
    <comment ref="B46" authorId="7" shapeId="0" xr:uid="{F5A44405-992D-4237-9144-8E82E167C7B3}">
      <text>
        <t>[Threaded comment]
Your version of Excel allows you to read this threaded comment; however, any edits to it will get removed if the file is opened in a newer version of Excel. Learn more: https://go.microsoft.com/fwlink/?linkid=870924
Comment:
    Concentrate production therefore lower payability</t>
      </text>
    </comment>
    <comment ref="B54" authorId="8" shapeId="0" xr:uid="{6E1556CB-B5B1-4B38-9F8E-B2798E8E1ACB}">
      <text>
        <t>[Threaded comment]
Your version of Excel allows you to read this threaded comment; however, any edits to it will get removed if the file is opened in a newer version of Excel. Learn more: https://go.microsoft.com/fwlink/?linkid=870924
Comment:
    Gross sales, i.e. without deducting refinining, smelting and transportation costs</t>
      </text>
    </comment>
    <comment ref="B64" authorId="9" shapeId="0" xr:uid="{A81F1757-112C-4F19-AD69-EBC3843FFE03}">
      <text>
        <t>[Threaded comment]
Your version of Excel allows you to read this threaded comment; however, any edits to it will get removed if the file is opened in a newer version of Excel. Learn more: https://go.microsoft.com/fwlink/?linkid=870924
Comment:
    Mining, processing, smelting, refining, transportation and selling costs, direct overhead costs (on-site general and administrative)</t>
      </text>
    </comment>
    <comment ref="B66" authorId="10" shapeId="0" xr:uid="{83D3B581-BC8A-443C-A19E-B8DF49079E3E}">
      <text>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text>
    </comment>
    <comment ref="B68" authorId="11" shapeId="0" xr:uid="{5CBAA213-B177-4A52-9E54-73DF8E0631EF}">
      <text>
        <t>[Threaded comment]
Your version of Excel allows you to read this threaded comment; however, any edits to it will get removed if the file is opened in a newer version of Excel. Learn more: https://go.microsoft.com/fwlink/?linkid=870924
Comment:
    Kan vara bara för den enskilda gruvan eller centralt, tex Endeavour sprider ut sin corporate G&amp;A över alla gruvor medan Hochschild delar upp G&amp;A i corporate och vanlig, där den vanliga tillskrivs enskilda gruvor.</t>
      </text>
    </comment>
    <comment ref="B70" authorId="12" shapeId="0" xr:uid="{02A4DEE6-7C8A-4605-AEB7-B3AC6DAE6D67}">
      <text>
        <t>[Threaded comment]
Your version of Excel allows you to read this threaded comment; however, any edits to it will get removed if the file is opened in a newer version of Excel. Learn more: https://go.microsoft.com/fwlink/?linkid=870924
Comment:
    I Endeavours fall: Stock based compensation, intangible payments, equipment loan payments</t>
      </text>
    </comment>
    <comment ref="J70" authorId="13" shapeId="0" xr:uid="{80F59678-CD41-4531-9AFE-13469D191F2A}">
      <text>
        <t>[Threaded comment]
Your version of Excel allows you to read this threaded comment; however, any edits to it will get removed if the file is opened in a newer version of Excel. Learn more: https://go.microsoft.com/fwlink/?linkid=870924
Comment:
    More equipment loans so higher equipment loan payments</t>
      </text>
    </comment>
    <comment ref="B71" authorId="14" shapeId="0" xr:uid="{3EE5952C-8540-4E92-A0C0-02EF8D1F78AF}">
      <text>
        <t>[Threaded comment]
Your version of Excel allows you to read this threaded comment; however, any edits to it will get removed if the file is opened in a newer version of Excel. Learn more: https://go.microsoft.com/fwlink/?linkid=870924
Comment:
    0.76 is the average depreciation/capex ratio from 2017 to Q1 2022</t>
      </text>
    </comment>
    <comment ref="B75" authorId="15" shapeId="0" xr:uid="{40397A33-C559-48C3-94BE-198D14BFDACC}">
      <text>
        <t>[Threaded comment]
Your version of Excel allows you to read this threaded comment; however, any edits to it will get removed if the file is opened in a newer version of Excel. Learn more: https://go.microsoft.com/fwlink/?linkid=870924
Comment:
    2% NSR Royalty on 4/26 concessions and they pay a small concession tax ($41K 2020), but these are negligible as their historic royalty have been around $200K-$250K</t>
      </text>
    </comment>
    <comment ref="B76" authorId="16" shapeId="0" xr:uid="{2A269C5D-EBB5-4926-A303-3CD18C3A2676}">
      <text>
        <t>[Threaded comment]
Your version of Excel allows you to read this threaded comment; however, any edits to it will get removed if the file is opened in a newer version of Excel. Learn more: https://go.microsoft.com/fwlink/?linkid=870924
Comment:
    7.5% of EBITDA</t>
      </text>
    </comment>
    <comment ref="G76" authorId="17" shapeId="0" xr:uid="{43FA16BC-40DE-4361-8562-3DBFAE0C566C}">
      <text>
        <t>[Threaded comment]
Your version of Excel allows you to read this threaded comment; however, any edits to it will get removed if the file is opened in a newer version of Excel. Learn more: https://go.microsoft.com/fwlink/?linkid=870924
Comment:
    No data 2019</t>
      </text>
    </comment>
    <comment ref="B77" authorId="18" shapeId="0" xr:uid="{FD56EA64-2BDD-4134-972B-94BCE5C9F0AA}">
      <text>
        <t>[Threaded comment]
Your version of Excel allows you to read this threaded comment; however, any edits to it will get removed if the file is opened in a newer version of Excel. Learn more: https://go.microsoft.com/fwlink/?linkid=870924
Comment:
    0.5% on sales</t>
      </text>
    </comment>
    <comment ref="B81" authorId="19" shapeId="0" xr:uid="{4E27B9DC-5960-42FD-A832-87C5EEAD0767}">
      <text>
        <t>[Threaded comment]
Your version of Excel allows you to read this threaded comment; however, any edits to it will get removed if the file is opened in a newer version of Excel. Learn more: https://go.microsoft.com/fwlink/?linkid=870924
Comment:
    Corporate tax rate in Mexico is 30%</t>
      </text>
    </comment>
    <comment ref="J81" authorId="20" shapeId="0" xr:uid="{0CCC7E6A-C38F-4B74-9C2E-6C6FCBA31CBA}">
      <text>
        <t>[Threaded comment]
Your version of Excel allows you to read this threaded comment; however, any edits to it will get removed if the file is opened in a newer version of Excel. Learn more: https://go.microsoft.com/fwlink/?linkid=870924
Comment:
    Includes the mining royalties and deferred income taxes</t>
      </text>
    </comment>
    <comment ref="B86" authorId="21" shapeId="0" xr:uid="{CE6D4040-D611-4D54-9E93-E7B88B6E09FA}">
      <text>
        <t>[Threaded comment]
Your version of Excel allows you to read this threaded comment; however, any edits to it will get removed if the file is opened in a newer version of Excel. Learn more: https://go.microsoft.com/fwlink/?linkid=870924
Comment:
    1,977,043 * 1.2 (1,977,043 is from the Technical Report)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tc={3640AFC1-1942-494A-ACFF-A01E527DD512}</author>
    <author>tc={F7D9B0AD-7E02-42E7-BE13-97925B8559AD}</author>
    <author>tc={1C20126C-0E7A-43A7-AEF2-D546CD28205E}</author>
    <author>tc={818653AC-BB97-496F-9803-2E103BBF9613}</author>
    <author>tc={EA5A2A52-27F9-4CEF-B24D-AA18A63A24B6}</author>
    <author>tc={98F928E8-7A02-4D81-BC93-5D88A4A0CB70}</author>
    <author>tc={D06F750A-F014-4B77-A2D4-2EB2ACED5B5B}</author>
    <author>tc={00A878FE-285E-4FA6-B757-E352CDB45876}</author>
    <author>tc={F42D2039-D37D-42BE-9E6A-348A0DE3A114}</author>
    <author>tc={A954B980-EBF2-4623-BCB0-3103BA6470D9}</author>
    <author>tc={E1437A89-0AED-44DF-BD34-8A07CDF26DA3}</author>
  </authors>
  <commentList>
    <comment ref="E14" authorId="0" shapeId="0" xr:uid="{3640AFC1-1942-494A-ACFF-A01E527DD512}">
      <text>
        <t>[Threaded comment]
Your version of Excel allows you to read this threaded comment; however, any edits to it will get removed if the file is opened in a newer version of Excel. Learn more: https://go.microsoft.com/fwlink/?linkid=870924
Comment:
    Average realized price</t>
      </text>
    </comment>
    <comment ref="K22" authorId="1" shapeId="0" xr:uid="{F7D9B0AD-7E02-42E7-BE13-97925B8559AD}">
      <text>
        <t>[Threaded comment]
Your version of Excel allows you to read this threaded comment; however, any edits to it will get removed if the file is opened in a newer version of Excel. Learn more: https://go.microsoft.com/fwlink/?linkid=870924
Comment:
    Fixed</t>
      </text>
    </comment>
    <comment ref="B38" authorId="2" shapeId="0" xr:uid="{1C20126C-0E7A-43A7-AEF2-D546CD28205E}">
      <text>
        <t>[Threaded comment]
Your version of Excel allows you to read this threaded comment; however, any edits to it will get removed if the file is opened in a newer version of Excel. Learn more: https://go.microsoft.com/fwlink/?linkid=870924
Comment:
    Concentrate production so lower payability</t>
      </text>
    </comment>
    <comment ref="B57" authorId="3" shapeId="0" xr:uid="{818653AC-BB97-496F-9803-2E103BBF9613}">
      <text>
        <t>[Threaded comment]
Your version of Excel allows you to read this threaded comment; however, any edits to it will get removed if the file is opened in a newer version of Excel. Learn more: https://go.microsoft.com/fwlink/?linkid=870924
Comment:
    For example: penalty for exceeding allowed arsenic levels in the produced concentrates</t>
      </text>
    </comment>
    <comment ref="L63" authorId="4" shapeId="0" xr:uid="{EA5A2A52-27F9-4CEF-B24D-AA18A63A24B6}">
      <text>
        <t>[Threaded comment]
Your version of Excel allows you to read this threaded comment; however, any edits to it will get removed if the file is opened in a newer version of Excel. Learn more: https://go.microsoft.com/fwlink/?linkid=870924
Comment:
    Net operating earnings in the technical report are without depreciation and the numerator is the mining royalty (in the report) and the denominator is the royalty rate (7.5%).</t>
      </text>
    </comment>
    <comment ref="B72" authorId="5" shapeId="0" xr:uid="{98F928E8-7A02-4D81-BC93-5D88A4A0CB70}">
      <text>
        <t>[Threaded comment]
Your version of Excel allows you to read this threaded comment; however, any edits to it will get removed if the file is opened in a newer version of Excel. Learn more: https://go.microsoft.com/fwlink/?linkid=870924
Comment:
    Mining, processing, smelting, refining, transportation and selling costs, direct overhead costs (on-site general and administrative)</t>
      </text>
    </comment>
    <comment ref="B74" authorId="6" shapeId="0" xr:uid="{D06F750A-F014-4B77-A2D4-2EB2ACED5B5B}">
      <text>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text>
    </comment>
    <comment ref="B76" authorId="7" shapeId="0" xr:uid="{00A878FE-285E-4FA6-B757-E352CDB45876}">
      <text>
        <t>[Threaded comment]
Your version of Excel allows you to read this threaded comment; however, any edits to it will get removed if the file is opened in a newer version of Excel. Learn more: https://go.microsoft.com/fwlink/?linkid=870924
Comment:
    2% NSR Royalty on 4/26 concessions and they pay a small concession tax ($41K 2020), but these are negligible as their historic royalty have been around $200K-$250K</t>
      </text>
    </comment>
    <comment ref="B77" authorId="8" shapeId="0" xr:uid="{F42D2039-D37D-42BE-9E6A-348A0DE3A114}">
      <text>
        <t>[Threaded comment]
Your version of Excel allows you to read this threaded comment; however, any edits to it will get removed if the file is opened in a newer version of Excel. Learn more: https://go.microsoft.com/fwlink/?linkid=870924
Comment:
    2% of Net smelter return (NSR)</t>
      </text>
    </comment>
    <comment ref="B78" authorId="9" shapeId="0" xr:uid="{A954B980-EBF2-4623-BCB0-3103BA6470D9}">
      <text>
        <t>[Threaded comment]
Your version of Excel allows you to read this threaded comment; however, any edits to it will get removed if the file is opened in a newer version of Excel. Learn more: https://go.microsoft.com/fwlink/?linkid=870924
Comment:
    7.5% of EBITDA</t>
      </text>
    </comment>
    <comment ref="B79" authorId="10" shapeId="0" xr:uid="{E1437A89-0AED-44DF-BD34-8A07CDF26DA3}">
      <text>
        <t>[Threaded comment]
Your version of Excel allows you to read this threaded comment; however, any edits to it will get removed if the file is opened in a newer version of Excel. Learn more: https://go.microsoft.com/fwlink/?linkid=870924
Comment:
    0.5% on sales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tc={3AA556D7-BCFB-4746-BB79-9376F2639D66}</author>
    <author>tc={59434215-E7C5-4BD3-8A14-B4190217E7AE}</author>
    <author>tc={E849ED32-5F66-4861-A553-1EEDC2B524DD}</author>
    <author>tc={76C805CF-BFE8-4199-B0E4-7412EE8B473E}</author>
  </authors>
  <commentList>
    <comment ref="B7" authorId="0" shapeId="0" xr:uid="{3AA556D7-BCFB-4746-BB79-9376F2639D66}">
      <text>
        <t>[Threaded comment]
Your version of Excel allows you to read this threaded comment; however, any edits to it will get removed if the file is opened in a newer version of Excel. Learn more: https://go.microsoft.com/fwlink/?linkid=870924
Comment:
    Weighted average interest rate</t>
      </text>
    </comment>
    <comment ref="B8" authorId="1" shapeId="0" xr:uid="{59434215-E7C5-4BD3-8A14-B4190217E7AE}">
      <text>
        <t>[Threaded comment]
Your version of Excel allows you to read this threaded comment; however, any edits to it will get removed if the file is opened in a newer version of Excel. Learn more: https://go.microsoft.com/fwlink/?linkid=870924
Comment:
    Weighted average interest rate</t>
      </text>
    </comment>
    <comment ref="B12" authorId="2" shapeId="0" xr:uid="{E849ED32-5F66-4861-A553-1EEDC2B524DD}">
      <text>
        <t>[Threaded comment]
Your version of Excel allows you to read this threaded comment; however, any edits to it will get removed if the file is opened in a newer version of Excel. Learn more: https://go.microsoft.com/fwlink/?linkid=870924
Comment:
    10 yr treasury yield</t>
      </text>
    </comment>
    <comment ref="C18" authorId="3" shapeId="0" xr:uid="{76C805CF-BFE8-4199-B0E4-7412EE8B473E}">
      <text>
        <t>[Threaded comment]
Your version of Excel allows you to read this threaded comment; however, any edits to it will get removed if the file is opened in a newer version of Excel. Learn more: https://go.microsoft.com/fwlink/?linkid=870924
Comment:
    Since all their income is from Mexico and Mexico's tax corporate tax rate is 30%</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tc={7858B377-AD00-4AAA-96EA-86580304207C}</author>
  </authors>
  <commentList>
    <comment ref="A9" authorId="0" shapeId="0" xr:uid="{7858B377-AD00-4AAA-96EA-86580304207C}">
      <text>
        <t>[Threaded comment]
Your version of Excel allows you to read this threaded comment; however, any edits to it will get removed if the file is opened in a newer version of Excel. Learn more: https://go.microsoft.com/fwlink/?linkid=870924
Comment:
    Terronera</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tc={5CF4A114-9566-4564-A985-3B03E132CD8F}</author>
    <author>tc={E4CD2302-7296-461E-B606-D92BCCC678DD}</author>
    <author>tc={619347F8-E2EC-4E6C-B6BE-51F1342962D6}</author>
    <author>tc={265D1D85-7E90-4295-A6F9-05F1B280E207}</author>
  </authors>
  <commentList>
    <comment ref="D2" authorId="0" shapeId="0" xr:uid="{5CF4A114-9566-4564-A985-3B03E132CD8F}">
      <text>
        <t>[Threaded comment]
Your version of Excel allows you to read this threaded comment; however, any edits to it will get removed if the file is opened in a newer version of Excel. Learn more: https://go.microsoft.com/fwlink/?linkid=870924
Comment:
    No data</t>
      </text>
    </comment>
    <comment ref="K2" authorId="1" shapeId="0" xr:uid="{E4CD2302-7296-461E-B606-D92BCCC678DD}">
      <text>
        <t>[Threaded comment]
Your version of Excel allows you to read this threaded comment; however, any edits to it will get removed if the file is opened in a newer version of Excel. Learn more: https://go.microsoft.com/fwlink/?linkid=870924
Comment:
    No data</t>
      </text>
    </comment>
    <comment ref="L2" authorId="2" shapeId="0" xr:uid="{619347F8-E2EC-4E6C-B6BE-51F1342962D6}">
      <text>
        <t>[Threaded comment]
Your version of Excel allows you to read this threaded comment; however, any edits to it will get removed if the file is opened in a newer version of Excel. Learn more: https://go.microsoft.com/fwlink/?linkid=870924
Comment:
    Covid-19 and ensuing production stopages caused lower production</t>
      </text>
    </comment>
    <comment ref="C7" authorId="3" shapeId="0" xr:uid="{265D1D85-7E90-4295-A6F9-05F1B280E207}">
      <text>
        <t>[Threaded comment]
Your version of Excel allows you to read this threaded comment; however, any edits to it will get removed if the file is opened in a newer version of Excel. Learn more: https://go.microsoft.com/fwlink/?linkid=870924
Comment:
    Means production was lower than guidance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<sst xmlns="http://schemas.openxmlformats.org/spreadsheetml/2006/main" count="759" uniqueCount="235">
  <si>
    <t>Company: Endeavour Silver</t>
  </si>
  <si>
    <t>Mine type: Underground mine</t>
  </si>
  <si>
    <t>WACC</t>
  </si>
  <si>
    <t>Cash cost</t>
  </si>
  <si>
    <t>Conversions</t>
  </si>
  <si>
    <t>Grams --&gt;  Troy ounces</t>
  </si>
  <si>
    <t>Troy ounces --&gt; Grams</t>
  </si>
  <si>
    <t>Discounted Cash Flow Model</t>
  </si>
  <si>
    <t>Unit</t>
  </si>
  <si>
    <t>Total or average</t>
  </si>
  <si>
    <t>2018A</t>
  </si>
  <si>
    <t>2019A</t>
  </si>
  <si>
    <t>2020A</t>
  </si>
  <si>
    <t>2021A</t>
  </si>
  <si>
    <t>2024E</t>
  </si>
  <si>
    <t>2025E</t>
  </si>
  <si>
    <t>2026E</t>
  </si>
  <si>
    <t>2027E</t>
  </si>
  <si>
    <t>2028E</t>
  </si>
  <si>
    <t>Metal prices</t>
  </si>
  <si>
    <t>$/oz</t>
  </si>
  <si>
    <t>Silver</t>
  </si>
  <si>
    <t>%</t>
  </si>
  <si>
    <t>Gold</t>
  </si>
  <si>
    <t>Tonnes</t>
  </si>
  <si>
    <t>Proven</t>
  </si>
  <si>
    <t>Probable</t>
  </si>
  <si>
    <t>Total</t>
  </si>
  <si>
    <t>Measured</t>
  </si>
  <si>
    <t>Indicated</t>
  </si>
  <si>
    <t>Inferred</t>
  </si>
  <si>
    <t>Mineral processing</t>
  </si>
  <si>
    <t>Average plant throughput</t>
  </si>
  <si>
    <t>tpd</t>
  </si>
  <si>
    <t>Ore milled</t>
  </si>
  <si>
    <t>tonnes</t>
  </si>
  <si>
    <t>Silver grade</t>
  </si>
  <si>
    <t>g/t</t>
  </si>
  <si>
    <t>Gold grade</t>
  </si>
  <si>
    <t>Contained metal</t>
  </si>
  <si>
    <t>oz</t>
  </si>
  <si>
    <t>Processing recoveries</t>
  </si>
  <si>
    <t>Metal production</t>
  </si>
  <si>
    <t>Sales</t>
  </si>
  <si>
    <t>$</t>
  </si>
  <si>
    <t>Operating costs</t>
  </si>
  <si>
    <t>Total operating costs</t>
  </si>
  <si>
    <t>Capital costs</t>
  </si>
  <si>
    <t>Free cash flow</t>
  </si>
  <si>
    <t>Net income for tax purposes</t>
  </si>
  <si>
    <t>Net present value FCF</t>
  </si>
  <si>
    <t>Pounds --&gt; Tonnes</t>
  </si>
  <si>
    <t>Tonnes --&gt; Pounds</t>
  </si>
  <si>
    <t>Silver price</t>
  </si>
  <si>
    <t>Gold price</t>
  </si>
  <si>
    <t>2022 Q1A</t>
  </si>
  <si>
    <t>2022 Q2E</t>
  </si>
  <si>
    <t>2023 Q2-Q4E</t>
  </si>
  <si>
    <t>2029E</t>
  </si>
  <si>
    <t>2030E</t>
  </si>
  <si>
    <t>2022 Q3E</t>
  </si>
  <si>
    <t>2022 Q4E</t>
  </si>
  <si>
    <t>2023 Q1</t>
  </si>
  <si>
    <t>2017A</t>
  </si>
  <si>
    <t>Resource estimation</t>
  </si>
  <si>
    <t>% of Measured Resources</t>
  </si>
  <si>
    <t>% of Indicated Resources</t>
  </si>
  <si>
    <t>% of Inferred Resources</t>
  </si>
  <si>
    <t>Classification</t>
  </si>
  <si>
    <t>Silver grade (g/t)</t>
  </si>
  <si>
    <t>Gold grade (g/t)</t>
  </si>
  <si>
    <t>Contained silver (oz)</t>
  </si>
  <si>
    <t>Contained gold (oz)</t>
  </si>
  <si>
    <t>Valuation of Guanacevi silver mine (Durango, Mexico)</t>
  </si>
  <si>
    <t>Mineral reserves</t>
  </si>
  <si>
    <t>Mineral resources</t>
  </si>
  <si>
    <t>Inferred resources</t>
  </si>
  <si>
    <t xml:space="preserve">Inferred  </t>
  </si>
  <si>
    <t>(den)</t>
  </si>
  <si>
    <t>$/t</t>
  </si>
  <si>
    <t>Cash cost per tonne</t>
  </si>
  <si>
    <t>Total cash cost</t>
  </si>
  <si>
    <t>Cash cost per silver equivalent</t>
  </si>
  <si>
    <t>General and Administrative</t>
  </si>
  <si>
    <t>Other operating costs</t>
  </si>
  <si>
    <t>Depreciation</t>
  </si>
  <si>
    <t>Royalties</t>
  </si>
  <si>
    <t>% of sales from silver</t>
  </si>
  <si>
    <t>Net income</t>
  </si>
  <si>
    <t xml:space="preserve">Net income </t>
  </si>
  <si>
    <t>Payable metals</t>
  </si>
  <si>
    <t xml:space="preserve">Payability </t>
  </si>
  <si>
    <t>Ocampo Mining royalty</t>
  </si>
  <si>
    <t>Sustaining capital expenditures</t>
  </si>
  <si>
    <t>Brownfield exploration</t>
  </si>
  <si>
    <t>All-in sustaining costs per silver equivalent</t>
  </si>
  <si>
    <t>Estimate period length</t>
  </si>
  <si>
    <t>Cost of debt</t>
  </si>
  <si>
    <t>Cost of Equity</t>
  </si>
  <si>
    <t>Risk free rate</t>
  </si>
  <si>
    <t>Equity risk premium</t>
  </si>
  <si>
    <t>Beta</t>
  </si>
  <si>
    <t>Statutory tax rate</t>
  </si>
  <si>
    <t>Debt</t>
  </si>
  <si>
    <t>Equity</t>
  </si>
  <si>
    <t>Total value</t>
  </si>
  <si>
    <t>All figures are in $M</t>
  </si>
  <si>
    <t>Equipment loans</t>
  </si>
  <si>
    <t>From Technical Report 2022 and 2022 Guidance</t>
  </si>
  <si>
    <t>Guanacevi</t>
  </si>
  <si>
    <t>Bolanitos</t>
  </si>
  <si>
    <t>Valuation of Bolanitos silver-gold mine (Guanajuato, Mexico)</t>
  </si>
  <si>
    <t>From Feasibility Study 2021</t>
  </si>
  <si>
    <t>Delay (years)</t>
  </si>
  <si>
    <t>2023 Q1E</t>
  </si>
  <si>
    <t>2031E</t>
  </si>
  <si>
    <t>2032E</t>
  </si>
  <si>
    <t>2033E</t>
  </si>
  <si>
    <t>2034E</t>
  </si>
  <si>
    <t>koz</t>
  </si>
  <si>
    <t>2035E</t>
  </si>
  <si>
    <t>2036E</t>
  </si>
  <si>
    <t>2037E</t>
  </si>
  <si>
    <t>2038E</t>
  </si>
  <si>
    <t>2039E</t>
  </si>
  <si>
    <t>2040E</t>
  </si>
  <si>
    <t>2041E</t>
  </si>
  <si>
    <t>2042E</t>
  </si>
  <si>
    <t>2043E</t>
  </si>
  <si>
    <t>2044E</t>
  </si>
  <si>
    <t>2045E</t>
  </si>
  <si>
    <t>2046E</t>
  </si>
  <si>
    <t>Payability</t>
  </si>
  <si>
    <t>Net smelter return</t>
  </si>
  <si>
    <t xml:space="preserve">Concentrate treatment </t>
  </si>
  <si>
    <t>Penalties</t>
  </si>
  <si>
    <t>Transport costs</t>
  </si>
  <si>
    <t>Gold refining</t>
  </si>
  <si>
    <t>Treatment, refining, penalties and transportation</t>
  </si>
  <si>
    <t>Production costs</t>
  </si>
  <si>
    <t>Mining</t>
  </si>
  <si>
    <t>Processing</t>
  </si>
  <si>
    <t>Corporate general and administrative</t>
  </si>
  <si>
    <t>Valuation of Terronera silver-gold mine (Jalisco, Mexico)</t>
  </si>
  <si>
    <t>NSR Royalty to IMMSA</t>
  </si>
  <si>
    <t>Corporate tax rate</t>
  </si>
  <si>
    <t>Tax loss carryforward</t>
  </si>
  <si>
    <t>Initial capital expenditures</t>
  </si>
  <si>
    <t>Silver refining</t>
  </si>
  <si>
    <t>Cost inflation factor</t>
  </si>
  <si>
    <t>Special mining duty</t>
  </si>
  <si>
    <t>Extraordinary mining duty</t>
  </si>
  <si>
    <t>Exploration</t>
  </si>
  <si>
    <t>Closure costs</t>
  </si>
  <si>
    <t>Working capital</t>
  </si>
  <si>
    <t>Change in non-cash working capital</t>
  </si>
  <si>
    <t>Valuation of Endeavour Silver</t>
  </si>
  <si>
    <t>Mineral Reserves and Mineral Resources Estimates</t>
  </si>
  <si>
    <t>Mineral reserves and resources</t>
  </si>
  <si>
    <t>% of Proven &amp; Probable left</t>
  </si>
  <si>
    <t>% of Measured &amp; Indicated left</t>
  </si>
  <si>
    <t>% of Inferred left</t>
  </si>
  <si>
    <t>Average silver grade</t>
  </si>
  <si>
    <t>Average gold grade</t>
  </si>
  <si>
    <t>Average silver recovery</t>
  </si>
  <si>
    <t>Average gold recovery</t>
  </si>
  <si>
    <t>Mineral processing and production</t>
  </si>
  <si>
    <t>Average payability gold</t>
  </si>
  <si>
    <t>Average payability silver</t>
  </si>
  <si>
    <t>Payable silver production</t>
  </si>
  <si>
    <t>Payable gold production</t>
  </si>
  <si>
    <t xml:space="preserve">Total cash cost </t>
  </si>
  <si>
    <t>Operating costs and operating profit</t>
  </si>
  <si>
    <t>Operating profit</t>
  </si>
  <si>
    <t>Net income and royalties</t>
  </si>
  <si>
    <t>Total mining royalties and mining duties</t>
  </si>
  <si>
    <t xml:space="preserve">Net income   </t>
  </si>
  <si>
    <t>Cash cost factor</t>
  </si>
  <si>
    <t>Sustaining capital expenditures factor</t>
  </si>
  <si>
    <t>Actual total cash cost</t>
  </si>
  <si>
    <t>Actual sustaining capital expenditures</t>
  </si>
  <si>
    <t>Growth capital expenditures</t>
  </si>
  <si>
    <t>Gold guidance (K oz)</t>
  </si>
  <si>
    <t>Gold production (K oz)</t>
  </si>
  <si>
    <t>Silver production (M oz)</t>
  </si>
  <si>
    <t>Silver guidance (M oz)</t>
  </si>
  <si>
    <t>3.1-3.7</t>
  </si>
  <si>
    <t>8.0-10.0</t>
  </si>
  <si>
    <t>2.4-2.7</t>
  </si>
  <si>
    <t>6.0-7.0</t>
  </si>
  <si>
    <t>Endeavour Silver (company level)</t>
  </si>
  <si>
    <t>0.4-0.5</t>
  </si>
  <si>
    <t>21.0-23.0</t>
  </si>
  <si>
    <t>0.5-0.6</t>
  </si>
  <si>
    <t>22.0-25.0</t>
  </si>
  <si>
    <t>3.6-4.3</t>
  </si>
  <si>
    <t>31.0-35.5</t>
  </si>
  <si>
    <t>3.0-3.5</t>
  </si>
  <si>
    <t>38.0-44.0</t>
  </si>
  <si>
    <t>4.4-5.2</t>
  </si>
  <si>
    <t>46.2-52.2</t>
  </si>
  <si>
    <t>5.8-6.4</t>
  </si>
  <si>
    <t>58.0-64.0</t>
  </si>
  <si>
    <t>2.2-2.5</t>
  </si>
  <si>
    <t>5.0-5.5</t>
  </si>
  <si>
    <t>1.0-1.1</t>
  </si>
  <si>
    <t>23.5-25.5</t>
  </si>
  <si>
    <t>2.4-2.6</t>
  </si>
  <si>
    <t>5.3-6.3</t>
  </si>
  <si>
    <t>0.9-1.0</t>
  </si>
  <si>
    <t>21.5-22.5</t>
  </si>
  <si>
    <t>5.2-5.7</t>
  </si>
  <si>
    <t>50.0-53.0</t>
  </si>
  <si>
    <t>Silver guidance vs results</t>
  </si>
  <si>
    <t>Gold guidance vs results</t>
  </si>
  <si>
    <t>Between</t>
  </si>
  <si>
    <t>Below</t>
  </si>
  <si>
    <t>Above</t>
  </si>
  <si>
    <t>Equipment loans interest rate</t>
  </si>
  <si>
    <t>Lease liabilities</t>
  </si>
  <si>
    <t>Lease liabilities interest rate</t>
  </si>
  <si>
    <t>Valuation</t>
  </si>
  <si>
    <t>Cash and cash equivalents</t>
  </si>
  <si>
    <t>Net debt</t>
  </si>
  <si>
    <t>Pitarrilla project</t>
  </si>
  <si>
    <t>Other exploration projects</t>
  </si>
  <si>
    <t>Enterprise value</t>
  </si>
  <si>
    <t>Equity value</t>
  </si>
  <si>
    <t>Shares outstanding</t>
  </si>
  <si>
    <t>Current share value</t>
  </si>
  <si>
    <t>Downside</t>
  </si>
  <si>
    <t>% from fair value</t>
  </si>
  <si>
    <t>Acquisition capital expenditures</t>
  </si>
  <si>
    <t>Shares outstanding after Pitarrilla acquisition</t>
  </si>
  <si>
    <t>Fair share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</si>
</sst>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i/>
      <sz val="11"/>
      <color theme="1"/>
      <name val="Calibri"/>
      <family val="2"/>
      <scheme val="minor"/>
    </font>
    <font>
      <b/>
      <sz val="14"/>
      <color theme="1"/>
      <name val="Calibri"/>
      <family val="2"/>
      <scheme val="minor"/>
    </font>
    <font>
      <b/>
      <sz val="14"/>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249977111117893"/>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right/>
      <top/>
      <bottom style="medium">
        <color auto="1"/>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0" fontId="4" fillId="2" borderId="0" xfId="0" applyFont="1" applyFill="1"/>
    <xf numFmtId="0" fontId="0" fillId="2" borderId="0" xfId="0" applyFill="1"/>
    <xf numFmtId="0" fontId="3" fillId="0" borderId="0" xfId="0" applyFont="1"/>
    <xf numFmtId="0" fontId="3" fillId="0" borderId="1" xfId="0" applyFont="1" applyBorder="1"/>
    <xf numFmtId="0" fontId="0" fillId="0" borderId="1" xfId="0" applyBorder="1"/>
    <xf numFmtId="0" fontId="2" fillId="3" borderId="0" xfId="0" applyFont="1" applyFill="1"/>
    <xf numFmtId="0" fontId="3" fillId="0" borderId="2" xfId="0" applyFont="1" applyBorder="1"/>
    <xf numFmtId="0" fontId="5" fillId="0" borderId="0" xfId="0" applyFont="1"/>
    <xf numFmtId="9" fontId="0" fillId="0" borderId="0" xfId="0" applyNumberFormat="1"/>
    <xf numFmtId="3" fontId="0" fillId="0" borderId="0" xfId="0" applyNumberFormat="1"/>
    <xf numFmtId="3" fontId="0" fillId="0" borderId="1" xfId="0" applyNumberFormat="1" applyBorder="1"/>
    <xf numFmtId="2" fontId="0" fillId="0" borderId="1" xfId="0" applyNumberFormat="1" applyBorder="1"/>
    <xf numFmtId="1" fontId="0" fillId="0" borderId="0" xfId="0" applyNumberFormat="1"/>
    <xf numFmtId="2" fontId="0" fillId="0" borderId="0" xfId="0" applyNumberFormat="1"/>
    <xf numFmtId="164" fontId="0" fillId="0" borderId="0" xfId="0" applyNumberFormat="1"/>
    <xf numFmtId="164" fontId="0" fillId="0" borderId="0" xfId="1" applyNumberFormat="1" applyFont="1"/>
    <xf numFmtId="0" fontId="0" fillId="0" borderId="0" xfId="0" applyBorder="1"/>
    <xf numFmtId="3" fontId="0" fillId="0" borderId="0" xfId="0" applyNumberFormat="1" applyBorder="1"/>
    <xf numFmtId="0" fontId="3" fillId="0" borderId="0" xfId="0" applyFont="1" applyBorder="1"/>
    <xf numFmtId="0" fontId="0" fillId="0" borderId="0" xfId="0" applyFill="1" applyBorder="1"/>
    <xf numFmtId="1" fontId="0" fillId="0" borderId="0" xfId="0" applyNumberFormat="1" applyBorder="1"/>
    <xf numFmtId="0" fontId="0" fillId="0" borderId="0" xfId="0" applyFont="1"/>
    <xf numFmtId="0" fontId="0" fillId="0" borderId="0" xfId="0" applyFont="1" applyBorder="1"/>
    <xf numFmtId="0" fontId="0" fillId="0" borderId="0" xfId="0" applyFont="1" applyFill="1" applyBorder="1"/>
    <xf numFmtId="4" fontId="0" fillId="0" borderId="0" xfId="0" applyNumberFormat="1"/>
    <xf numFmtId="9" fontId="0" fillId="0" borderId="0" xfId="1" applyFont="1"/>
    <xf numFmtId="10" fontId="0" fillId="0" borderId="0" xfId="0" applyNumberFormat="1"/>
    <xf numFmtId="165" fontId="0" fillId="0" borderId="0" xfId="0" applyNumberFormat="1"/>
    <xf numFmtId="0" fontId="0" fillId="0" borderId="2" xfId="0" applyBorder="1"/>
    <xf numFmtId="10" fontId="0" fillId="0" borderId="2" xfId="0" applyNumberFormat="1" applyBorder="1"/>
    <xf numFmtId="10" fontId="3" fillId="0" borderId="0" xfId="0" applyNumberFormat="1" applyFont="1"/>
    <xf numFmtId="3" fontId="0" fillId="0" borderId="2" xfId="0" applyNumberFormat="1" applyBorder="1"/>
    <xf numFmtId="10" fontId="3" fillId="0" borderId="0" xfId="1" applyNumberFormat="1" applyFont="1"/>
    <xf numFmtId="3" fontId="3" fillId="0" borderId="0" xfId="0" applyNumberFormat="1" applyFont="1"/>
    <xf numFmtId="0" fontId="6" fillId="0" borderId="0" xfId="0" applyFont="1"/>
    <xf numFmtId="1" fontId="0" fillId="0" borderId="1" xfId="0" applyNumberFormat="1" applyBorder="1"/>
    <xf numFmtId="0" fontId="0" fillId="4" borderId="0" xfId="0" applyFill="1"/>
    <xf numFmtId="3" fontId="0" fillId="4" borderId="0" xfId="0" applyNumberFormat="1" applyFill="1"/>
    <xf numFmtId="3" fontId="0" fillId="4" borderId="0" xfId="0" applyNumberFormat="1" applyFont="1" applyFill="1"/>
    <xf numFmtId="0" fontId="5" fillId="4" borderId="0" xfId="0" applyFont="1" applyFill="1"/>
    <xf numFmtId="0" fontId="0" fillId="4" borderId="0" xfId="0" applyFont="1" applyFill="1"/>
    <xf numFmtId="1" fontId="0" fillId="4" borderId="0" xfId="0" applyNumberFormat="1" applyFill="1"/>
    <xf numFmtId="2" fontId="0" fillId="4" borderId="0" xfId="0" applyNumberFormat="1" applyFill="1"/>
    <xf numFmtId="164" fontId="0" fillId="4" borderId="0" xfId="0" applyNumberFormat="1" applyFill="1"/>
    <xf numFmtId="164" fontId="0" fillId="4" borderId="0" xfId="1" applyNumberFormat="1" applyFont="1" applyFill="1"/>
    <xf numFmtId="9" fontId="0" fillId="4" borderId="0" xfId="1" applyFont="1" applyFill="1"/>
    <xf numFmtId="2" fontId="3" fillId="4" borderId="0" xfId="0" applyNumberFormat="1" applyFont="1" applyFill="1"/>
    <xf numFmtId="1" fontId="3" fillId="4" borderId="0" xfId="0" applyNumberFormat="1" applyFont="1" applyFill="1"/>
    <xf numFmtId="3" fontId="3" fillId="4" borderId="0" xfId="0" applyNumberFormat="1" applyFont="1" applyFill="1"/>
    <xf numFmtId="3" fontId="3" fillId="4" borderId="0" xfId="0" applyNumberFormat="1" applyFont="1" applyFill="1" applyBorder="1"/>
    <xf numFmtId="0" fontId="3" fillId="4" borderId="0" xfId="0" applyFont="1" applyFill="1"/>
    <xf numFmtId="4" fontId="3" fillId="4" borderId="0" xfId="0" applyNumberFormat="1" applyFont="1" applyFill="1"/>
    <xf numFmtId="164" fontId="3" fillId="4" borderId="0" xfId="0" applyNumberFormat="1" applyFont="1" applyFill="1"/>
    <xf numFmtId="164" fontId="3" fillId="4" borderId="0" xfId="1" applyNumberFormat="1" applyFont="1" applyFill="1"/>
    <xf numFmtId="9" fontId="3" fillId="4" borderId="0" xfId="1" applyFont="1" applyFill="1"/>
    <xf numFmtId="165" fontId="3" fillId="4" borderId="0" xfId="0" applyNumberFormat="1" applyFont="1" applyFill="1"/>
    <xf numFmtId="9" fontId="0" fillId="4" borderId="0" xfId="0" applyNumberFormat="1" applyFill="1"/>
    <xf numFmtId="9" fontId="3" fillId="4" borderId="0" xfId="0" applyNumberFormat="1" applyFont="1" applyFill="1"/>
    <xf numFmtId="166" fontId="3" fillId="4" borderId="0" xfId="0" applyNumberFormat="1" applyFont="1" applyFill="1"/>
    <xf numFmtId="0" fontId="3" fillId="0" borderId="0" xfId="0" applyFont="1" applyFill="1" applyBorder="1"/>
    <xf numFmtId="0" fontId="0" fillId="0" borderId="0" xfId="0" applyAlignment="1">
      <alignment horizontal="left"/>
    </xf>
    <xf numFmtId="166" fontId="0" fillId="0" borderId="0" xfId="0" applyNumberFormat="1"/>
    <xf numFmtId="166" fontId="0" fillId="0" borderId="0" xfId="0" applyNumberFormat="1" applyAlignment="1">
      <alignment horizontal="left"/>
    </xf>
    <xf numFmtId="0" fontId="0" fillId="0" borderId="1" xfId="0" applyBorder="1" applyAlignment="1">
      <alignment horizontal="left"/>
    </xf>
    <xf numFmtId="166" fontId="0" fillId="0" borderId="1" xfId="0" applyNumberFormat="1" applyBorder="1" applyAlignment="1">
      <alignment horizontal="left"/>
    </xf>
    <xf numFmtId="166" fontId="0" fillId="0" borderId="1" xfId="0" applyNumberFormat="1" applyBorder="1"/>
    <xf numFmtId="0" fontId="0" fillId="0" borderId="0" xfId="0" applyFill="1" applyBorder="1" applyAlignment="1">
      <alignment horizontal="left"/>
    </xf>
    <xf numFmtId="166" fontId="0" fillId="0" borderId="0" xfId="0" applyNumberFormat="1" applyFill="1" applyBorder="1"/>
    <xf numFmtId="10" fontId="0" fillId="0" borderId="0" xfId="1" applyNumberFormat="1" applyFont="1"/>
    <xf numFmtId="1" fontId="3" fillId="0" borderId="0" xfId="0" applyNumberFormat="1" applyFont="1"/>
    <xf numFmtId="0" fontId="8" fillId="3" borderId="0" xfId="0" applyFont="1" applyFill="1" applyAlignment="1"/>
    <xf numFmtId="0" fontId="7" fillId="3"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asper Wijk" id="{9D930204-1996-4D46-B572-0482FA368D30}" userId="e5c4d1156e6141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4" dT="2022-06-02T18:50:09.33" personId="{9D930204-1996-4D46-B572-0482FA368D30}" id="{D996DE3B-FD26-4A27-BB86-231EA205C6E0}">
    <text>Average realized price</text>
  </threadedComment>
  <threadedComment ref="B33" dT="2022-06-07T12:43:51.99" personId="{9D930204-1996-4D46-B572-0482FA368D30}" id="{22DAC695-5864-4E65-9B1A-CF826E835417}">
    <text>Gross sales, i.e. without deducting refinining, smelting and transportation costs</text>
  </threadedComment>
  <threadedComment ref="H34" dT="2022-06-09T10:15:56.95" personId="{9D930204-1996-4D46-B572-0482FA368D30}" id="{D07F3B45-7FE1-45F8-8A90-8C26FE519549}">
    <text>2017-2019 net sales, with refining, smelting and transportation costs subtracted</text>
  </threadedComment>
  <threadedComment ref="B43" dT="2022-05-28T13:39:02.74" personId="{9D930204-1996-4D46-B572-0482FA368D30}" id="{57EF7ECF-B140-427C-8557-0841B1F40F3F}">
    <text>Cash cost per payable ounce of silver equivalent</text>
  </threadedComment>
  <threadedComment ref="B44" dT="2022-06-07T23:48:11.33" personId="{9D930204-1996-4D46-B572-0482FA368D30}" id="{26E0FE1C-F608-4838-B106-65854A5B5B38}">
    <text>If central general and administrative costs are separate, predict them as well. For Endeavour Silver everything is included in the individual mines.</text>
  </threadedComment>
  <threadedComment ref="F44" dT="2022-06-08T01:45:08.39" personId="{9D930204-1996-4D46-B572-0482FA368D30}" id="{F9C57797-8452-4E1F-8EA6-D00B85EB402F}">
    <text>No depreciation or share-based compensation included</text>
  </threadedComment>
  <threadedComment ref="K45" dT="2022-06-08T00:59:34.11" personId="{9D930204-1996-4D46-B572-0482FA368D30}" id="{701A5B32-F693-446F-ACBC-3277735D875B}">
    <text>$600K to Parral, $3.2M in Exploration and evaluation expenses in total</text>
  </threadedComment>
  <threadedComment ref="P45" dT="2022-06-08T01:02:57.70" personId="{9D930204-1996-4D46-B572-0482FA368D30}" id="{88447837-4C4C-4FCE-9686-10E812BBCF0B}">
    <text>Only exploration at Guanacevi and Bolanitos included</text>
  </threadedComment>
  <threadedComment ref="B46" dT="2022-06-08T01:08:12.44" personId="{9D930204-1996-4D46-B572-0482FA368D30}" id="{D9FEBCAB-95BC-4FD2-937E-B800D5088225}">
    <text>Including care and maintenance cost (see El Compas whose production was suspended in August 2021. Also sold El Cubo mine in April 2021, which as put on care maintenance and cost $2.96M in 2020.</text>
  </threadedComment>
  <threadedComment ref="F46" dT="2022-06-08T01:42:12.97" personId="{9D930204-1996-4D46-B572-0482FA368D30}" id="{FBF1A66E-0F35-4671-AF59-FF3B088CCF5D}">
    <text>Share-based compensation is included here, therefore not in corporate general and administrative</text>
  </threadedComment>
  <threadedComment ref="G46" dT="2022-06-08T01:19:21.93" personId="{9D930204-1996-4D46-B572-0482FA368D30}" id="{CCC15107-6A72-416E-8013-C6AF9026DF8A}">
    <text>2017-2018 no care and maintenance and severance costs</text>
  </threadedComment>
  <threadedComment ref="J46" dT="2022-06-08T01:13:23.47" personId="{9D930204-1996-4D46-B572-0482FA368D30}" id="{01924525-6612-4D5D-8582-A6C180B155EF}">
    <text>$870K severance costs, $1.136M care and maintenance costs</text>
  </threadedComment>
  <threadedComment ref="M46" dT="2022-06-08T01:26:01.35" personId="{9D930204-1996-4D46-B572-0482FA368D30}" id="{85E94866-E0A7-4CCC-B676-529FB56BB197}">
    <text>Assume quarterly $190K care and maintenance cost for El Compas, similar to 2021 and equal to Q1 2022</text>
  </threadedComment>
  <threadedComment ref="Q46" dT="2022-06-08T01:27:56.52" personId="{9D930204-1996-4D46-B572-0482FA368D30}" id="{B7DB6963-E3A9-492D-BA13-379B47C6B707}">
    <text>Assume that this is the last period with El Compas being on care and maintenance. Assume it gets shut down in H2 and therefore only care and maintenance cost for Q2 2023.</text>
  </threadedComment>
  <threadedComment ref="B53" dT="2022-06-09T13:09:17.11" personId="{9D930204-1996-4D46-B572-0482FA368D30}" id="{3E0D8E73-151B-43A0-9CAA-F8FFF0C34362}">
    <text>Weighted average statutory income tax rate</text>
  </threadedComment>
  <threadedComment ref="K53" dT="2022-06-09T22:03:30.86" personId="{9D930204-1996-4D46-B572-0482FA368D30}" id="{B0CCEA97-1CB4-484C-BDAE-8CBEE3DD5D27}">
    <text>Including special mining duty</text>
  </threadedComment>
  <threadedComment ref="B58" dT="2022-06-09T17:32:38.63" personId="{9D930204-1996-4D46-B572-0482FA368D30}" id="{BAFA70A3-AED3-41FB-B966-7B70E648B6E8}">
    <text>Including closure costs</text>
  </threadedComment>
</ThreadedComments>
</file>

<file path=xl/threadedComments/threadedComment2.xml><?xml version="1.0" encoding="utf-8"?>
<ThreadedComments xmlns="http://schemas.microsoft.com/office/spreadsheetml/2018/threadedcomments" xmlns:x="http://schemas.openxmlformats.org/spreadsheetml/2006/main">
  <threadedComment ref="F7" dT="2022-05-24T12:21:31.32" personId="{9D930204-1996-4D46-B572-0482FA368D30}" id="{4C58E792-A8F0-4A73-BD75-130A4A35A5F0}">
    <text>End of 2022 Q1</text>
  </threadedComment>
  <threadedComment ref="J14" dT="2022-06-02T18:50:09.33" personId="{9D930204-1996-4D46-B572-0482FA368D30}" id="{03C1B92E-CCFC-497D-8A9A-3ABCC01469B7}">
    <text>Average realized price</text>
  </threadedComment>
  <threadedComment ref="J18" dT="2022-05-24T12:32:19.58" personId="{9D930204-1996-4D46-B572-0482FA368D30}" id="{902085F7-7FC1-4B18-9526-0B8965B449B8}">
    <text>In the beginning of the quarter</text>
  </threadedComment>
  <threadedComment ref="L29" dT="2022-05-24T13:04:10.52" personId="{9D930204-1996-4D46-B572-0482FA368D30}" id="{317DF1D0-BBDF-48EE-84CA-EB31CA121AC5}">
    <text>Guidance said 1,165 but that has historically been a bit optimistic, so I think 1,150 tpd is more reasonable</text>
  </threadedComment>
  <threadedComment ref="B54" dT="2022-06-09T17:18:23.57" personId="{9D930204-1996-4D46-B572-0482FA368D30}" id="{016983C1-ACB6-4654-972A-6E2ABF5E4BA9}">
    <text>Gross sales</text>
  </threadedComment>
  <threadedComment ref="G55" dT="2022-06-09T17:22:01.60" personId="{9D930204-1996-4D46-B572-0482FA368D30}" id="{92A1C318-EFF5-4CD4-BB13-DEF77684B1C4}">
    <text>Net sales 2017-2019 (refining, smelting and transportation costs subtracted)</text>
  </threadedComment>
  <threadedComment ref="B64" dT="2022-05-28T14:25:30.54" personId="{9D930204-1996-4D46-B572-0482FA368D30}" id="{9EA59D34-3F44-4C99-9D87-98CDB270F4E9}">
    <text>Mining, processing, smelting, refining, transportation and selling costs, direct overhead costs</text>
  </threadedComment>
  <threadedComment ref="B66" dT="2022-05-28T13:39:02.74" personId="{9D930204-1996-4D46-B572-0482FA368D30}" id="{4E744F9A-1712-4188-86C0-21B508954A29}">
    <text>Cash cost per payable ounce of silver equivalent</text>
  </threadedComment>
  <threadedComment ref="B68" dT="2022-05-28T14:46:05.42" personId="{9D930204-1996-4D46-B572-0482FA368D30}" id="{97221998-982D-4A46-8BEA-3121162E6AEF}">
    <text>Kan vara bara för den enskilda gruvan eller centralt, tex Endeavour sprider ut sin corporate G&amp;A över alla gruvor medan Hochschild delar upp G&amp;A i corporate och vanlig, där den vanliga tillskrivs enskilda gruvor.</text>
  </threadedComment>
  <threadedComment ref="L69" dT="2022-06-02T18:16:19.67" personId="{9D930204-1996-4D46-B572-0482FA368D30}" id="{61D1BE3C-8671-4173-83EC-AA1DC75B76CC}">
    <text>From Guidance 2022</text>
  </threadedComment>
  <threadedComment ref="B70" dT="2022-05-28T14:53:07.18" personId="{9D930204-1996-4D46-B572-0482FA368D30}" id="{1F4352D2-59A6-4D74-B907-1A34A0399054}">
    <text>I Endeavours fall: Stock based compensation, intangible payments, equipment loan payments</text>
  </threadedComment>
  <threadedComment ref="F70" dT="2022-05-29T21:08:41.33" personId="{9D930204-1996-4D46-B572-0482FA368D30}" id="{F5CEF290-1B0C-493F-B8E4-ADC17BD66512}">
    <text>Does not include Intangible payments and Equipment loan payments, which cannot be found in the MD&amp;A of the year. Though they were zero for 2019 so perhaps  they did not exist before or they started to become recorded from 2020 and onwards.</text>
  </threadedComment>
  <threadedComment ref="B76" dT="2022-05-28T19:15:15.05" personId="{9D930204-1996-4D46-B572-0482FA368D30}" id="{56311A6B-BF49-4348-A17F-2D8942861AD5}">
    <text>12$/t plus sliding royalty on NSR value on silver</text>
  </threadedComment>
  <threadedComment ref="J76" dT="2022-06-01T20:42:55.89" personId="{9D930204-1996-4D46-B572-0482FA368D30}" id="{AF01FB2A-2E5B-4B7A-AF6B-56C5EDA13A7C}">
    <text>No data</text>
  </threadedComment>
  <threadedComment ref="B77" dT="2022-05-28T19:14:26.99" personId="{9D930204-1996-4D46-B572-0482FA368D30}" id="{95DE305B-8390-438F-858F-AEC72FC3600A}">
    <text>7.5% of EBITDA</text>
  </threadedComment>
  <threadedComment ref="G77" dT="2022-06-01T20:27:34.53" personId="{9D930204-1996-4D46-B572-0482FA368D30}" id="{70F9506A-1312-4442-A1F9-E8ED04D37B6C}">
    <text>No data 2017-2019</text>
  </threadedComment>
  <threadedComment ref="B78" dT="2022-05-28T19:14:39.58" personId="{9D930204-1996-4D46-B572-0482FA368D30}" id="{3D32255F-8128-45A1-BB09-0E3829E8D1CD}">
    <text>0.5% on sales</text>
  </threadedComment>
  <threadedComment ref="J78" dT="2022-06-01T20:40:48.85" personId="{9D930204-1996-4D46-B572-0482FA368D30}" id="{3A21AC70-E04D-4E94-B69E-4FE5689C2A43}">
    <text>No data</text>
  </threadedComment>
  <threadedComment ref="I83" dT="2022-06-01T21:53:03.55" personId="{9D930204-1996-4D46-B572-0482FA368D30}" id="{38F6D065-0D3F-433E-98D7-AC1DCAEDCC32}">
    <text>Includes the mining royalty and deferred income tax enpense</text>
  </threadedComment>
  <threadedComment ref="B87" dT="2022-05-30T22:28:32.17" personId="{9D930204-1996-4D46-B572-0482FA368D30}" id="{8129F3AE-BEEA-42B9-8481-256416A5578E}">
    <text>2091000 * 1.2 (2091000 is from the Technical report)</text>
  </threadedComment>
</ThreadedComments>
</file>

<file path=xl/threadedComments/threadedComment3.xml><?xml version="1.0" encoding="utf-8"?>
<ThreadedComments xmlns="http://schemas.microsoft.com/office/spreadsheetml/2018/threadedcomments" xmlns:x="http://schemas.openxmlformats.org/spreadsheetml/2006/main">
  <threadedComment ref="F7" dT="2022-05-24T12:21:31.32" personId="{9D930204-1996-4D46-B572-0482FA368D30}" id="{167B6703-20E7-4860-92EC-9B030B9901E3}">
    <text>End of 2022 Q1</text>
  </threadedComment>
  <threadedComment ref="J14" dT="2022-06-02T18:50:09.33" personId="{9D930204-1996-4D46-B572-0482FA368D30}" id="{1A20A62F-4375-4EFF-9747-8FDDD433ABDD}">
    <text>Average realized price</text>
  </threadedComment>
  <threadedComment ref="J18" dT="2022-06-02T23:21:19.99" personId="{9D930204-1996-4D46-B572-0482FA368D30}" id="{28C83DBE-8ABC-4A8A-812F-A0C804AF6E99}">
    <text>In the beginning of the quarter</text>
  </threadedComment>
  <threadedComment ref="L29" dT="2022-06-03T09:45:08.42" personId="{9D930204-1996-4D46-B572-0482FA368D30}" id="{55DFCB31-F367-4DE6-A733-025807E95F83}">
    <text>1,600 tpd capacity but only processing around 1,200 tdp or less. 1,080 tpd is guidance for 2022.</text>
  </threadedComment>
  <threadedComment ref="L31" dT="2022-06-03T11:24:47.19" personId="{9D930204-1996-4D46-B572-0482FA368D30}" id="{DB9EC9BF-9F4F-41BF-B30C-213CB77BFFB0}">
    <text>Guidance said similar grades as in 2021, but I believe in slightly higher grades as their probable resevers have higher grades.</text>
  </threadedComment>
  <threadedComment ref="L39" dT="2022-06-03T10:04:35.57" personId="{9D930204-1996-4D46-B572-0482FA368D30}" id="{3A27A682-FCD0-4D4B-AF38-2C0D6AEA7E0F}">
    <text>Guidance for 2022</text>
  </threadedComment>
  <threadedComment ref="O39" dT="2022-06-03T10:05:18.65" personId="{9D930204-1996-4D46-B572-0482FA368D30}" id="{29C8306A-FC4F-4422-BE76-402078723FB9}">
    <text>Conservative estimate that the recovery is getting a bit lower but higher than previous five years' average</text>
  </threadedComment>
  <threadedComment ref="B46" dT="2022-06-03T11:28:02.45" personId="{9D930204-1996-4D46-B572-0482FA368D30}" id="{F5A44405-992D-4237-9144-8E82E167C7B3}">
    <text>Concentrate production therefore lower payability</text>
  </threadedComment>
  <threadedComment ref="B54" dT="2022-06-07T12:43:51.99" personId="{9D930204-1996-4D46-B572-0482FA368D30}" id="{6E1556CB-B5B1-4B38-9F8E-B2798E8E1ACB}">
    <text>Gross sales, i.e. without deducting refinining, smelting and transportation costs</text>
  </threadedComment>
  <threadedComment ref="B64" dT="2022-05-28T14:25:30.54" personId="{9D930204-1996-4D46-B572-0482FA368D30}" id="{A81F1757-112C-4F19-AD69-EBC3843FFE03}">
    <text>Mining, processing, smelting, refining, transportation and selling costs, direct overhead costs (on-site general and administrative)</text>
  </threadedComment>
  <threadedComment ref="B66" dT="2022-05-28T13:39:02.74" personId="{9D930204-1996-4D46-B572-0482FA368D30}" id="{83D3B581-BC8A-443C-A19E-B8DF49079E3E}">
    <text>Cash cost per payable ounce of silver equivalent</text>
  </threadedComment>
  <threadedComment ref="B68" dT="2022-05-28T14:46:05.42" personId="{9D930204-1996-4D46-B572-0482FA368D30}" id="{5CBAA213-B177-4A52-9E54-73DF8E0631EF}">
    <text>Kan vara bara för den enskilda gruvan eller centralt, tex Endeavour sprider ut sin corporate G&amp;A över alla gruvor medan Hochschild delar upp G&amp;A i corporate och vanlig, där den vanliga tillskrivs enskilda gruvor.</text>
  </threadedComment>
  <threadedComment ref="B70" dT="2022-05-28T14:53:07.18" personId="{9D930204-1996-4D46-B572-0482FA368D30}" id="{02A4DEE6-7C8A-4605-AEB7-B3AC6DAE6D67}">
    <text>I Endeavours fall: Stock based compensation, intangible payments, equipment loan payments</text>
  </threadedComment>
  <threadedComment ref="J70" dT="2022-06-05T11:45:57.32" personId="{9D930204-1996-4D46-B572-0482FA368D30}" id="{80F59678-CD41-4531-9AFE-13469D191F2A}">
    <text>More equipment loans so higher equipment loan payments</text>
  </threadedComment>
  <threadedComment ref="B71" dT="2022-06-05T15:43:03.89" personId="{9D930204-1996-4D46-B572-0482FA368D30}" id="{3EE5952C-8540-4E92-A0C0-02EF8D1F78AF}">
    <text>0.76 is the average depreciation/capex ratio from 2017 to Q1 2022</text>
  </threadedComment>
  <threadedComment ref="B75" dT="2022-06-05T12:13:53.62" personId="{9D930204-1996-4D46-B572-0482FA368D30}" id="{40397A33-C559-48C3-94BE-198D14BFDACC}">
    <text>2% NSR Royalty on 4/26 concessions and they pay a small concession tax ($41K 2020), but these are negligible as their historic royalty have been around $200K-$250K</text>
  </threadedComment>
  <threadedComment ref="B76" dT="2022-05-28T19:14:26.99" personId="{9D930204-1996-4D46-B572-0482FA368D30}" id="{2A269C5D-EBB5-4926-A303-3CD18C3A2676}">
    <text>7.5% of EBITDA</text>
  </threadedComment>
  <threadedComment ref="G76" dT="2022-06-05T12:15:21.75" personId="{9D930204-1996-4D46-B572-0482FA368D30}" id="{43FA16BC-40DE-4361-8562-3DBFAE0C566C}">
    <text>No data 2019</text>
  </threadedComment>
  <threadedComment ref="B77" dT="2022-05-28T19:14:39.58" personId="{9D930204-1996-4D46-B572-0482FA368D30}" id="{FD56EA64-2BDD-4134-972B-94BCE5C9F0AA}">
    <text>0.5% on sales</text>
  </threadedComment>
  <threadedComment ref="B81" dT="2022-06-05T12:44:39.93" personId="{9D930204-1996-4D46-B572-0482FA368D30}" id="{4E27B9DC-5960-42FD-A832-87C5EEAD0767}">
    <text>Corporate tax rate in Mexico is 30%</text>
  </threadedComment>
  <threadedComment ref="J81" dT="2022-06-05T12:45:43.58" personId="{9D930204-1996-4D46-B572-0482FA368D30}" id="{0CCC7E6A-C38F-4B74-9C2E-6C6FCBA31CBA}">
    <text>Includes the mining royalties and deferred income taxes</text>
  </threadedComment>
  <threadedComment ref="B86" dT="2022-06-05T15:36:40.95" personId="{9D930204-1996-4D46-B572-0482FA368D30}" id="{CE6D4040-D611-4D54-9E93-E7B88B6E09FA}">
    <text>1,977,043 * 1.2 (1,977,043 is from the Technical Report)</text>
  </threadedComment>
</ThreadedComments>
</file>

<file path=xl/threadedComments/threadedComment4.xml><?xml version="1.0" encoding="utf-8"?>
<ThreadedComments xmlns="http://schemas.microsoft.com/office/spreadsheetml/2018/threadedcomments" xmlns:x="http://schemas.openxmlformats.org/spreadsheetml/2006/main">
  <threadedComment ref="E14" dT="2022-06-02T18:50:09.33" personId="{9D930204-1996-4D46-B572-0482FA368D30}" id="{3640AFC1-1942-494A-ACFF-A01E527DD512}">
    <text>Average realized price</text>
  </threadedComment>
  <threadedComment ref="K22" dT="2022-06-05T20:02:11.02" personId="{9D930204-1996-4D46-B572-0482FA368D30}" id="{F7D9B0AD-7E02-42E7-BE13-97925B8559AD}">
    <text>Fixed</text>
  </threadedComment>
  <threadedComment ref="B38" dT="2022-06-06T06:46:14.32" personId="{9D930204-1996-4D46-B572-0482FA368D30}" id="{1C20126C-0E7A-43A7-AEF2-D546CD28205E}">
    <text>Concentrate production so lower payability</text>
  </threadedComment>
  <threadedComment ref="B57" dT="2022-06-06T07:27:26.77" personId="{9D930204-1996-4D46-B572-0482FA368D30}" id="{818653AC-BB97-496F-9803-2E103BBF9613}">
    <text>For example: penalty for exceeding allowed arsenic levels in the produced concentrates</text>
  </threadedComment>
  <threadedComment ref="L63" dT="2022-06-06T10:23:16.04" personId="{9D930204-1996-4D46-B572-0482FA368D30}" id="{EA5A2A52-27F9-4CEF-B24D-AA18A63A24B6}">
    <text>Net operating earnings in the technical report are without depreciation and the numerator is the mining royalty (in the report) and the denominator is the royalty rate (7.5%).</text>
  </threadedComment>
  <threadedComment ref="B72" dT="2022-05-28T14:25:30.54" personId="{9D930204-1996-4D46-B572-0482FA368D30}" id="{98F928E8-7A02-4D81-BC93-5D88A4A0CB70}">
    <text>Mining, processing, smelting, refining, transportation and selling costs, direct overhead costs (on-site general and administrative)</text>
  </threadedComment>
  <threadedComment ref="B74" dT="2022-05-28T13:39:02.74" personId="{9D930204-1996-4D46-B572-0482FA368D30}" id="{D06F750A-F014-4B77-A2D4-2EB2ACED5B5B}">
    <text>Cash cost per payable ounce of silver equivalent</text>
  </threadedComment>
  <threadedComment ref="B76" dT="2022-06-05T12:13:53.62" personId="{9D930204-1996-4D46-B572-0482FA368D30}" id="{00A878FE-285E-4FA6-B757-E352CDB45876}">
    <text>2% NSR Royalty on 4/26 concessions and they pay a small concession tax ($41K 2020), but these are negligible as their historic royalty have been around $200K-$250K</text>
  </threadedComment>
  <threadedComment ref="B77" dT="2022-06-06T07:41:33.76" personId="{9D930204-1996-4D46-B572-0482FA368D30}" id="{F42D2039-D37D-42BE-9E6A-348A0DE3A114}">
    <text>2% of Net smelter return (NSR)</text>
  </threadedComment>
  <threadedComment ref="B78" dT="2022-05-28T19:14:26.99" personId="{9D930204-1996-4D46-B572-0482FA368D30}" id="{A954B980-EBF2-4623-BCB0-3103BA6470D9}">
    <text>7.5% of EBITDA</text>
  </threadedComment>
  <threadedComment ref="B79" dT="2022-05-28T19:14:39.58" personId="{9D930204-1996-4D46-B572-0482FA368D30}" id="{E1437A89-0AED-44DF-BD34-8A07CDF26DA3}">
    <text>0.5% on sales</text>
  </threadedComment>
</ThreadedComments>
</file>

<file path=xl/threadedComments/threadedComment5.xml><?xml version="1.0" encoding="utf-8"?>
<ThreadedComments xmlns="http://schemas.microsoft.com/office/spreadsheetml/2018/threadedcomments" xmlns:x="http://schemas.openxmlformats.org/spreadsheetml/2006/main">
  <threadedComment ref="B7" dT="2022-06-12T15:04:44.45" personId="{9D930204-1996-4D46-B572-0482FA368D30}" id="{3AA556D7-BCFB-4746-BB79-9376F2639D66}">
    <text>Weighted average interest rate</text>
  </threadedComment>
  <threadedComment ref="B8" dT="2022-06-12T15:04:47.70" personId="{9D930204-1996-4D46-B572-0482FA368D30}" id="{59434215-E7C5-4BD3-8A14-B4190217E7AE}">
    <text>Weighted average interest rate</text>
  </threadedComment>
  <threadedComment ref="B12" dT="2022-04-04T08:10:22.85" personId="{9D930204-1996-4D46-B572-0482FA368D30}" id="{E849ED32-5F66-4861-A553-1EEDC2B524DD}">
    <text>10 yr treasury yield</text>
  </threadedComment>
  <threadedComment ref="C18" dT="2022-06-02T20:04:31.85" personId="{9D930204-1996-4D46-B572-0482FA368D30}" id="{76C805CF-BFE8-4199-B0E4-7412EE8B473E}">
    <text>Since all their income is from Mexico and Mexico's tax corporate tax rate is 30%</text>
  </threadedComment>
</ThreadedComments>
</file>

<file path=xl/threadedComments/threadedComment6.xml><?xml version="1.0" encoding="utf-8"?>
<ThreadedComments xmlns="http://schemas.microsoft.com/office/spreadsheetml/2018/threadedcomments" xmlns:x="http://schemas.openxmlformats.org/spreadsheetml/2006/main">
  <threadedComment ref="A9" dT="2022-06-07T13:11:59.91" personId="{9D930204-1996-4D46-B572-0482FA368D30}" id="{7858B377-AD00-4AAA-96EA-86580304207C}">
    <text>Terronera</text>
  </threadedComment>
</ThreadedComments>
</file>

<file path=xl/threadedComments/threadedComment7.xml><?xml version="1.0" encoding="utf-8"?>
<ThreadedComments xmlns="http://schemas.microsoft.com/office/spreadsheetml/2018/threadedcomments" xmlns:x="http://schemas.openxmlformats.org/spreadsheetml/2006/main">
  <threadedComment ref="D2" dT="2022-06-11T12:22:10.28" personId="{9D930204-1996-4D46-B572-0482FA368D30}" id="{5CF4A114-9566-4564-A985-3B03E132CD8F}">
    <text>No data</text>
  </threadedComment>
  <threadedComment ref="K2" dT="2022-06-11T12:22:15.92" personId="{9D930204-1996-4D46-B572-0482FA368D30}" id="{E4CD2302-7296-461E-B606-D92BCCC678DD}">
    <text>No data</text>
  </threadedComment>
  <threadedComment ref="L2" dT="2022-06-11T12:06:56.49" personId="{9D930204-1996-4D46-B572-0482FA368D30}" id="{619347F8-E2EC-4E6C-B6BE-51F1342962D6}">
    <text>Covid-19 and ensuing production stopages caused lower production</text>
  </threadedComment>
  <threadedComment ref="C7" dT="2022-06-11T12:26:58.18" personId="{9D930204-1996-4D46-B572-0482FA368D30}" id="{265D1D85-7E90-4295-A6F9-05F1B280E207}">
    <text>Means production was lower than guidance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AAA3-3AB3-4E8D-82DC-05D5DF6987E8}">
  <dimension ref="A1:D16"/>
  <sheetViews>
    <sheetView showGridLines="0" zoomScale="160" zoomScaleNormal="160" workbookViewId="0">
      <selection activeCell="E10" sqref="E10"/>
    </sheetView>
  </sheetViews>
  <sheetFormatPr defaultRowHeight="15" x14ac:dyDescent="0.25"/>
  <cols>
    <col min="2" max="2" width="38.7109375" customWidth="1"/>
  </cols>
  <sheetData>
    <row r="1" spans="1:4" x14ac:dyDescent="0.25">
      <c r="B1" s="8" t="s">
        <v>106</v>
      </c>
    </row>
    <row r="2" spans="1:4" ht="21" customHeight="1" x14ac:dyDescent="0.35">
      <c r="A2" s="71"/>
      <c r="B2" s="71" t="s">
        <v>221</v>
      </c>
      <c r="C2" s="71"/>
      <c r="D2" s="71"/>
    </row>
    <row r="3" spans="1:4" x14ac:dyDescent="0.25">
      <c r="B3" t="s">
        <v>50</v>
      </c>
      <c r="C3" s="13">
        <f>'Central sheet '!L67/10^6</f>
        <v>173.61704050365549</v>
      </c>
    </row>
    <row r="4" spans="1:4" x14ac:dyDescent="0.25">
      <c r="B4" t="s">
        <v>103</v>
      </c>
      <c r="C4" s="13">
        <f>SUM(WACC!C5:C6)</f>
        <v>13.302999999999999</v>
      </c>
    </row>
    <row r="5" spans="1:4" x14ac:dyDescent="0.25">
      <c r="B5" t="s">
        <v>222</v>
      </c>
      <c r="C5" s="13">
        <v>151.01400000000001</v>
      </c>
    </row>
    <row r="6" spans="1:4" x14ac:dyDescent="0.25">
      <c r="B6" t="s">
        <v>223</v>
      </c>
      <c r="C6" s="13">
        <f>C4-C5</f>
        <v>-137.71100000000001</v>
      </c>
    </row>
    <row r="7" spans="1:4" x14ac:dyDescent="0.25">
      <c r="B7" t="s">
        <v>224</v>
      </c>
      <c r="C7">
        <v>100</v>
      </c>
    </row>
    <row r="8" spans="1:4" ht="15.75" thickBot="1" x14ac:dyDescent="0.3">
      <c r="B8" s="29" t="s">
        <v>225</v>
      </c>
      <c r="C8" s="29">
        <v>20</v>
      </c>
    </row>
    <row r="9" spans="1:4" x14ac:dyDescent="0.25">
      <c r="B9" s="3" t="s">
        <v>226</v>
      </c>
      <c r="C9" s="70">
        <f>C3+SUM(C7:C8)</f>
        <v>293.61704050365552</v>
      </c>
    </row>
    <row r="10" spans="1:4" x14ac:dyDescent="0.25">
      <c r="B10" s="3" t="s">
        <v>227</v>
      </c>
      <c r="C10" s="70">
        <f>C9-C6</f>
        <v>431.32804050365553</v>
      </c>
    </row>
    <row r="11" spans="1:4" x14ac:dyDescent="0.25">
      <c r="B11" t="s">
        <v>228</v>
      </c>
      <c r="C11" s="13">
        <v>181.05</v>
      </c>
    </row>
    <row r="12" spans="1:4" x14ac:dyDescent="0.25">
      <c r="B12" t="s">
        <v>233</v>
      </c>
      <c r="C12" s="13">
        <f>C11+35/4.0805</f>
        <v>189.6273802230119</v>
      </c>
    </row>
    <row r="13" spans="1:4" x14ac:dyDescent="0.25">
      <c r="B13" t="s">
        <v>234</v>
      </c>
      <c r="C13" s="14">
        <f>C10/C12</f>
        <v>2.2746084452381865</v>
      </c>
    </row>
    <row r="14" spans="1:4" x14ac:dyDescent="0.25">
      <c r="B14" t="s">
        <v>229</v>
      </c>
      <c r="C14">
        <v>3.97</v>
      </c>
    </row>
    <row r="15" spans="1:4" x14ac:dyDescent="0.25">
      <c r="B15" t="s">
        <v>230</v>
      </c>
      <c r="C15" s="26">
        <f>C13/C14-1</f>
        <v>-0.42705076946141396</v>
      </c>
    </row>
    <row r="16" spans="1:4" x14ac:dyDescent="0.25">
      <c r="B16" t="s">
        <v>231</v>
      </c>
      <c r="C16" s="26">
        <f>C14/C13-1</f>
        <v>0.74535534162420647</v>
      </c>
    </row>
  </sheetData>
  <pageMargins left="0.7" right="0.7" top="0.75" bottom="0.75" header="0.3" footer="0.3"/>
  <ignoredErrors>
    <ignoredError sqref="C4" formulaRange="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1CE52-9CD0-4413-B41D-E3716845DB6D}">
  <dimension ref="A1:AP67"/>
  <sheetViews>
    <sheetView showGridLines="0" tabSelected="1" zoomScale="93" zoomScaleNormal="93" workbookViewId="0">
      <selection activeCell="M14" sqref="M14"/>
    </sheetView>
  </sheetViews>
  <sheetFormatPr defaultRowHeight="15" x14ac:dyDescent="0.25"/>
  <cols>
    <col min="1" max="1" width="10.28515625" customWidth="1"/>
    <col min="2" max="2" width="40.5703125" customWidth="1"/>
    <col min="3" max="3" width="9.5703125" bestFit="1" customWidth="1"/>
    <col min="4" max="4" width="14.7109375" bestFit="1" customWidth="1"/>
    <col min="5" max="5" width="15.28515625" bestFit="1" customWidth="1"/>
    <col min="6" max="6" width="18.140625" bestFit="1" customWidth="1"/>
    <col min="7" max="7" width="17.28515625" bestFit="1" customWidth="1"/>
    <col min="8" max="10" width="13.85546875" bestFit="1" customWidth="1"/>
    <col min="11" max="11" width="14.7109375" bestFit="1" customWidth="1"/>
    <col min="12" max="12" width="14.7109375" customWidth="1"/>
    <col min="13" max="13" width="14.28515625" bestFit="1" customWidth="1"/>
    <col min="14" max="14" width="18.140625" bestFit="1" customWidth="1"/>
    <col min="15" max="15" width="17.42578125" bestFit="1" customWidth="1"/>
    <col min="16" max="16" width="12.7109375" bestFit="1" customWidth="1"/>
    <col min="17" max="17" width="12.140625" bestFit="1" customWidth="1"/>
    <col min="18" max="18" width="16" bestFit="1" customWidth="1"/>
    <col min="19" max="19" width="14.85546875" bestFit="1" customWidth="1"/>
    <col min="20" max="20" width="14.28515625" bestFit="1" customWidth="1"/>
    <col min="21" max="21" width="18.140625" bestFit="1" customWidth="1"/>
    <col min="22" max="22" width="17.42578125" bestFit="1" customWidth="1"/>
    <col min="23" max="28" width="11.5703125" bestFit="1" customWidth="1"/>
    <col min="29" max="29" width="10.5703125" bestFit="1" customWidth="1"/>
    <col min="30" max="30" width="9.5703125" bestFit="1" customWidth="1"/>
    <col min="31" max="37" width="8.85546875" bestFit="1" customWidth="1"/>
    <col min="38" max="39" width="8.85546875" customWidth="1"/>
  </cols>
  <sheetData>
    <row r="1" spans="1:42" ht="23.25" x14ac:dyDescent="0.35">
      <c r="A1" s="1" t="s">
        <v>156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3" spans="1:42" ht="18.75" x14ac:dyDescent="0.3">
      <c r="B3" s="35" t="s">
        <v>157</v>
      </c>
    </row>
    <row r="4" spans="1:42" x14ac:dyDescent="0.25">
      <c r="B4" s="3" t="s">
        <v>68</v>
      </c>
      <c r="C4" s="3" t="s">
        <v>24</v>
      </c>
      <c r="D4" s="3" t="s">
        <v>69</v>
      </c>
      <c r="E4" s="3" t="s">
        <v>70</v>
      </c>
      <c r="F4" s="3" t="s">
        <v>71</v>
      </c>
      <c r="G4" s="3" t="s">
        <v>72</v>
      </c>
      <c r="H4" s="17"/>
      <c r="I4" s="3" t="s">
        <v>68</v>
      </c>
      <c r="J4" s="3" t="s">
        <v>24</v>
      </c>
      <c r="K4" s="3" t="s">
        <v>69</v>
      </c>
      <c r="L4" s="3" t="s">
        <v>70</v>
      </c>
      <c r="M4" s="3" t="s">
        <v>71</v>
      </c>
      <c r="N4" s="3" t="s">
        <v>72</v>
      </c>
      <c r="P4" s="3" t="s">
        <v>68</v>
      </c>
      <c r="Q4" s="3" t="s">
        <v>24</v>
      </c>
      <c r="R4" s="3" t="s">
        <v>69</v>
      </c>
      <c r="S4" s="3" t="s">
        <v>70</v>
      </c>
      <c r="T4" s="3" t="s">
        <v>71</v>
      </c>
      <c r="U4" s="3" t="s">
        <v>72</v>
      </c>
    </row>
    <row r="5" spans="1:42" x14ac:dyDescent="0.25">
      <c r="B5" t="s">
        <v>25</v>
      </c>
      <c r="C5" s="10">
        <f>'DCF Guanacevi'!F7+'DCF Bolanitos'!F7</f>
        <v>39853</v>
      </c>
      <c r="D5" s="13">
        <f>('DCF Guanacevi'!F7*'DCF Guanacevi'!G7+'DCF Bolanitos'!F7*'DCF Bolanitos'!G7)/C5</f>
        <v>233.92131081725341</v>
      </c>
      <c r="E5" s="14">
        <f>('DCF Guanacevi'!F7*'DCF Guanacevi'!H7+'DCF Bolanitos'!F7*'DCF Bolanitos'!H7)/C5</f>
        <v>1.5577299074097308</v>
      </c>
      <c r="F5" s="10">
        <f>C5*D5/Auxiliary!$C$4</f>
        <v>299724.241760651</v>
      </c>
      <c r="G5" s="10">
        <f>C5*E5/Auxiliary!$C$4</f>
        <v>1995.9250986372044</v>
      </c>
      <c r="I5" s="18" t="s">
        <v>28</v>
      </c>
      <c r="J5" s="10">
        <f>'DCF Guanacevi'!M7+'DCF Bolanitos'!M7</f>
        <v>207000</v>
      </c>
      <c r="K5" s="13">
        <f>('DCF Guanacevi'!M7*'DCF Guanacevi'!N7+'DCF Bolanitos'!M7*'DCF Bolanitos'!N7)/J5</f>
        <v>376.84541062801935</v>
      </c>
      <c r="L5" s="14">
        <f>('DCF Guanacevi'!M7*'DCF Guanacevi'!O7+'DCF Bolanitos'!M7*'DCF Bolanitos'!O7)/J5</f>
        <v>1.5495169082125604</v>
      </c>
      <c r="M5" s="10">
        <f>J5*K5/Auxiliary!$C$4</f>
        <v>2507983.2875789627</v>
      </c>
      <c r="N5" s="10">
        <f>J5*L5/Auxiliary!$C$4</f>
        <v>10312.351961887425</v>
      </c>
      <c r="P5" t="s">
        <v>30</v>
      </c>
      <c r="Q5" s="10">
        <f>'DCF Guanacevi'!T7+'DCF Bolanitos'!T7+'DCF Terronera'!K8+18000+154000+3160000</f>
        <v>6170000</v>
      </c>
      <c r="R5" s="13">
        <f>('DCF Guanacevi'!T7*'DCF Guanacevi'!U7+'DCF Bolanitos'!T7*'DCF Bolanitos'!U7+'DCF Terronera'!K8*'DCF Terronera'!L8+18000*70+154000*94+3160000*324)/Q5</f>
        <v>277.02975688816855</v>
      </c>
      <c r="S5" s="14">
        <f>('DCF Guanacevi'!T7*'DCF Guanacevi'!V7+'DCF Bolanitos'!T7*'DCF Bolanitos'!V7+'DCF Terronera'!K8*'DCF Terronera'!M8+18000*5.96+154000*2.14+3160000*0.21)/Q5</f>
        <v>1.0805575364667748</v>
      </c>
      <c r="T5" s="10">
        <f>Q5*R5/Auxiliary!$C$4</f>
        <v>54954422.330046393</v>
      </c>
      <c r="U5" s="10">
        <f>Q5*S5/Auxiliary!$C$4</f>
        <v>214350.31340290551</v>
      </c>
    </row>
    <row r="6" spans="1:42" x14ac:dyDescent="0.25">
      <c r="B6" t="s">
        <v>26</v>
      </c>
      <c r="C6" s="10">
        <f>'DCF Guanacevi'!F8+'DCF Bolanitos'!F8+'DCF Terronera'!D7</f>
        <v>8782000</v>
      </c>
      <c r="D6" s="36">
        <f>('DCF Guanacevi'!F8*'DCF Guanacevi'!G8+'DCF Bolanitos'!F8*'DCF Bolanitos'!G8+'DCF Terronera'!D7*'DCF Terronera'!E7)/C6</f>
        <v>214.37827374174447</v>
      </c>
      <c r="E6" s="12">
        <f>('DCF Guanacevi'!F8*'DCF Guanacevi'!H8+'DCF Bolanitos'!F8*'DCF Bolanitos'!H8+'DCF Terronera'!D7*'DCF Terronera'!F7)/C6</f>
        <v>2.1011933500341606</v>
      </c>
      <c r="F6" s="11">
        <f>C6*D6/Auxiliary!$C$4</f>
        <v>60529246.042358838</v>
      </c>
      <c r="G6" s="11">
        <f>C6*E6/Auxiliary!$C$4</f>
        <v>593267.43819199014</v>
      </c>
      <c r="I6" s="17" t="s">
        <v>29</v>
      </c>
      <c r="J6" s="11">
        <f>'DCF Guanacevi'!M8+'DCF Bolanitos'!M8+'DCF Terronera'!K7+20000+1861000+433000</f>
        <v>8852000</v>
      </c>
      <c r="K6" s="36">
        <f>('DCF Guanacevi'!M8*'DCF Guanacevi'!N8+'DCF Bolanitos'!M8*'DCF Bolanitos'!N8+'DCF Terronera'!K7*'DCF Terronera'!L7+20000*78+1861000*119+433000*271)/J6</f>
        <v>219.79257794848621</v>
      </c>
      <c r="L6" s="12">
        <f>('DCF Guanacevi'!M8*'DCF Guanacevi'!O8+'DCF Bolanitos'!M8*'DCF Bolanitos'!O8+'DCF Terronera'!K7*'DCF Terronera'!M7+20000*6.42+1861000*2.38)/J6</f>
        <v>2.9281603027564391</v>
      </c>
      <c r="M6" s="11">
        <f>J6*K6/Auxiliary!$C$4</f>
        <v>62552617.911834218</v>
      </c>
      <c r="N6" s="11">
        <f>J6*L6/Auxiliary!$C$4</f>
        <v>833349.76236482989</v>
      </c>
    </row>
    <row r="7" spans="1:42" x14ac:dyDescent="0.25">
      <c r="B7" t="s">
        <v>27</v>
      </c>
      <c r="C7" s="10">
        <f>SUM(C5:C6)</f>
        <v>8821853</v>
      </c>
      <c r="D7" s="13">
        <f>(C5*D5+C6*D6)/C7</f>
        <v>214.46656002996195</v>
      </c>
      <c r="E7" s="14">
        <f>(C5*E5+C6*E6)/C7</f>
        <v>2.0987382367400591</v>
      </c>
      <c r="F7" s="10">
        <f>SUM(F5:F6)</f>
        <v>60828970.284119487</v>
      </c>
      <c r="G7" s="10">
        <f>SUM(G5:G6)</f>
        <v>595263.36329062737</v>
      </c>
      <c r="I7" s="20" t="s">
        <v>27</v>
      </c>
      <c r="J7" s="10">
        <f>SUM(J5:J6)</f>
        <v>9059000</v>
      </c>
      <c r="K7" s="13">
        <f>(J5*K5+J6*K6)/J7</f>
        <v>223.38126724804061</v>
      </c>
      <c r="L7" s="14">
        <f>(J5*L5+J6*L6)/J7</f>
        <v>2.8966580196489677</v>
      </c>
      <c r="M7" s="10">
        <f>SUM(M5:M6)</f>
        <v>65060601.19941318</v>
      </c>
      <c r="N7" s="10">
        <f>SUM(N5:N6)</f>
        <v>843662.11432671733</v>
      </c>
    </row>
    <row r="9" spans="1:42" x14ac:dyDescent="0.25">
      <c r="B9" s="3" t="s">
        <v>2</v>
      </c>
      <c r="C9" s="31">
        <f>WACC!C22</f>
        <v>0.1000078395914526</v>
      </c>
    </row>
    <row r="11" spans="1:42" x14ac:dyDescent="0.25">
      <c r="B11" s="6" t="s">
        <v>7</v>
      </c>
      <c r="C11" s="6" t="s">
        <v>8</v>
      </c>
      <c r="D11" s="6" t="s">
        <v>9</v>
      </c>
      <c r="E11" s="6"/>
      <c r="F11" s="6" t="s">
        <v>63</v>
      </c>
      <c r="G11" s="6" t="s">
        <v>10</v>
      </c>
      <c r="H11" s="6" t="s">
        <v>11</v>
      </c>
      <c r="I11" s="6" t="s">
        <v>12</v>
      </c>
      <c r="J11" s="6" t="s">
        <v>13</v>
      </c>
      <c r="K11" s="6" t="s">
        <v>55</v>
      </c>
      <c r="L11" s="6" t="s">
        <v>9</v>
      </c>
      <c r="M11" s="6" t="s">
        <v>56</v>
      </c>
      <c r="N11" s="6" t="s">
        <v>60</v>
      </c>
      <c r="O11" s="6" t="s">
        <v>61</v>
      </c>
      <c r="P11" s="6" t="s">
        <v>62</v>
      </c>
      <c r="Q11" s="6" t="s">
        <v>57</v>
      </c>
      <c r="R11" s="6" t="s">
        <v>14</v>
      </c>
      <c r="S11" s="6" t="s">
        <v>15</v>
      </c>
      <c r="T11" s="6" t="s">
        <v>16</v>
      </c>
      <c r="U11" s="6" t="s">
        <v>17</v>
      </c>
      <c r="V11" s="6" t="s">
        <v>18</v>
      </c>
      <c r="W11" s="6" t="s">
        <v>58</v>
      </c>
      <c r="X11" s="6" t="s">
        <v>59</v>
      </c>
      <c r="Y11" s="6" t="s">
        <v>115</v>
      </c>
      <c r="Z11" s="6" t="s">
        <v>116</v>
      </c>
      <c r="AA11" s="6" t="s">
        <v>117</v>
      </c>
      <c r="AB11" s="6" t="s">
        <v>118</v>
      </c>
      <c r="AC11" s="6" t="s">
        <v>120</v>
      </c>
      <c r="AD11" s="6" t="s">
        <v>121</v>
      </c>
      <c r="AE11" s="6" t="s">
        <v>122</v>
      </c>
      <c r="AF11" s="6" t="s">
        <v>123</v>
      </c>
      <c r="AG11" s="6" t="s">
        <v>124</v>
      </c>
      <c r="AH11" s="6" t="s">
        <v>125</v>
      </c>
      <c r="AI11" s="6" t="s">
        <v>126</v>
      </c>
      <c r="AJ11" s="6" t="s">
        <v>127</v>
      </c>
      <c r="AK11" s="6" t="s">
        <v>128</v>
      </c>
      <c r="AL11" s="6" t="s">
        <v>129</v>
      </c>
      <c r="AM11" s="6" t="s">
        <v>130</v>
      </c>
      <c r="AN11" s="6" t="s">
        <v>131</v>
      </c>
      <c r="AO11" s="6"/>
      <c r="AP11" s="6"/>
    </row>
    <row r="12" spans="1:42" x14ac:dyDescent="0.25">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row>
    <row r="13" spans="1:42" ht="15.75" thickBot="1" x14ac:dyDescent="0.3">
      <c r="B13" s="7" t="s">
        <v>19</v>
      </c>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row>
    <row r="14" spans="1:42" x14ac:dyDescent="0.25">
      <c r="B14" t="s">
        <v>53</v>
      </c>
      <c r="C14" t="s">
        <v>20</v>
      </c>
      <c r="F14">
        <v>17.239999999999998</v>
      </c>
      <c r="G14">
        <v>15.65</v>
      </c>
      <c r="H14">
        <v>16.29</v>
      </c>
      <c r="I14" s="14">
        <v>21.6</v>
      </c>
      <c r="J14">
        <v>25.22</v>
      </c>
      <c r="K14">
        <v>24.38</v>
      </c>
      <c r="L14" s="47">
        <f>AVERAGE(M14:AM14)</f>
        <v>24.703703703703702</v>
      </c>
      <c r="M14" s="37">
        <v>22</v>
      </c>
      <c r="N14" s="37">
        <v>22</v>
      </c>
      <c r="O14" s="42">
        <v>23</v>
      </c>
      <c r="P14" s="37">
        <v>25</v>
      </c>
      <c r="Q14" s="37">
        <f>P14</f>
        <v>25</v>
      </c>
      <c r="R14" s="37">
        <f t="shared" ref="R14:W15" si="0">Q14</f>
        <v>25</v>
      </c>
      <c r="S14" s="37">
        <f t="shared" si="0"/>
        <v>25</v>
      </c>
      <c r="T14" s="37">
        <f t="shared" si="0"/>
        <v>25</v>
      </c>
      <c r="U14" s="37">
        <f t="shared" si="0"/>
        <v>25</v>
      </c>
      <c r="V14" s="37">
        <f t="shared" si="0"/>
        <v>25</v>
      </c>
      <c r="W14" s="37">
        <f t="shared" si="0"/>
        <v>25</v>
      </c>
      <c r="X14" s="37">
        <f t="shared" ref="X14:X15" si="1">W14</f>
        <v>25</v>
      </c>
      <c r="Y14" s="37">
        <f t="shared" ref="Y14:Y15" si="2">X14</f>
        <v>25</v>
      </c>
      <c r="Z14" s="37">
        <f t="shared" ref="Z14:Z15" si="3">Y14</f>
        <v>25</v>
      </c>
      <c r="AA14" s="37">
        <f t="shared" ref="AA14:AA15" si="4">Z14</f>
        <v>25</v>
      </c>
      <c r="AB14" s="37">
        <f t="shared" ref="AB14:AB15" si="5">AA14</f>
        <v>25</v>
      </c>
      <c r="AC14" s="37">
        <f t="shared" ref="AC14:AC15" si="6">AB14</f>
        <v>25</v>
      </c>
      <c r="AD14" s="37">
        <f t="shared" ref="AD14:AD15" si="7">AC14</f>
        <v>25</v>
      </c>
      <c r="AE14" s="37">
        <f t="shared" ref="AE14:AE15" si="8">AD14</f>
        <v>25</v>
      </c>
      <c r="AF14" s="37">
        <f t="shared" ref="AF14:AF15" si="9">AE14</f>
        <v>25</v>
      </c>
      <c r="AG14" s="37">
        <f t="shared" ref="AG14:AG15" si="10">AF14</f>
        <v>25</v>
      </c>
      <c r="AH14" s="37">
        <f t="shared" ref="AH14:AH15" si="11">AG14</f>
        <v>25</v>
      </c>
      <c r="AI14" s="37">
        <f t="shared" ref="AI14:AI15" si="12">AH14</f>
        <v>25</v>
      </c>
      <c r="AJ14" s="37">
        <f t="shared" ref="AJ14:AJ15" si="13">AI14</f>
        <v>25</v>
      </c>
      <c r="AK14" s="37">
        <f t="shared" ref="AK14:AK15" si="14">AJ14</f>
        <v>25</v>
      </c>
      <c r="AL14" s="37">
        <f t="shared" ref="AL14:AL15" si="15">AK14</f>
        <v>25</v>
      </c>
      <c r="AM14" s="37">
        <f t="shared" ref="AM14:AM15" si="16">AL14</f>
        <v>25</v>
      </c>
      <c r="AN14" s="37"/>
    </row>
    <row r="15" spans="1:42" x14ac:dyDescent="0.25">
      <c r="B15" t="s">
        <v>54</v>
      </c>
      <c r="C15" t="s">
        <v>20</v>
      </c>
      <c r="F15" s="10">
        <v>1285</v>
      </c>
      <c r="G15" s="10">
        <v>1267</v>
      </c>
      <c r="H15" s="10">
        <v>1422</v>
      </c>
      <c r="I15" s="10">
        <v>1846</v>
      </c>
      <c r="J15" s="10">
        <v>1790</v>
      </c>
      <c r="K15" s="10">
        <v>1970</v>
      </c>
      <c r="L15" s="49">
        <f>AVERAGE(M15:AM15)</f>
        <v>1760</v>
      </c>
      <c r="M15" s="38">
        <v>1870</v>
      </c>
      <c r="N15" s="38">
        <v>1850</v>
      </c>
      <c r="O15" s="38">
        <v>1800</v>
      </c>
      <c r="P15" s="38">
        <f>1750</f>
        <v>1750</v>
      </c>
      <c r="Q15" s="38">
        <f>P15</f>
        <v>1750</v>
      </c>
      <c r="R15" s="38">
        <f t="shared" si="0"/>
        <v>1750</v>
      </c>
      <c r="S15" s="38">
        <f t="shared" si="0"/>
        <v>1750</v>
      </c>
      <c r="T15" s="38">
        <f t="shared" si="0"/>
        <v>1750</v>
      </c>
      <c r="U15" s="38">
        <f t="shared" si="0"/>
        <v>1750</v>
      </c>
      <c r="V15" s="38">
        <f t="shared" si="0"/>
        <v>1750</v>
      </c>
      <c r="W15" s="38">
        <f t="shared" si="0"/>
        <v>1750</v>
      </c>
      <c r="X15" s="38">
        <f t="shared" si="1"/>
        <v>1750</v>
      </c>
      <c r="Y15" s="38">
        <f t="shared" si="2"/>
        <v>1750</v>
      </c>
      <c r="Z15" s="38">
        <f t="shared" si="3"/>
        <v>1750</v>
      </c>
      <c r="AA15" s="38">
        <f t="shared" si="4"/>
        <v>1750</v>
      </c>
      <c r="AB15" s="38">
        <f t="shared" si="5"/>
        <v>1750</v>
      </c>
      <c r="AC15" s="38">
        <f t="shared" si="6"/>
        <v>1750</v>
      </c>
      <c r="AD15" s="38">
        <f t="shared" si="7"/>
        <v>1750</v>
      </c>
      <c r="AE15" s="38">
        <f t="shared" si="8"/>
        <v>1750</v>
      </c>
      <c r="AF15" s="38">
        <f t="shared" si="9"/>
        <v>1750</v>
      </c>
      <c r="AG15" s="38">
        <f t="shared" si="10"/>
        <v>1750</v>
      </c>
      <c r="AH15" s="38">
        <f t="shared" si="11"/>
        <v>1750</v>
      </c>
      <c r="AI15" s="38">
        <f t="shared" si="12"/>
        <v>1750</v>
      </c>
      <c r="AJ15" s="38">
        <f t="shared" si="13"/>
        <v>1750</v>
      </c>
      <c r="AK15" s="38">
        <f t="shared" si="14"/>
        <v>1750</v>
      </c>
      <c r="AL15" s="38">
        <f t="shared" si="15"/>
        <v>1750</v>
      </c>
      <c r="AM15" s="38">
        <f t="shared" si="16"/>
        <v>1750</v>
      </c>
      <c r="AN15" s="38"/>
    </row>
    <row r="16" spans="1:42" x14ac:dyDescent="0.25">
      <c r="L16" s="51"/>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row>
    <row r="17" spans="2:40" ht="15.75" thickBot="1" x14ac:dyDescent="0.3">
      <c r="B17" s="7" t="s">
        <v>158</v>
      </c>
      <c r="L17" s="51"/>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row>
    <row r="18" spans="2:40" x14ac:dyDescent="0.25">
      <c r="B18" t="s">
        <v>159</v>
      </c>
      <c r="C18" t="s">
        <v>22</v>
      </c>
      <c r="K18" s="26"/>
      <c r="L18" s="55"/>
      <c r="M18" s="46">
        <f>('DCF Guanacevi'!L18+'DCF Guanacevi'!L19+'DCF Bolanitos'!L18+'DCF Bolanitos'!L19+'DCF Terronera'!G18)/$C$7</f>
        <v>1</v>
      </c>
      <c r="N18" s="46">
        <f>('DCF Guanacevi'!M18+'DCF Guanacevi'!M19+'DCF Bolanitos'!M18+'DCF Bolanitos'!M19+'DCF Terronera'!H18)/$C$7</f>
        <v>0.9769968962303045</v>
      </c>
      <c r="O18" s="46">
        <f>('DCF Guanacevi'!N18+'DCF Guanacevi'!N19+'DCF Bolanitos'!N18+'DCF Bolanitos'!N19+'DCF Terronera'!I18)/$C$7</f>
        <v>0.95374101110050236</v>
      </c>
      <c r="P18" s="46">
        <f>('DCF Guanacevi'!O18+'DCF Guanacevi'!O19+'DCF Bolanitos'!O18+'DCF Bolanitos'!O19+'DCF Terronera'!J18)/$C$7</f>
        <v>0.93048512597070021</v>
      </c>
      <c r="Q18" s="46">
        <f>('DCF Guanacevi'!P18+'DCF Guanacevi'!P19+'DCF Bolanitos'!P18+'DCF Bolanitos'!P19+'DCF Terronera'!K18)/$C$7</f>
        <v>0.90773480356111125</v>
      </c>
      <c r="R18" s="46">
        <f>('DCF Guanacevi'!Q18+'DCF Guanacevi'!Q19+'DCF Bolanitos'!Q18+'DCF Bolanitos'!Q19+'DCF Terronera'!L18)/$C$7</f>
        <v>0.85761426766009363</v>
      </c>
      <c r="S18" s="46">
        <f>('DCF Guanacevi'!R18+'DCF Guanacevi'!R19+'DCF Bolanitos'!R18+'DCF Bolanitos'!R19+'DCF Terronera'!M18)/$C$7</f>
        <v>0.75346982090950732</v>
      </c>
      <c r="T18" s="46">
        <f>('DCF Guanacevi'!S18+'DCF Guanacevi'!S19+'DCF Bolanitos'!S18+'DCF Bolanitos'!S19+'DCF Terronera'!N18)/$C$7</f>
        <v>0.68307644663768485</v>
      </c>
      <c r="U18" s="46">
        <f>('DCF Guanacevi'!T18+'DCF Guanacevi'!T19+'DCF Bolanitos'!T18+'DCF Bolanitos'!T19+'DCF Terronera'!O18)/$C$7</f>
        <v>0.61268307236586239</v>
      </c>
      <c r="V18" s="46">
        <f>('DCF Guanacevi'!U18+'DCF Guanacevi'!U19+'DCF Bolanitos'!U18+'DCF Bolanitos'!U19+'DCF Terronera'!P18)/$C$7</f>
        <v>0.54228969809403993</v>
      </c>
      <c r="W18" s="46">
        <f>('DCF Guanacevi'!V18+'DCF Guanacevi'!V19+'DCF Bolanitos'!V18+'DCF Bolanitos'!V19+'DCF Terronera'!Q18)/$C$7</f>
        <v>0.47189632382221741</v>
      </c>
      <c r="X18" s="46">
        <f>('DCF Guanacevi'!W18+'DCF Guanacevi'!W19+'DCF Bolanitos'!W18+'DCF Bolanitos'!W19+'DCF Terronera'!R18)/$C$7</f>
        <v>0.40150294955039489</v>
      </c>
      <c r="Y18" s="46">
        <f>('DCF Guanacevi'!X18+'DCF Guanacevi'!X19+'DCF Bolanitos'!X18+'DCF Bolanitos'!X19+'DCF Terronera'!S18)/$C$7</f>
        <v>0.33110957527857243</v>
      </c>
      <c r="Z18" s="46">
        <f>('DCF Guanacevi'!Y18+'DCF Guanacevi'!Y19+'DCF Bolanitos'!Y18+'DCF Bolanitos'!Y19+'DCF Terronera'!T18)/$C$7</f>
        <v>0.26071620100674991</v>
      </c>
      <c r="AA18" s="46">
        <f>('DCF Guanacevi'!Z18+'DCF Guanacevi'!Z19+'DCF Bolanitos'!Z18+'DCF Bolanitos'!Z19+'DCF Terronera'!U18)/$C$7</f>
        <v>0.19032282673492745</v>
      </c>
      <c r="AB18" s="46">
        <f>('DCF Guanacevi'!AA18+'DCF Guanacevi'!AA19+'DCF Bolanitos'!AA18+'DCF Bolanitos'!AA19+'DCF Terronera'!V18)/$C$7</f>
        <v>0.11992945246310498</v>
      </c>
      <c r="AC18" s="46">
        <f>('DCF Guanacevi'!AB18+'DCF Guanacevi'!AB19+'DCF Bolanitos'!AB18+'DCF Bolanitos'!AB19+'DCF Terronera'!W18)/$C$7</f>
        <v>4.9536078191282487E-2</v>
      </c>
      <c r="AD18" s="46">
        <f>('DCF Guanacevi'!AC18+'DCF Guanacevi'!AC19+'DCF Bolanitos'!AC18+'DCF Bolanitos'!AC19+'DCF Terronera'!X18)/$C$7</f>
        <v>0</v>
      </c>
      <c r="AE18" s="46">
        <f>('DCF Guanacevi'!AD18+'DCF Guanacevi'!AD19+'DCF Bolanitos'!AD18+'DCF Bolanitos'!AD19+'DCF Terronera'!Y18)/$C$7</f>
        <v>0</v>
      </c>
      <c r="AF18" s="46">
        <f>('DCF Guanacevi'!AE18+'DCF Guanacevi'!AE19+'DCF Bolanitos'!AE18+'DCF Bolanitos'!AE19+'DCF Terronera'!Z18)/$C$7</f>
        <v>0</v>
      </c>
      <c r="AG18" s="46">
        <f>('DCF Guanacevi'!AF18+'DCF Guanacevi'!AF19+'DCF Bolanitos'!AF18+'DCF Bolanitos'!AF19+'DCF Terronera'!AA18)/$C$7</f>
        <v>0</v>
      </c>
      <c r="AH18" s="46">
        <f>('DCF Guanacevi'!AG18+'DCF Guanacevi'!AG19+'DCF Bolanitos'!AG18+'DCF Bolanitos'!AG19+'DCF Terronera'!AB18)/$C$7</f>
        <v>0</v>
      </c>
      <c r="AI18" s="46">
        <f>('DCF Guanacevi'!AH18+'DCF Guanacevi'!AH19+'DCF Bolanitos'!AH18+'DCF Bolanitos'!AH19+'DCF Terronera'!AC18)/$C$7</f>
        <v>0</v>
      </c>
      <c r="AJ18" s="46">
        <f>('DCF Guanacevi'!AI18+'DCF Guanacevi'!AI19+'DCF Bolanitos'!AI18+'DCF Bolanitos'!AI19+'DCF Terronera'!AD18)/$C$7</f>
        <v>0</v>
      </c>
      <c r="AK18" s="46">
        <f>('DCF Guanacevi'!AJ18+'DCF Guanacevi'!AJ19+'DCF Bolanitos'!AJ18+'DCF Bolanitos'!AJ19+'DCF Terronera'!AE18)/$C$7</f>
        <v>0</v>
      </c>
      <c r="AL18" s="46">
        <f>('DCF Guanacevi'!AK18+'DCF Guanacevi'!AK19+'DCF Bolanitos'!AK18+'DCF Bolanitos'!AK19+'DCF Terronera'!AF18)/$C$7</f>
        <v>0</v>
      </c>
      <c r="AM18" s="46">
        <f>('DCF Guanacevi'!AL18+'DCF Guanacevi'!AL19+'DCF Bolanitos'!AL18+'DCF Bolanitos'!AL19+'DCF Terronera'!AG18)/$C$7</f>
        <v>0</v>
      </c>
      <c r="AN18" s="37"/>
    </row>
    <row r="19" spans="2:40" x14ac:dyDescent="0.25">
      <c r="B19" t="s">
        <v>160</v>
      </c>
      <c r="C19" t="s">
        <v>22</v>
      </c>
      <c r="K19" s="9"/>
      <c r="L19" s="58"/>
      <c r="M19" s="46">
        <f>('DCF Guanacevi'!L22+'DCF Guanacevi'!L23+'DCF Bolanitos'!L22+'DCF Bolanitos'!L23)/$J$7</f>
        <v>0.13191301468153219</v>
      </c>
      <c r="N19" s="46">
        <f>('DCF Guanacevi'!M22+'DCF Guanacevi'!M23+'DCF Bolanitos'!M22+'DCF Bolanitos'!M23)/$J$7</f>
        <v>0.13191301468153219</v>
      </c>
      <c r="O19" s="46">
        <f>('DCF Guanacevi'!N22+'DCF Guanacevi'!N23+'DCF Bolanitos'!N22+'DCF Bolanitos'!N23)/$J$7</f>
        <v>0.13191301468153219</v>
      </c>
      <c r="P19" s="46">
        <f>('DCF Guanacevi'!O22+'DCF Guanacevi'!O23+'DCF Bolanitos'!O22+'DCF Bolanitos'!O23)/$J$7</f>
        <v>0.13191301468153219</v>
      </c>
      <c r="Q19" s="46">
        <f>('DCF Guanacevi'!P22+'DCF Guanacevi'!P23+'DCF Bolanitos'!P22+'DCF Bolanitos'!P23)/$J$7</f>
        <v>0.13191301468153219</v>
      </c>
      <c r="R19" s="46">
        <f>('DCF Guanacevi'!Q22+'DCF Guanacevi'!Q23+'DCF Bolanitos'!Q22+'DCF Bolanitos'!Q23)/$J$7</f>
        <v>0.10066298708466719</v>
      </c>
      <c r="S19" s="46">
        <f>('DCF Guanacevi'!R22+'DCF Guanacevi'!R23+'DCF Bolanitos'!R22+'DCF Bolanitos'!R23)/$J$7</f>
        <v>4.4888729440335576E-2</v>
      </c>
      <c r="T19" s="46">
        <f>('DCF Guanacevi'!S22+'DCF Guanacevi'!S23+'DCF Bolanitos'!S22+'DCF Bolanitos'!S23)/$J$7</f>
        <v>0</v>
      </c>
      <c r="U19" s="46">
        <f>('DCF Guanacevi'!T22+'DCF Guanacevi'!T23+'DCF Bolanitos'!T22+'DCF Bolanitos'!T23)/$J$7</f>
        <v>0</v>
      </c>
      <c r="V19" s="46">
        <f>('DCF Guanacevi'!U22+'DCF Guanacevi'!U23+'DCF Bolanitos'!U22+'DCF Bolanitos'!U23)/$J$7</f>
        <v>0</v>
      </c>
      <c r="W19" s="46">
        <f>('DCF Guanacevi'!V22+'DCF Guanacevi'!V23+'DCF Bolanitos'!V22+'DCF Bolanitos'!V23)/$J$7</f>
        <v>0</v>
      </c>
      <c r="X19" s="46">
        <f>('DCF Guanacevi'!W22+'DCF Guanacevi'!W23+'DCF Bolanitos'!W22+'DCF Bolanitos'!W23)/$J$7</f>
        <v>0</v>
      </c>
      <c r="Y19" s="46">
        <f>('DCF Guanacevi'!X22+'DCF Guanacevi'!X23+'DCF Bolanitos'!X22+'DCF Bolanitos'!X23)/$J$7</f>
        <v>0</v>
      </c>
      <c r="Z19" s="46">
        <f>('DCF Guanacevi'!Y22+'DCF Guanacevi'!Y23+'DCF Bolanitos'!Y22+'DCF Bolanitos'!Y23)/$J$7</f>
        <v>0</v>
      </c>
      <c r="AA19" s="46">
        <f>('DCF Guanacevi'!Z22+'DCF Guanacevi'!Z23+'DCF Bolanitos'!Z22+'DCF Bolanitos'!Z23)/$J$7</f>
        <v>0</v>
      </c>
      <c r="AB19" s="46">
        <f>('DCF Guanacevi'!AA22+'DCF Guanacevi'!AA23+'DCF Bolanitos'!AA22+'DCF Bolanitos'!AA23)/$J$7</f>
        <v>0</v>
      </c>
      <c r="AC19" s="46">
        <f>('DCF Guanacevi'!AB22+'DCF Guanacevi'!AB23+'DCF Bolanitos'!AB22+'DCF Bolanitos'!AB23)/$J$7</f>
        <v>0</v>
      </c>
      <c r="AD19" s="46">
        <f>('DCF Guanacevi'!AC22+'DCF Guanacevi'!AC23+'DCF Bolanitos'!AC22+'DCF Bolanitos'!AC23)/$J$7</f>
        <v>0</v>
      </c>
      <c r="AE19" s="46">
        <f>('DCF Guanacevi'!AD22+'DCF Guanacevi'!AD23+'DCF Bolanitos'!AD22+'DCF Bolanitos'!AD23)/$J$7</f>
        <v>0</v>
      </c>
      <c r="AF19" s="46">
        <f>('DCF Guanacevi'!AE22+'DCF Guanacevi'!AE23+'DCF Bolanitos'!AE22+'DCF Bolanitos'!AE23)/$J$7</f>
        <v>0</v>
      </c>
      <c r="AG19" s="46">
        <f>('DCF Guanacevi'!AF22+'DCF Guanacevi'!AF23+'DCF Bolanitos'!AF22+'DCF Bolanitos'!AF23)/$J$7</f>
        <v>0</v>
      </c>
      <c r="AH19" s="46">
        <f>('DCF Guanacevi'!AG22+'DCF Guanacevi'!AG23+'DCF Bolanitos'!AG22+'DCF Bolanitos'!AG23)/$J$7</f>
        <v>0</v>
      </c>
      <c r="AI19" s="46">
        <f>('DCF Guanacevi'!AH22+'DCF Guanacevi'!AH23+'DCF Bolanitos'!AH22+'DCF Bolanitos'!AH23)/$J$7</f>
        <v>0</v>
      </c>
      <c r="AJ19" s="46">
        <f>('DCF Guanacevi'!AI22+'DCF Guanacevi'!AI23+'DCF Bolanitos'!AI22+'DCF Bolanitos'!AI23)/$J$7</f>
        <v>0</v>
      </c>
      <c r="AK19" s="46">
        <f>('DCF Guanacevi'!AJ22+'DCF Guanacevi'!AJ23+'DCF Bolanitos'!AJ22+'DCF Bolanitos'!AJ23)/$J$7</f>
        <v>0</v>
      </c>
      <c r="AL19" s="46">
        <f>('DCF Guanacevi'!AK22+'DCF Guanacevi'!AK23+'DCF Bolanitos'!AK22+'DCF Bolanitos'!AK23)/$J$7</f>
        <v>0</v>
      </c>
      <c r="AM19" s="46">
        <f>('DCF Guanacevi'!AL22+'DCF Guanacevi'!AL23+'DCF Bolanitos'!AL22+'DCF Bolanitos'!AL23)/$J$7</f>
        <v>0</v>
      </c>
      <c r="AN19" s="37"/>
    </row>
    <row r="20" spans="2:40" x14ac:dyDescent="0.25">
      <c r="B20" t="s">
        <v>161</v>
      </c>
      <c r="C20" t="s">
        <v>22</v>
      </c>
      <c r="K20" s="9"/>
      <c r="L20" s="58"/>
      <c r="M20" s="57">
        <f>('DCF Guanacevi'!L26+'DCF Bolanitos'!L26)/$Q$5</f>
        <v>0</v>
      </c>
      <c r="N20" s="57">
        <f>('DCF Guanacevi'!M26+'DCF Bolanitos'!M26)/$Q$5</f>
        <v>0</v>
      </c>
      <c r="O20" s="57">
        <f>('DCF Guanacevi'!N26+'DCF Bolanitos'!N26)/$Q$5</f>
        <v>0</v>
      </c>
      <c r="P20" s="57">
        <f>('DCF Guanacevi'!O26+'DCF Bolanitos'!O26)/$Q$5</f>
        <v>0</v>
      </c>
      <c r="Q20" s="57">
        <f>('DCF Guanacevi'!P26+'DCF Bolanitos'!P26)/$Q$5</f>
        <v>0</v>
      </c>
      <c r="R20" s="57">
        <f>('DCF Guanacevi'!Q26+'DCF Bolanitos'!Q26)/$Q$5</f>
        <v>0</v>
      </c>
      <c r="S20" s="57">
        <f>('DCF Guanacevi'!R26+'DCF Bolanitos'!R26)/$Q$5</f>
        <v>0</v>
      </c>
      <c r="T20" s="57">
        <f>('DCF Guanacevi'!S26+'DCF Bolanitos'!S26)/$Q$5</f>
        <v>0</v>
      </c>
      <c r="U20" s="57">
        <f>('DCF Guanacevi'!T26+'DCF Bolanitos'!T26)/$Q$5</f>
        <v>0</v>
      </c>
      <c r="V20" s="57">
        <f>('DCF Guanacevi'!U26+'DCF Bolanitos'!U26)/$Q$5</f>
        <v>0</v>
      </c>
      <c r="W20" s="57">
        <f>('DCF Guanacevi'!V26+'DCF Bolanitos'!V26)/$Q$5</f>
        <v>0</v>
      </c>
      <c r="X20" s="57">
        <f>('DCF Guanacevi'!W26+'DCF Bolanitos'!W26)/$Q$5</f>
        <v>0</v>
      </c>
      <c r="Y20" s="57">
        <f>('DCF Guanacevi'!X26+'DCF Bolanitos'!X26)/$Q$5</f>
        <v>0</v>
      </c>
      <c r="Z20" s="57">
        <f>('DCF Guanacevi'!Y26+'DCF Bolanitos'!Y26)/$Q$5</f>
        <v>0</v>
      </c>
      <c r="AA20" s="57">
        <f>('DCF Guanacevi'!Z26+'DCF Bolanitos'!Z26)/$Q$5</f>
        <v>0</v>
      </c>
      <c r="AB20" s="57">
        <f>('DCF Guanacevi'!AA26+'DCF Bolanitos'!AA26)/$Q$5</f>
        <v>0</v>
      </c>
      <c r="AC20" s="57">
        <f>('DCF Guanacevi'!AB26+'DCF Bolanitos'!AB26)/$Q$5</f>
        <v>0</v>
      </c>
      <c r="AD20" s="57">
        <f>('DCF Guanacevi'!AC26+'DCF Bolanitos'!AC26)/$Q$5</f>
        <v>0</v>
      </c>
      <c r="AE20" s="57">
        <f>('DCF Guanacevi'!AD26+'DCF Bolanitos'!AD26)/$Q$5</f>
        <v>0</v>
      </c>
      <c r="AF20" s="57">
        <f>('DCF Guanacevi'!AE26+'DCF Bolanitos'!AE26)/$Q$5</f>
        <v>0</v>
      </c>
      <c r="AG20" s="57">
        <f>('DCF Guanacevi'!AF26+'DCF Bolanitos'!AF26)/$Q$5</f>
        <v>0</v>
      </c>
      <c r="AH20" s="57">
        <f>('DCF Guanacevi'!AG26+'DCF Bolanitos'!AG26)/$Q$5</f>
        <v>0</v>
      </c>
      <c r="AI20" s="57">
        <f>('DCF Guanacevi'!AH26+'DCF Bolanitos'!AH26)/$Q$5</f>
        <v>0</v>
      </c>
      <c r="AJ20" s="57">
        <f>('DCF Guanacevi'!AI26+'DCF Bolanitos'!AI26)/$Q$5</f>
        <v>0</v>
      </c>
      <c r="AK20" s="57">
        <f>('DCF Guanacevi'!AJ26+'DCF Bolanitos'!AJ26)/$Q$5</f>
        <v>0</v>
      </c>
      <c r="AL20" s="57">
        <f>('DCF Guanacevi'!AK26+'DCF Bolanitos'!AK26)/$Q$5</f>
        <v>0</v>
      </c>
      <c r="AM20" s="57">
        <f>('DCF Guanacevi'!AL26+'DCF Bolanitos'!AL26)/$Q$5</f>
        <v>0</v>
      </c>
      <c r="AN20" s="37"/>
    </row>
    <row r="21" spans="2:40" x14ac:dyDescent="0.25">
      <c r="L21" s="51"/>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row>
    <row r="22" spans="2:40" ht="15.75" thickBot="1" x14ac:dyDescent="0.3">
      <c r="B22" s="7" t="s">
        <v>166</v>
      </c>
      <c r="L22" s="51"/>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row>
    <row r="23" spans="2:40" x14ac:dyDescent="0.25">
      <c r="B23" t="s">
        <v>34</v>
      </c>
      <c r="C23" t="s">
        <v>35</v>
      </c>
      <c r="F23" s="10">
        <v>1279873</v>
      </c>
      <c r="G23" s="10">
        <v>1266831</v>
      </c>
      <c r="H23" s="10">
        <v>954886</v>
      </c>
      <c r="I23" s="10">
        <v>757160</v>
      </c>
      <c r="J23" s="10">
        <v>887424</v>
      </c>
      <c r="K23" s="10">
        <f>'DCF Guanacevi'!J30+'DCF Bolanitos'!J30</f>
        <v>206147</v>
      </c>
      <c r="L23" s="49">
        <f>SUM(M23:AM23)</f>
        <v>10016853</v>
      </c>
      <c r="M23" s="38">
        <f>'DCF Guanacevi'!L30+'DCF Bolanitos'!L30+'DCF Terronera'!G22</f>
        <v>202930</v>
      </c>
      <c r="N23" s="38">
        <f>'DCF Guanacevi'!M30+'DCF Bolanitos'!M30+'DCF Terronera'!H22</f>
        <v>205160</v>
      </c>
      <c r="O23" s="38">
        <f>'DCF Guanacevi'!N30+'DCF Bolanitos'!N30+'DCF Terronera'!I22</f>
        <v>205160</v>
      </c>
      <c r="P23" s="38">
        <f>'DCF Guanacevi'!O30+'DCF Bolanitos'!O30+'DCF Terronera'!J22</f>
        <v>200700</v>
      </c>
      <c r="Q23" s="38">
        <f>'DCF Guanacevi'!P30+'DCF Bolanitos'!P30+'DCF Terronera'!K22</f>
        <v>725250</v>
      </c>
      <c r="R23" s="38">
        <f>'DCF Guanacevi'!Q30+'DCF Bolanitos'!Q30+'DCF Terronera'!L22</f>
        <v>1424006</v>
      </c>
      <c r="S23" s="38">
        <f>'DCF Guanacevi'!R30+'DCF Bolanitos'!R30+'DCF Terronera'!M22</f>
        <v>1027647</v>
      </c>
      <c r="T23" s="38">
        <f>'DCF Guanacevi'!S30+'DCF Bolanitos'!S30+'DCF Terronera'!N22</f>
        <v>621000</v>
      </c>
      <c r="U23" s="38">
        <f>'DCF Guanacevi'!T30+'DCF Bolanitos'!T30+'DCF Terronera'!O22</f>
        <v>621000</v>
      </c>
      <c r="V23" s="38">
        <f>'DCF Guanacevi'!U30+'DCF Bolanitos'!U30+'DCF Terronera'!P22</f>
        <v>621000</v>
      </c>
      <c r="W23" s="38">
        <f>'DCF Guanacevi'!V30+'DCF Bolanitos'!V30+'DCF Terronera'!Q22</f>
        <v>621000</v>
      </c>
      <c r="X23" s="38">
        <f>'DCF Guanacevi'!W30+'DCF Bolanitos'!W30+'DCF Terronera'!R22</f>
        <v>621000</v>
      </c>
      <c r="Y23" s="38">
        <f>'DCF Guanacevi'!X30+'DCF Bolanitos'!X30+'DCF Terronera'!S22</f>
        <v>621000</v>
      </c>
      <c r="Z23" s="38">
        <f>'DCF Guanacevi'!Y30+'DCF Bolanitos'!Y30+'DCF Terronera'!T22</f>
        <v>621000</v>
      </c>
      <c r="AA23" s="38">
        <f>'DCF Guanacevi'!Z30+'DCF Bolanitos'!Z30+'DCF Terronera'!U22</f>
        <v>621000</v>
      </c>
      <c r="AB23" s="38">
        <f>'DCF Guanacevi'!AA30+'DCF Bolanitos'!AA30+'DCF Terronera'!V22</f>
        <v>621000</v>
      </c>
      <c r="AC23" s="38">
        <f>'DCF Guanacevi'!AB30+'DCF Bolanitos'!AB30+'DCF Terronera'!W22</f>
        <v>437000</v>
      </c>
      <c r="AD23" s="38">
        <f>'DCF Guanacevi'!AC30+'DCF Bolanitos'!AC30+'DCF Terronera'!X22</f>
        <v>0</v>
      </c>
      <c r="AE23" s="38">
        <f>'DCF Guanacevi'!AD30+'DCF Bolanitos'!AD30+'DCF Terronera'!Y22</f>
        <v>0</v>
      </c>
      <c r="AF23" s="38">
        <f>'DCF Guanacevi'!AE30+'DCF Bolanitos'!AE30+'DCF Terronera'!Z22</f>
        <v>0</v>
      </c>
      <c r="AG23" s="38">
        <f>'DCF Guanacevi'!AF30+'DCF Bolanitos'!AF30+'DCF Terronera'!AA22</f>
        <v>0</v>
      </c>
      <c r="AH23" s="38">
        <f>'DCF Guanacevi'!AG30+'DCF Bolanitos'!AG30+'DCF Terronera'!AB22</f>
        <v>0</v>
      </c>
      <c r="AI23" s="38">
        <f>'DCF Guanacevi'!AH30+'DCF Bolanitos'!AH30+'DCF Terronera'!AC22</f>
        <v>0</v>
      </c>
      <c r="AJ23" s="38">
        <f>'DCF Guanacevi'!AI30+'DCF Bolanitos'!AI30+'DCF Terronera'!AD22</f>
        <v>0</v>
      </c>
      <c r="AK23" s="38">
        <f>'DCF Guanacevi'!AJ30+'DCF Bolanitos'!AJ30+'DCF Terronera'!AE22</f>
        <v>0</v>
      </c>
      <c r="AL23" s="38">
        <f>'DCF Guanacevi'!AK30+'DCF Bolanitos'!AK30+'DCF Terronera'!AF22</f>
        <v>0</v>
      </c>
      <c r="AM23" s="38">
        <f>'DCF Guanacevi'!AL30+'DCF Bolanitos'!AL30+'DCF Terronera'!AG22</f>
        <v>0</v>
      </c>
      <c r="AN23" s="37"/>
    </row>
    <row r="24" spans="2:40" x14ac:dyDescent="0.25">
      <c r="B24" t="s">
        <v>162</v>
      </c>
      <c r="C24" t="s">
        <v>37</v>
      </c>
      <c r="F24" s="13">
        <v>140</v>
      </c>
      <c r="G24" s="13">
        <v>156</v>
      </c>
      <c r="H24" s="13">
        <v>149</v>
      </c>
      <c r="I24" s="13">
        <v>167</v>
      </c>
      <c r="J24" s="13">
        <v>195</v>
      </c>
      <c r="K24" s="13">
        <f>('DCF Guanacevi'!J30*'DCF Guanacevi'!J31+'DCF Bolanitos'!J30*'DCF Bolanitos'!J31)/'Central sheet '!K23</f>
        <v>230.94444740888784</v>
      </c>
      <c r="L24" s="48">
        <f>AVERAGEIF(M24:AM24,"&gt;0")</f>
        <v>207.21498540287132</v>
      </c>
      <c r="M24" s="42">
        <f>IF(M23&gt;0,('DCF Guanacevi'!L30*'DCF Guanacevi'!L31+'DCF Bolanitos'!L30*'DCF Bolanitos'!L31+'DCF Terronera'!G22*'DCF Terronera'!G23)/'Central sheet '!M23,0)</f>
        <v>214.05381165919283</v>
      </c>
      <c r="N24" s="42">
        <f>IF(N23&gt;0,('DCF Guanacevi'!M30*'DCF Guanacevi'!M31+'DCF Bolanitos'!M30*'DCF Bolanitos'!M31+'DCF Terronera'!H22*'DCF Terronera'!H23)/'Central sheet '!N23,0)</f>
        <v>208.8968609865471</v>
      </c>
      <c r="O24" s="42">
        <f>IF(O23&gt;0,('DCF Guanacevi'!N30*'DCF Guanacevi'!N31+'DCF Bolanitos'!N30*'DCF Bolanitos'!N31+'DCF Terronera'!I22*'DCF Terronera'!I23)/'Central sheet '!O23,0)</f>
        <v>208.8968609865471</v>
      </c>
      <c r="P24" s="42">
        <f>IF(P23&gt;0,('DCF Guanacevi'!O30*'DCF Guanacevi'!O31+'DCF Bolanitos'!O30*'DCF Bolanitos'!O31+'DCF Terronera'!J22*'DCF Terronera'!J23)/'Central sheet '!P23,0)</f>
        <v>237.75784753363229</v>
      </c>
      <c r="Q24" s="42">
        <f>IF(Q23&gt;0,('DCF Guanacevi'!P30*'DCF Guanacevi'!P31+'DCF Bolanitos'!P30*'DCF Bolanitos'!P31+'DCF Terronera'!K22*'DCF Terronera'!K23)/'Central sheet '!Q23,0)</f>
        <v>258.53371940710099</v>
      </c>
      <c r="R24" s="42">
        <f>IF(R23&gt;0,('DCF Guanacevi'!Q30*'DCF Guanacevi'!Q31+'DCF Bolanitos'!Q30*'DCF Bolanitos'!Q31+'DCF Terronera'!L22*'DCF Terronera'!L23)/'Central sheet '!R23,0)</f>
        <v>264.72382489961421</v>
      </c>
      <c r="S24" s="42">
        <f>IF(S23&gt;0,('DCF Guanacevi'!R30*'DCF Guanacevi'!R31+'DCF Bolanitos'!R30*'DCF Bolanitos'!R31+'DCF Terronera'!M22*'DCF Terronera'!M23)/'Central sheet '!S23,0)</f>
        <v>291.79182637617782</v>
      </c>
      <c r="T24" s="42">
        <f>IF(T23&gt;0,('DCF Guanacevi'!S30*'DCF Guanacevi'!S31+'DCF Bolanitos'!S30*'DCF Bolanitos'!S31+'DCF Terronera'!N22*'DCF Terronera'!N23)/'Central sheet '!T23,0)</f>
        <v>279</v>
      </c>
      <c r="U24" s="42">
        <f>IF(U23&gt;0,('DCF Guanacevi'!T30*'DCF Guanacevi'!T31+'DCF Bolanitos'!T30*'DCF Bolanitos'!T31+'DCF Terronera'!O22*'DCF Terronera'!O23)/'Central sheet '!U23,0)</f>
        <v>221</v>
      </c>
      <c r="V24" s="42">
        <f>IF(V23&gt;0,('DCF Guanacevi'!U30*'DCF Guanacevi'!U31+'DCF Bolanitos'!U30*'DCF Bolanitos'!U31+'DCF Terronera'!P22*'DCF Terronera'!P23)/'Central sheet '!V23,0)</f>
        <v>174</v>
      </c>
      <c r="W24" s="42">
        <f>IF(W23&gt;0,('DCF Guanacevi'!V30*'DCF Guanacevi'!V31+'DCF Bolanitos'!V30*'DCF Bolanitos'!V31+'DCF Terronera'!Q22*'DCF Terronera'!Q23)/'Central sheet '!W23,0)</f>
        <v>198</v>
      </c>
      <c r="X24" s="42">
        <f>IF(X23&gt;0,('DCF Guanacevi'!W30*'DCF Guanacevi'!W31+'DCF Bolanitos'!W30*'DCF Bolanitos'!W31+'DCF Terronera'!R22*'DCF Terronera'!R23)/'Central sheet '!X23,0)</f>
        <v>212</v>
      </c>
      <c r="Y24" s="42">
        <f>IF(Y23&gt;0,('DCF Guanacevi'!X30*'DCF Guanacevi'!X31+'DCF Bolanitos'!X30*'DCF Bolanitos'!X31+'DCF Terronera'!S22*'DCF Terronera'!S23)/'Central sheet '!Y23,0)</f>
        <v>178</v>
      </c>
      <c r="Z24" s="42">
        <f>IF(Z23&gt;0,('DCF Guanacevi'!Y30*'DCF Guanacevi'!Y31+'DCF Bolanitos'!Y30*'DCF Bolanitos'!Y31+'DCF Terronera'!T22*'DCF Terronera'!T23)/'Central sheet '!Z23,0)</f>
        <v>158</v>
      </c>
      <c r="AA24" s="42">
        <f>IF(AA23&gt;0,('DCF Guanacevi'!Z30*'DCF Guanacevi'!Z31+'DCF Bolanitos'!Z30*'DCF Bolanitos'!Z31+'DCF Terronera'!U22*'DCF Terronera'!U23)/'Central sheet '!AA23,0)</f>
        <v>138</v>
      </c>
      <c r="AB24" s="42">
        <f>IF(AB23&gt;0,('DCF Guanacevi'!AA30*'DCF Guanacevi'!AA31+'DCF Bolanitos'!AA30*'DCF Bolanitos'!AA31+'DCF Terronera'!V22*'DCF Terronera'!V23)/'Central sheet '!AB23,0)</f>
        <v>154</v>
      </c>
      <c r="AC24" s="42">
        <f>IF(AC23&gt;0,('DCF Guanacevi'!AB30*'DCF Guanacevi'!AB31+'DCF Bolanitos'!AB30*'DCF Bolanitos'!AB31+'DCF Terronera'!W22*'DCF Terronera'!W23)/'Central sheet '!AC23,0)</f>
        <v>126</v>
      </c>
      <c r="AD24" s="42">
        <f>IF(AD23&gt;0,('DCF Guanacevi'!AC30*'DCF Guanacevi'!AC31+'DCF Bolanitos'!AC30*'DCF Bolanitos'!AC31+'DCF Terronera'!X22*'DCF Terronera'!X23)/'Central sheet '!AD23,0)</f>
        <v>0</v>
      </c>
      <c r="AE24" s="42">
        <f>IF(AE23&gt;0,('DCF Guanacevi'!AD30*'DCF Guanacevi'!AD31+'DCF Bolanitos'!AD30*'DCF Bolanitos'!AD31+'DCF Terronera'!Y22*'DCF Terronera'!Y23)/'Central sheet '!AE23,0)</f>
        <v>0</v>
      </c>
      <c r="AF24" s="42">
        <f>IF(AF23&gt;0,('DCF Guanacevi'!AE30*'DCF Guanacevi'!AE31+'DCF Bolanitos'!AE30*'DCF Bolanitos'!AE31+'DCF Terronera'!Z22*'DCF Terronera'!Z23)/'Central sheet '!AF23,0)</f>
        <v>0</v>
      </c>
      <c r="AG24" s="42">
        <f>IF(AG23&gt;0,('DCF Guanacevi'!AF30*'DCF Guanacevi'!AF31+'DCF Bolanitos'!AF30*'DCF Bolanitos'!AF31+'DCF Terronera'!AA22*'DCF Terronera'!AA23)/'Central sheet '!AG23,0)</f>
        <v>0</v>
      </c>
      <c r="AH24" s="42">
        <f>IF(AH23&gt;0,('DCF Guanacevi'!AG30*'DCF Guanacevi'!AG31+'DCF Bolanitos'!AG30*'DCF Bolanitos'!AG31+'DCF Terronera'!AB22*'DCF Terronera'!AB23)/'Central sheet '!AH23,0)</f>
        <v>0</v>
      </c>
      <c r="AI24" s="42">
        <f>IF(AI23&gt;0,('DCF Guanacevi'!AH30*'DCF Guanacevi'!AH31+'DCF Bolanitos'!AH30*'DCF Bolanitos'!AH31+'DCF Terronera'!AC22*'DCF Terronera'!AC23)/'Central sheet '!AI23,0)</f>
        <v>0</v>
      </c>
      <c r="AJ24" s="42">
        <f>IF(AJ23&gt;0,('DCF Guanacevi'!AI30*'DCF Guanacevi'!AI31+'DCF Bolanitos'!AI30*'DCF Bolanitos'!AI31+'DCF Terronera'!AD22*'DCF Terronera'!AD23)/'Central sheet '!AJ23,0)</f>
        <v>0</v>
      </c>
      <c r="AK24" s="42">
        <f>IF(AK23&gt;0,('DCF Guanacevi'!AJ30*'DCF Guanacevi'!AJ31+'DCF Bolanitos'!AJ30*'DCF Bolanitos'!AJ31+'DCF Terronera'!AE22*'DCF Terronera'!AE23)/'Central sheet '!AK23,0)</f>
        <v>0</v>
      </c>
      <c r="AL24" s="42">
        <f>IF(AL23&gt;0,('DCF Guanacevi'!AK30*'DCF Guanacevi'!AK31+'DCF Bolanitos'!AK30*'DCF Bolanitos'!AK31+'DCF Terronera'!AF22*'DCF Terronera'!AF23)/'Central sheet '!AL23,0)</f>
        <v>0</v>
      </c>
      <c r="AM24" s="42">
        <f>IF(AM23&gt;0,('DCF Guanacevi'!AL30*'DCF Guanacevi'!AL31+'DCF Bolanitos'!AL30*'DCF Bolanitos'!AL31+'DCF Terronera'!AG22*'DCF Terronera'!AG23)/'Central sheet '!AM23,0)</f>
        <v>0</v>
      </c>
      <c r="AN24" s="37"/>
    </row>
    <row r="25" spans="2:40" x14ac:dyDescent="0.25">
      <c r="B25" t="s">
        <v>163</v>
      </c>
      <c r="C25" t="s">
        <v>37</v>
      </c>
      <c r="F25" s="14">
        <v>1.54</v>
      </c>
      <c r="G25" s="14">
        <v>1.53</v>
      </c>
      <c r="H25" s="14">
        <v>1.5</v>
      </c>
      <c r="I25" s="14">
        <v>1.78</v>
      </c>
      <c r="J25" s="14">
        <v>1.65</v>
      </c>
      <c r="K25" s="14">
        <f>('DCF Guanacevi'!J30*'DCF Guanacevi'!J32+'DCF Bolanitos'!J30*'DCF Bolanitos'!J32)/'Central sheet '!K23</f>
        <v>1.4647687815005797</v>
      </c>
      <c r="L25" s="47">
        <f>AVERAGEIF(M25:AM25,"&gt;0")</f>
        <v>1.9148244297311956</v>
      </c>
      <c r="M25" s="43">
        <f>IF('Central sheet '!M23&gt;0,('DCF Guanacevi'!L30*'DCF Guanacevi'!L32+'DCF Bolanitos'!L30*'DCF Bolanitos'!L32+'DCF Terronera'!G22*'DCF Terronera'!G24)/'Central sheet '!M23,0)</f>
        <v>1.4908104272409206</v>
      </c>
      <c r="N25" s="43">
        <f>IF('Central sheet '!N23&gt;0,('DCF Guanacevi'!M30*'DCF Guanacevi'!M32+'DCF Bolanitos'!M30*'DCF Bolanitos'!M32+'DCF Terronera'!H22*'DCF Terronera'!H24)/'Central sheet '!N23,0)</f>
        <v>1.4882062780269059</v>
      </c>
      <c r="O25" s="43">
        <f>IF('Central sheet '!O23&gt;0,('DCF Guanacevi'!N30*'DCF Guanacevi'!N32+'DCF Bolanitos'!N30*'DCF Bolanitos'!N32+'DCF Terronera'!I22*'DCF Terronera'!I24)/'Central sheet '!O23,0)</f>
        <v>1.5333632286995518</v>
      </c>
      <c r="P25" s="43">
        <f>IF('Central sheet '!P23&gt;0,('DCF Guanacevi'!O30*'DCF Guanacevi'!O32+'DCF Bolanitos'!O30*'DCF Bolanitos'!O32+'DCF Terronera'!J22*'DCF Terronera'!J24)/'Central sheet '!P23,0)</f>
        <v>1.5333632286995516</v>
      </c>
      <c r="Q25" s="43">
        <f>IF('Central sheet '!Q23&gt;0,('DCF Guanacevi'!P30*'DCF Guanacevi'!P32+'DCF Bolanitos'!P30*'DCF Bolanitos'!P32+'DCF Terronera'!K22*'DCF Terronera'!K24)/'Central sheet '!Q23,0)</f>
        <v>2.4248470182695621</v>
      </c>
      <c r="R25" s="43">
        <f>IF('Central sheet '!R23&gt;0,('DCF Guanacevi'!Q30*'DCF Guanacevi'!Q32+'DCF Bolanitos'!Q30*'DCF Bolanitos'!Q32+'DCF Terronera'!L22*'DCF Terronera'!L24)/'Central sheet '!R23,0)</f>
        <v>2.5879061534853083</v>
      </c>
      <c r="S25" s="43">
        <f>IF('Central sheet '!S23&gt;0,('DCF Guanacevi'!R30*'DCF Guanacevi'!R32+'DCF Bolanitos'!R30*'DCF Bolanitos'!R32+'DCF Terronera'!M22*'DCF Terronera'!M24)/'Central sheet '!S23,0)</f>
        <v>1.5135189710085271</v>
      </c>
      <c r="T25" s="43">
        <f>IF('Central sheet '!T23&gt;0,('DCF Guanacevi'!S30*'DCF Guanacevi'!S32+'DCF Bolanitos'!S30*'DCF Bolanitos'!S32+'DCF Terronera'!N22*'DCF Terronera'!N24)/'Central sheet '!T23,0)</f>
        <v>1.85</v>
      </c>
      <c r="U25" s="43">
        <f>IF('Central sheet '!U23&gt;0,('DCF Guanacevi'!T30*'DCF Guanacevi'!T32+'DCF Bolanitos'!T30*'DCF Bolanitos'!T32+'DCF Terronera'!O22*'DCF Terronera'!O24)/'Central sheet '!U23,0)</f>
        <v>2.57</v>
      </c>
      <c r="V25" s="43">
        <f>IF('Central sheet '!V23&gt;0,('DCF Guanacevi'!U30*'DCF Guanacevi'!U32+'DCF Bolanitos'!U30*'DCF Bolanitos'!U32+'DCF Terronera'!P22*'DCF Terronera'!P24)/'Central sheet '!V23,0)</f>
        <v>2.74</v>
      </c>
      <c r="W25" s="43">
        <f>IF('Central sheet '!W23&gt;0,('DCF Guanacevi'!V30*'DCF Guanacevi'!V32+'DCF Bolanitos'!V30*'DCF Bolanitos'!V32+'DCF Terronera'!Q22*'DCF Terronera'!Q24)/'Central sheet '!W23,0)</f>
        <v>2.0299999999999998</v>
      </c>
      <c r="X25" s="43">
        <f>IF('Central sheet '!X23&gt;0,('DCF Guanacevi'!W30*'DCF Guanacevi'!W32+'DCF Bolanitos'!W30*'DCF Bolanitos'!W32+'DCF Terronera'!R22*'DCF Terronera'!R24)/'Central sheet '!X23,0)</f>
        <v>1.68</v>
      </c>
      <c r="Y25" s="43">
        <f>IF('Central sheet '!Y23&gt;0,('DCF Guanacevi'!X30*'DCF Guanacevi'!X32+'DCF Bolanitos'!X30*'DCF Bolanitos'!X32+'DCF Terronera'!S22*'DCF Terronera'!S24)/'Central sheet '!Y23,0)</f>
        <v>1.73</v>
      </c>
      <c r="Z25" s="43">
        <f>IF('Central sheet '!Z23&gt;0,('DCF Guanacevi'!Y30*'DCF Guanacevi'!Y32+'DCF Bolanitos'!Y30*'DCF Bolanitos'!Y32+'DCF Terronera'!T22*'DCF Terronera'!T24)/'Central sheet '!Z23,0)</f>
        <v>1.91</v>
      </c>
      <c r="AA25" s="43">
        <f>IF('Central sheet '!AA23&gt;0,('DCF Guanacevi'!Z30*'DCF Guanacevi'!Z32+'DCF Bolanitos'!Z30*'DCF Bolanitos'!Z32+'DCF Terronera'!U22*'DCF Terronera'!U24)/'Central sheet '!AA23,0)</f>
        <v>1.94</v>
      </c>
      <c r="AB25" s="43">
        <f>IF('Central sheet '!AB23&gt;0,('DCF Guanacevi'!AA30*'DCF Guanacevi'!AA32+'DCF Bolanitos'!AA30*'DCF Bolanitos'!AA32+'DCF Terronera'!V22*'DCF Terronera'!V24)/'Central sheet '!AB23,0)</f>
        <v>1.72</v>
      </c>
      <c r="AC25" s="43">
        <f>IF('Central sheet '!AC23&gt;0,('DCF Guanacevi'!AB30*'DCF Guanacevi'!AB32+'DCF Bolanitos'!AB30*'DCF Bolanitos'!AB32+'DCF Terronera'!W22*'DCF Terronera'!W24)/'Central sheet '!AC23,0)</f>
        <v>1.81</v>
      </c>
      <c r="AD25" s="43">
        <f>IF('Central sheet '!AD23&gt;0,('DCF Guanacevi'!AC30*'DCF Guanacevi'!AC32+'DCF Bolanitos'!AC30*'DCF Bolanitos'!AC32+'DCF Terronera'!X22*'DCF Terronera'!X24)/'Central sheet '!AD23,0)</f>
        <v>0</v>
      </c>
      <c r="AE25" s="43">
        <f>IF('Central sheet '!AE23&gt;0,('DCF Guanacevi'!AD30*'DCF Guanacevi'!AD32+'DCF Bolanitos'!AD30*'DCF Bolanitos'!AD32+'DCF Terronera'!Y22*'DCF Terronera'!Y24)/'Central sheet '!AE23,0)</f>
        <v>0</v>
      </c>
      <c r="AF25" s="43">
        <f>IF('Central sheet '!AF23&gt;0,('DCF Guanacevi'!AE30*'DCF Guanacevi'!AE32+'DCF Bolanitos'!AE30*'DCF Bolanitos'!AE32+'DCF Terronera'!Z22*'DCF Terronera'!Z24)/'Central sheet '!AF23,0)</f>
        <v>0</v>
      </c>
      <c r="AG25" s="43">
        <f>IF('Central sheet '!AG23&gt;0,('DCF Guanacevi'!AF30*'DCF Guanacevi'!AF32+'DCF Bolanitos'!AF30*'DCF Bolanitos'!AF32+'DCF Terronera'!AA22*'DCF Terronera'!AA24)/'Central sheet '!AG23,0)</f>
        <v>0</v>
      </c>
      <c r="AH25" s="43">
        <f>IF('Central sheet '!AH23&gt;0,('DCF Guanacevi'!AG30*'DCF Guanacevi'!AG32+'DCF Bolanitos'!AG30*'DCF Bolanitos'!AG32+'DCF Terronera'!AB22*'DCF Terronera'!AB24)/'Central sheet '!AH23,0)</f>
        <v>0</v>
      </c>
      <c r="AI25" s="43">
        <f>IF('Central sheet '!AI23&gt;0,('DCF Guanacevi'!AH30*'DCF Guanacevi'!AH32+'DCF Bolanitos'!AH30*'DCF Bolanitos'!AH32+'DCF Terronera'!AC22*'DCF Terronera'!AC24)/'Central sheet '!AI23,0)</f>
        <v>0</v>
      </c>
      <c r="AJ25" s="43">
        <f>IF('Central sheet '!AJ23&gt;0,('DCF Guanacevi'!AI30*'DCF Guanacevi'!AI32+'DCF Bolanitos'!AI30*'DCF Bolanitos'!AI32+'DCF Terronera'!AD22*'DCF Terronera'!AD24)/'Central sheet '!AJ23,0)</f>
        <v>0</v>
      </c>
      <c r="AK25" s="43">
        <f>IF('Central sheet '!AK23&gt;0,('DCF Guanacevi'!AJ30*'DCF Guanacevi'!AJ32+'DCF Bolanitos'!AJ30*'DCF Bolanitos'!AJ32+'DCF Terronera'!AE22*'DCF Terronera'!AE24)/'Central sheet '!AK23,0)</f>
        <v>0</v>
      </c>
      <c r="AL25" s="43">
        <f>IF('Central sheet '!AL23&gt;0,('DCF Guanacevi'!AK30*'DCF Guanacevi'!AK32+'DCF Bolanitos'!AK30*'DCF Bolanitos'!AK32+'DCF Terronera'!AF22*'DCF Terronera'!AF24)/'Central sheet '!AL23,0)</f>
        <v>0</v>
      </c>
      <c r="AM25" s="43">
        <f>IF('Central sheet '!AM23&gt;0,('DCF Guanacevi'!AL30*'DCF Guanacevi'!AL32+'DCF Bolanitos'!AL30*'DCF Bolanitos'!AL32+'DCF Terronera'!AG22*'DCF Terronera'!AG24)/'Central sheet '!AM23,0)</f>
        <v>0</v>
      </c>
      <c r="AN25" s="37"/>
    </row>
    <row r="26" spans="2:40" x14ac:dyDescent="0.25">
      <c r="B26" t="s">
        <v>164</v>
      </c>
      <c r="C26" t="s">
        <v>22</v>
      </c>
      <c r="F26" s="16">
        <v>0.85399999999999998</v>
      </c>
      <c r="G26" s="16">
        <v>0.86899999999999999</v>
      </c>
      <c r="H26" s="16">
        <v>0.88</v>
      </c>
      <c r="I26" s="16">
        <f>86.5%</f>
        <v>0.86499999999999999</v>
      </c>
      <c r="J26" s="16">
        <v>0.876</v>
      </c>
      <c r="K26" s="16">
        <f>('DCF Guanacevi'!J30*'DCF Guanacevi'!J39+'DCF Bolanitos'!J30*'DCF Bolanitos'!J39)/'Central sheet '!K23</f>
        <v>0.86821194584447026</v>
      </c>
      <c r="L26" s="54">
        <f>AVERAGE(M26:AM26)</f>
        <v>0.87516974891124666</v>
      </c>
      <c r="M26" s="45">
        <f>IF(M23&gt;0,('DCF Guanacevi'!L30*'DCF Guanacevi'!L39+'DCF Bolanitos'!L30*'DCF Bolanitos'!L39+'DCF Terronera'!G22*'DCF Terronera'!G31)/'Central sheet '!M23,"")</f>
        <v>0.86484304932735434</v>
      </c>
      <c r="N26" s="45">
        <f>IF(N23&gt;0,('DCF Guanacevi'!M30*'DCF Guanacevi'!M39+'DCF Bolanitos'!M30*'DCF Bolanitos'!M39+'DCF Terronera'!H22*'DCF Terronera'!H31)/'Central sheet '!N23,"")</f>
        <v>0.87515695067264576</v>
      </c>
      <c r="O26" s="45">
        <f>IF(O23&gt;0,('DCF Guanacevi'!N30*'DCF Guanacevi'!N39+'DCF Bolanitos'!N30*'DCF Bolanitos'!N39+'DCF Terronera'!I22*'DCF Terronera'!I31)/'Central sheet '!O23,"")</f>
        <v>0.87515695067264576</v>
      </c>
      <c r="P26" s="45">
        <f>IF(P23&gt;0,('DCF Guanacevi'!O30*'DCF Guanacevi'!O39+'DCF Bolanitos'!O30*'DCF Bolanitos'!O39+'DCF Terronera'!J22*'DCF Terronera'!J31)/'Central sheet '!P23,"")</f>
        <v>0.87031390134529152</v>
      </c>
      <c r="Q26" s="45">
        <f>IF(Q23&gt;0,('DCF Guanacevi'!P30*'DCF Guanacevi'!P39+'DCF Bolanitos'!P30*'DCF Bolanitos'!P39+'DCF Terronera'!K22*'DCF Terronera'!K31)/'Central sheet '!Q23,"")</f>
        <v>0.87178599239321286</v>
      </c>
      <c r="R26" s="45">
        <f>IF(R23&gt;0,('DCF Guanacevi'!Q30*'DCF Guanacevi'!Q39+'DCF Bolanitos'!Q30*'DCF Bolanitos'!Q39+'DCF Terronera'!L22*'DCF Terronera'!L31)/'Central sheet '!R23,"")</f>
        <v>0.87311008801929191</v>
      </c>
      <c r="S26" s="45">
        <f>IF(S23&gt;0,('DCF Guanacevi'!R30*'DCF Guanacevi'!R39+'DCF Bolanitos'!R30*'DCF Bolanitos'!R39+'DCF Terronera'!M22*'DCF Terronera'!M31)/'Central sheet '!S23,"")</f>
        <v>0.87926496004951105</v>
      </c>
      <c r="T26" s="45">
        <f>IF(T23&gt;0,('DCF Guanacevi'!S30*'DCF Guanacevi'!S39+'DCF Bolanitos'!S30*'DCF Bolanitos'!S39+'DCF Terronera'!N22*'DCF Terronera'!N31)/'Central sheet '!T23,"")</f>
        <v>0.87857147657091395</v>
      </c>
      <c r="U26" s="45">
        <f>IF(U23&gt;0,('DCF Guanacevi'!T30*'DCF Guanacevi'!T39+'DCF Bolanitos'!T30*'DCF Bolanitos'!T39+'DCF Terronera'!O22*'DCF Terronera'!O31)/'Central sheet '!U23,"")</f>
        <v>0.8777534821693227</v>
      </c>
      <c r="V26" s="45">
        <f>IF(V23&gt;0,('DCF Guanacevi'!U30*'DCF Guanacevi'!U39+'DCF Bolanitos'!U30*'DCF Bolanitos'!U39+'DCF Terronera'!P22*'DCF Terronera'!P31)/'Central sheet '!V23,"")</f>
        <v>0.87593129270920089</v>
      </c>
      <c r="W26" s="45">
        <f>IF(W23&gt;0,('DCF Guanacevi'!V30*'DCF Guanacevi'!V39+'DCF Bolanitos'!V30*'DCF Bolanitos'!V39+'DCF Terronera'!Q22*'DCF Terronera'!Q31)/'Central sheet '!W23,"")</f>
        <v>0.87600107482555023</v>
      </c>
      <c r="X26" s="45">
        <f>IF(X23&gt;0,('DCF Guanacevi'!W30*'DCF Guanacevi'!W39+'DCF Bolanitos'!W30*'DCF Bolanitos'!W39+'DCF Terronera'!R22*'DCF Terronera'!R31)/'Central sheet '!X23,"")</f>
        <v>0.87414444262145652</v>
      </c>
      <c r="Y26" s="45">
        <f>IF(Y23&gt;0,('DCF Guanacevi'!X30*'DCF Guanacevi'!X39+'DCF Bolanitos'!X30*'DCF Bolanitos'!X39+'DCF Terronera'!S22*'DCF Terronera'!S31)/'Central sheet '!Y23,"")</f>
        <v>0.87650699516908204</v>
      </c>
      <c r="Z26" s="45">
        <f>IF(Z23&gt;0,('DCF Guanacevi'!Y30*'DCF Guanacevi'!Y39+'DCF Bolanitos'!Y30*'DCF Bolanitos'!Y39+'DCF Terronera'!T22*'DCF Terronera'!T31)/'Central sheet '!Z23,"")</f>
        <v>0.87650699516908204</v>
      </c>
      <c r="AA26" s="45">
        <f>IF(AA23&gt;0,('DCF Guanacevi'!Z30*'DCF Guanacevi'!Z39+'DCF Bolanitos'!Z30*'DCF Bolanitos'!Z39+'DCF Terronera'!U22*'DCF Terronera'!U31)/'Central sheet '!AA23,"")</f>
        <v>0.87432933803822721</v>
      </c>
      <c r="AB26" s="45">
        <f>IF(AB23&gt;0,('DCF Guanacevi'!AA30*'DCF Guanacevi'!AA39+'DCF Bolanitos'!AA30*'DCF Bolanitos'!AA39+'DCF Terronera'!V22*'DCF Terronera'!V31)/'Central sheet '!AB23,"")</f>
        <v>0.87390511911663216</v>
      </c>
      <c r="AC26" s="45">
        <f>IF(AC23&gt;0,('DCF Guanacevi'!AB30*'DCF Guanacevi'!AB39+'DCF Bolanitos'!AB30*'DCF Bolanitos'!AB39+'DCF Terronera'!W22*'DCF Terronera'!W31)/'Central sheet '!AC23,"")</f>
        <v>0.88460362262177183</v>
      </c>
      <c r="AD26" s="45" t="str">
        <f>IF(AD23&gt;0,('DCF Guanacevi'!AC30*'DCF Guanacevi'!AC39+'DCF Bolanitos'!AC30*'DCF Bolanitos'!AC39+'DCF Terronera'!X22*'DCF Terronera'!X31)/'Central sheet '!AD23,"")</f>
        <v/>
      </c>
      <c r="AE26" s="45" t="str">
        <f>IF(AE23&gt;0,('DCF Guanacevi'!AD30*'DCF Guanacevi'!AD39+'DCF Bolanitos'!AD30*'DCF Bolanitos'!AD39+'DCF Terronera'!Y22*'DCF Terronera'!Y31)/'Central sheet '!AE23,"")</f>
        <v/>
      </c>
      <c r="AF26" s="45" t="str">
        <f>IF(AF23&gt;0,('DCF Guanacevi'!AE30*'DCF Guanacevi'!AE39+'DCF Bolanitos'!AE30*'DCF Bolanitos'!AE39+'DCF Terronera'!Z22*'DCF Terronera'!Z31)/'Central sheet '!AF23,"")</f>
        <v/>
      </c>
      <c r="AG26" s="45" t="str">
        <f>IF(AG23&gt;0,('DCF Guanacevi'!AF30*'DCF Guanacevi'!AF39+'DCF Bolanitos'!AF30*'DCF Bolanitos'!AF39+'DCF Terronera'!AA22*'DCF Terronera'!AA31)/'Central sheet '!AG23,"")</f>
        <v/>
      </c>
      <c r="AH26" s="45" t="str">
        <f>IF(AH23&gt;0,('DCF Guanacevi'!AG30*'DCF Guanacevi'!AG39+'DCF Bolanitos'!AG30*'DCF Bolanitos'!AG39+'DCF Terronera'!AB22*'DCF Terronera'!AB31)/'Central sheet '!AH23,"")</f>
        <v/>
      </c>
      <c r="AI26" s="45" t="str">
        <f>IF(AI23&gt;0,('DCF Guanacevi'!AH30*'DCF Guanacevi'!AH39+'DCF Bolanitos'!AH30*'DCF Bolanitos'!AH39+'DCF Terronera'!AC22*'DCF Terronera'!AC31)/'Central sheet '!AI23,"")</f>
        <v/>
      </c>
      <c r="AJ26" s="45" t="str">
        <f>IF(AJ23&gt;0,('DCF Guanacevi'!AI30*'DCF Guanacevi'!AI39+'DCF Bolanitos'!AI30*'DCF Bolanitos'!AI39+'DCF Terronera'!AD22*'DCF Terronera'!AD31)/'Central sheet '!AJ23,"")</f>
        <v/>
      </c>
      <c r="AK26" s="45" t="str">
        <f>IF(AK23&gt;0,('DCF Guanacevi'!AJ30*'DCF Guanacevi'!AJ39+'DCF Bolanitos'!AJ30*'DCF Bolanitos'!AJ39+'DCF Terronera'!AE22*'DCF Terronera'!AE31)/'Central sheet '!AK23,"")</f>
        <v/>
      </c>
      <c r="AL26" s="45" t="str">
        <f>IF(AL23&gt;0,('DCF Guanacevi'!AK30*'DCF Guanacevi'!AK39+'DCF Bolanitos'!AK30*'DCF Bolanitos'!AK39+'DCF Terronera'!AF22*'DCF Terronera'!AF31)/'Central sheet '!AL23,"")</f>
        <v/>
      </c>
      <c r="AM26" s="45" t="str">
        <f>IF(AM23&gt;0,('DCF Guanacevi'!AL30*'DCF Guanacevi'!AL39+'DCF Bolanitos'!AL30*'DCF Bolanitos'!AL39+'DCF Terronera'!AG22*'DCF Terronera'!AG31)/'Central sheet '!AM23,"")</f>
        <v/>
      </c>
      <c r="AN26" s="37"/>
    </row>
    <row r="27" spans="2:40" x14ac:dyDescent="0.25">
      <c r="B27" t="s">
        <v>165</v>
      </c>
      <c r="C27" t="s">
        <v>22</v>
      </c>
      <c r="F27" s="16">
        <v>0.83899999999999997</v>
      </c>
      <c r="G27" s="16">
        <v>0.84899999999999998</v>
      </c>
      <c r="H27" s="16">
        <v>0.84699999999999998</v>
      </c>
      <c r="I27" s="16">
        <f>85.9%</f>
        <v>0.8590000000000001</v>
      </c>
      <c r="J27" s="16">
        <v>0.89800000000000002</v>
      </c>
      <c r="K27" s="16">
        <f>('DCF Guanacevi'!J30*'DCF Guanacevi'!J40+'DCF Bolanitos'!J30*'DCF Bolanitos'!J40)/'Central sheet '!K23</f>
        <v>0.89596467569258831</v>
      </c>
      <c r="L27" s="54">
        <f t="shared" ref="L27:L29" si="17">AVERAGE(M27:AM27)</f>
        <v>0.80787610534883192</v>
      </c>
      <c r="M27" s="45">
        <f>IF(M23&gt;0,('DCF Guanacevi'!L30*'DCF Guanacevi'!L40+'DCF Bolanitos'!L30*'DCF Bolanitos'!L40+'DCF Terronera'!G22*'DCF Terronera'!G32)/'Central sheet '!M23,"")</f>
        <v>0.89854708520179372</v>
      </c>
      <c r="N27" s="45">
        <f>IF(N23&gt;0,('DCF Guanacevi'!M30*'DCF Guanacevi'!M40+'DCF Bolanitos'!M30*'DCF Bolanitos'!M40+'DCF Terronera'!H22*'DCF Terronera'!H32)/'Central sheet '!N23,"")</f>
        <v>0.90370403587443937</v>
      </c>
      <c r="O27" s="45">
        <f>IF(O23&gt;0,('DCF Guanacevi'!N30*'DCF Guanacevi'!N40+'DCF Bolanitos'!N30*'DCF Bolanitos'!N40+'DCF Terronera'!I22*'DCF Terronera'!I32)/'Central sheet '!O23,"")</f>
        <v>0.90370403587443937</v>
      </c>
      <c r="P27" s="45">
        <f>IF(P23&gt;0,('DCF Guanacevi'!O30*'DCF Guanacevi'!O40+'DCF Bolanitos'!O30*'DCF Bolanitos'!O40+'DCF Terronera'!J22*'DCF Terronera'!J32)/'Central sheet '!P23,"")</f>
        <v>0.89321973094170415</v>
      </c>
      <c r="Q27" s="45">
        <f>IF(Q23&gt;0,('DCF Guanacevi'!P30*'DCF Guanacevi'!P40+'DCF Bolanitos'!P30*'DCF Bolanitos'!P40+'DCF Terronera'!K22*'DCF Terronera'!K32)/'Central sheet '!Q23,"")</f>
        <v>0.87660007518258098</v>
      </c>
      <c r="R27" s="45">
        <f>IF(R23&gt;0,('DCF Guanacevi'!Q30*'DCF Guanacevi'!Q40+'DCF Bolanitos'!Q30*'DCF Bolanitos'!Q40+'DCF Terronera'!L22*'DCF Terronera'!L32)/'Central sheet '!R23,"")</f>
        <v>0.8396246110475637</v>
      </c>
      <c r="S27" s="45">
        <f>IF(S23&gt;0,('DCF Guanacevi'!R30*'DCF Guanacevi'!R40+'DCF Bolanitos'!R30*'DCF Bolanitos'!R40+'DCF Terronera'!M22*'DCF Terronera'!M32)/'Central sheet '!S23,"")</f>
        <v>0.81535500070918632</v>
      </c>
      <c r="T27" s="45">
        <f>IF(T23&gt;0,('DCF Guanacevi'!S30*'DCF Guanacevi'!S40+'DCF Bolanitos'!S30*'DCF Bolanitos'!S40+'DCF Terronera'!N22*'DCF Terronera'!N32)/'Central sheet '!T23,"")</f>
        <v>0.75806010393001699</v>
      </c>
      <c r="U27" s="45">
        <f>IF(U23&gt;0,('DCF Guanacevi'!T30*'DCF Guanacevi'!T40+'DCF Bolanitos'!T30*'DCF Bolanitos'!T40+'DCF Terronera'!O22*'DCF Terronera'!O32)/'Central sheet '!U23,"")</f>
        <v>0.76201052831820137</v>
      </c>
      <c r="V27" s="45">
        <f>IF(V23&gt;0,('DCF Guanacevi'!U30*'DCF Guanacevi'!U40+'DCF Bolanitos'!U30*'DCF Bolanitos'!U40+'DCF Terronera'!P22*'DCF Terronera'!P32)/'Central sheet '!V23,"")</f>
        <v>0.7640874327021403</v>
      </c>
      <c r="W27" s="45">
        <f>IF(W23&gt;0,('DCF Guanacevi'!V30*'DCF Guanacevi'!V40+'DCF Bolanitos'!V30*'DCF Bolanitos'!V40+'DCF Terronera'!Q22*'DCF Terronera'!Q32)/'Central sheet '!W23,"")</f>
        <v>0.76239454329977874</v>
      </c>
      <c r="X27" s="45">
        <f>IF(X23&gt;0,('DCF Guanacevi'!W30*'DCF Guanacevi'!W40+'DCF Bolanitos'!W30*'DCF Bolanitos'!W40+'DCF Terronera'!R22*'DCF Terronera'!R32)/'Central sheet '!X23,"")</f>
        <v>0.75725434276512538</v>
      </c>
      <c r="Y27" s="45">
        <f>IF(Y23&gt;0,('DCF Guanacevi'!X30*'DCF Guanacevi'!X40+'DCF Bolanitos'!X30*'DCF Bolanitos'!X40+'DCF Terronera'!S22*'DCF Terronera'!S32)/'Central sheet '!Y23,"")</f>
        <v>0.75852958789198854</v>
      </c>
      <c r="Z27" s="45">
        <f>IF(Z23&gt;0,('DCF Guanacevi'!Y30*'DCF Guanacevi'!Y40+'DCF Bolanitos'!Y30*'DCF Bolanitos'!Y40+'DCF Terronera'!T22*'DCF Terronera'!T32)/'Central sheet '!Z23,"")</f>
        <v>0.75784748422996173</v>
      </c>
      <c r="AA27" s="45">
        <f>IF(AA23&gt;0,('DCF Guanacevi'!Z30*'DCF Guanacevi'!Z40+'DCF Bolanitos'!Z30*'DCF Bolanitos'!Z40+'DCF Terronera'!U22*'DCF Terronera'!U32)/'Central sheet '!AA23,"")</f>
        <v>0.75903698550724641</v>
      </c>
      <c r="AB27" s="45">
        <f>IF(AB23&gt;0,('DCF Guanacevi'!AA30*'DCF Guanacevi'!AA40+'DCF Bolanitos'!AA30*'DCF Bolanitos'!AA40+'DCF Terronera'!V22*'DCF Terronera'!V32)/'Central sheet '!AB23,"")</f>
        <v>0.75711567689023707</v>
      </c>
      <c r="AC27" s="45">
        <f>IF(AC23&gt;0,('DCF Guanacevi'!AB30*'DCF Guanacevi'!AB40+'DCF Bolanitos'!AB30*'DCF Bolanitos'!AB40+'DCF Terronera'!W22*'DCF Terronera'!W32)/'Central sheet '!AC23,"")</f>
        <v>0.76680253056373826</v>
      </c>
      <c r="AD27" s="45" t="str">
        <f>IF(AD23&gt;0,('DCF Guanacevi'!AC30*'DCF Guanacevi'!AC40+'DCF Bolanitos'!AC30*'DCF Bolanitos'!AC40+'DCF Terronera'!X22*'DCF Terronera'!X32)/'Central sheet '!AD23,"")</f>
        <v/>
      </c>
      <c r="AE27" s="45" t="str">
        <f>IF(AE23&gt;0,('DCF Guanacevi'!AD30*'DCF Guanacevi'!AD40+'DCF Bolanitos'!AD30*'DCF Bolanitos'!AD40+'DCF Terronera'!Y22*'DCF Terronera'!Y32)/'Central sheet '!AE23,"")</f>
        <v/>
      </c>
      <c r="AF27" s="45" t="str">
        <f>IF(AF23&gt;0,('DCF Guanacevi'!AE30*'DCF Guanacevi'!AE40+'DCF Bolanitos'!AE30*'DCF Bolanitos'!AE40+'DCF Terronera'!Z22*'DCF Terronera'!Z32)/'Central sheet '!AF23,"")</f>
        <v/>
      </c>
      <c r="AG27" s="45" t="str">
        <f>IF(AG23&gt;0,('DCF Guanacevi'!AF30*'DCF Guanacevi'!AF40+'DCF Bolanitos'!AF30*'DCF Bolanitos'!AF40+'DCF Terronera'!AA22*'DCF Terronera'!AA32)/'Central sheet '!AG23,"")</f>
        <v/>
      </c>
      <c r="AH27" s="45" t="str">
        <f>IF(AH23&gt;0,('DCF Guanacevi'!AG30*'DCF Guanacevi'!AG40+'DCF Bolanitos'!AG30*'DCF Bolanitos'!AG40+'DCF Terronera'!AB22*'DCF Terronera'!AB32)/'Central sheet '!AH23,"")</f>
        <v/>
      </c>
      <c r="AI27" s="45" t="str">
        <f>IF(AI23&gt;0,('DCF Guanacevi'!AH30*'DCF Guanacevi'!AH40+'DCF Bolanitos'!AH30*'DCF Bolanitos'!AH40+'DCF Terronera'!AC22*'DCF Terronera'!AC32)/'Central sheet '!AI23,"")</f>
        <v/>
      </c>
      <c r="AJ27" s="45" t="str">
        <f>IF(AJ23&gt;0,('DCF Guanacevi'!AI30*'DCF Guanacevi'!AI40+'DCF Bolanitos'!AI30*'DCF Bolanitos'!AI40+'DCF Terronera'!AD22*'DCF Terronera'!AD32)/'Central sheet '!AJ23,"")</f>
        <v/>
      </c>
      <c r="AK27" s="45" t="str">
        <f>IF(AK23&gt;0,('DCF Guanacevi'!AJ30*'DCF Guanacevi'!AJ40+'DCF Bolanitos'!AJ30*'DCF Bolanitos'!AJ40+'DCF Terronera'!AE22*'DCF Terronera'!AE32)/'Central sheet '!AK23,"")</f>
        <v/>
      </c>
      <c r="AL27" s="45" t="str">
        <f>IF(AL23&gt;0,('DCF Guanacevi'!AK30*'DCF Guanacevi'!AK40+'DCF Bolanitos'!AK30*'DCF Bolanitos'!AK40+'DCF Terronera'!AF22*'DCF Terronera'!AF32)/'Central sheet '!AL23,"")</f>
        <v/>
      </c>
      <c r="AM27" s="45" t="str">
        <f>IF(AM23&gt;0,('DCF Guanacevi'!AL30*'DCF Guanacevi'!AL40+'DCF Bolanitos'!AL30*'DCF Bolanitos'!AL40+'DCF Terronera'!AG22*'DCF Terronera'!AG32)/'Central sheet '!AM23,"")</f>
        <v/>
      </c>
      <c r="AN27" s="37"/>
    </row>
    <row r="28" spans="2:40" x14ac:dyDescent="0.25">
      <c r="B28" t="s">
        <v>168</v>
      </c>
      <c r="C28" t="s">
        <v>22</v>
      </c>
      <c r="F28" s="16">
        <f>4803589/4919788</f>
        <v>0.97638129935680151</v>
      </c>
      <c r="G28" s="16">
        <f>5417633/5522068</f>
        <v>0.98108770120179611</v>
      </c>
      <c r="H28" s="16">
        <f>3951923/4018735</f>
        <v>0.9833748679621821</v>
      </c>
      <c r="I28" s="16">
        <f>3482094/3513767</f>
        <v>0.99098602724654195</v>
      </c>
      <c r="J28" s="16">
        <f>4826681/4870787</f>
        <v>0.99094478982554568</v>
      </c>
      <c r="K28" s="16">
        <f>('DCF Guanacevi'!J43*'DCF Guanacevi'!J47+'DCF Bolanitos'!J43*'DCF Bolanitos'!J47)/('DCF Guanacevi'!J43+'DCF Bolanitos'!J43)</f>
        <v>0.99131909456977618</v>
      </c>
      <c r="L28" s="54">
        <f t="shared" si="17"/>
        <v>0.97150366037756897</v>
      </c>
      <c r="M28" s="45">
        <f>IF('DCF Guanacevi'!L43+'DCF Bolanitos'!L43+'DCF Terronera'!G35&gt;0,('DCF Guanacevi'!L43*'DCF Guanacevi'!L47+'DCF Bolanitos'!L43*'DCF Bolanitos'!L48+'DCF Terronera'!G35*'DCF Terronera'!G39)/('DCF Guanacevi'!L43+'DCF Bolanitos'!L43+'DCF Terronera'!G35),"")</f>
        <v>0.99444395735293145</v>
      </c>
      <c r="N28" s="45">
        <f>IF('DCF Guanacevi'!M43+'DCF Bolanitos'!M43+'DCF Terronera'!H35&gt;0,('DCF Guanacevi'!M43*'DCF Guanacevi'!M47+'DCF Bolanitos'!M43*'DCF Bolanitos'!M48+'DCF Terronera'!H35*'DCF Terronera'!H39)/('DCF Guanacevi'!M43+'DCF Bolanitos'!M43+'DCF Terronera'!H35),"")</f>
        <v>0.99443390601049431</v>
      </c>
      <c r="O28" s="45">
        <f>IF('DCF Guanacevi'!N43+'DCF Bolanitos'!N43+'DCF Terronera'!I35&gt;0,('DCF Guanacevi'!N43*'DCF Guanacevi'!N47+'DCF Bolanitos'!N43*'DCF Bolanitos'!N48+'DCF Terronera'!I35*'DCF Terronera'!I39)/('DCF Guanacevi'!N43+'DCF Bolanitos'!N43+'DCF Terronera'!I35),"")</f>
        <v>0.99443390601049431</v>
      </c>
      <c r="P28" s="45">
        <f>IF('DCF Guanacevi'!O43+'DCF Bolanitos'!O43+'DCF Terronera'!J35&gt;0,('DCF Guanacevi'!O43*'DCF Guanacevi'!O47+'DCF Bolanitos'!O43*'DCF Bolanitos'!O48+'DCF Terronera'!J35*'DCF Terronera'!J39)/('DCF Guanacevi'!O43+'DCF Bolanitos'!O43+'DCF Terronera'!J35),"")</f>
        <v>0.99397670716763564</v>
      </c>
      <c r="Q28" s="45">
        <f>IF('DCF Guanacevi'!P43+'DCF Bolanitos'!P43+'DCF Terronera'!K35&gt;0,('DCF Guanacevi'!P43*'DCF Guanacevi'!P47+'DCF Bolanitos'!P43*'DCF Bolanitos'!P48+'DCF Terronera'!K35*'DCF Terronera'!K39)/('DCF Guanacevi'!P43+'DCF Bolanitos'!P43+'DCF Terronera'!K35),"")</f>
        <v>0.9879450583810272</v>
      </c>
      <c r="R28" s="45">
        <f>IF('DCF Guanacevi'!Q43+'DCF Bolanitos'!Q43+'DCF Terronera'!L35&gt;0,('DCF Guanacevi'!Q43*'DCF Guanacevi'!Q47+'DCF Bolanitos'!Q43*'DCF Bolanitos'!Q48+'DCF Terronera'!L35*'DCF Terronera'!L39)/('DCF Guanacevi'!Q43+'DCF Bolanitos'!Q43+'DCF Terronera'!L35),"")</f>
        <v>0.98034229077921453</v>
      </c>
      <c r="S28" s="45">
        <f>IF('DCF Guanacevi'!R43+'DCF Bolanitos'!R43+'DCF Terronera'!M35&gt;0,('DCF Guanacevi'!R43*'DCF Guanacevi'!R47+'DCF Bolanitos'!R43*'DCF Bolanitos'!R48+'DCF Terronera'!M35*'DCF Terronera'!M39)/('DCF Guanacevi'!R43+'DCF Bolanitos'!R43+'DCF Terronera'!M35),"")</f>
        <v>0.97799605189020533</v>
      </c>
      <c r="T28" s="45">
        <f>IF('DCF Guanacevi'!S43+'DCF Bolanitos'!S43+'DCF Terronera'!N35&gt;0,('DCF Guanacevi'!S43*'DCF Guanacevi'!S47+'DCF Bolanitos'!S43*'DCF Bolanitos'!S48+'DCF Terronera'!N35*'DCF Terronera'!N39)/('DCF Guanacevi'!S43+'DCF Bolanitos'!S43+'DCF Terronera'!N35),"")</f>
        <v>0.96219861054352263</v>
      </c>
      <c r="U28" s="45">
        <f>IF('DCF Guanacevi'!T43+'DCF Bolanitos'!T43+'DCF Terronera'!O35&gt;0,('DCF Guanacevi'!T43*'DCF Guanacevi'!T47+'DCF Bolanitos'!T43*'DCF Bolanitos'!T48+'DCF Terronera'!O35*'DCF Terronera'!O39)/('DCF Guanacevi'!T43+'DCF Bolanitos'!T43+'DCF Terronera'!O35),"")</f>
        <v>0.96204492641363282</v>
      </c>
      <c r="V28" s="45">
        <f>IF('DCF Guanacevi'!U43+'DCF Bolanitos'!U43+'DCF Terronera'!P35&gt;0,('DCF Guanacevi'!U43*'DCF Guanacevi'!U47+'DCF Bolanitos'!U43*'DCF Bolanitos'!U48+'DCF Terronera'!P35*'DCF Terronera'!P39)/('DCF Guanacevi'!U43+'DCF Bolanitos'!U43+'DCF Terronera'!P35),"")</f>
        <v>0.96220834702596125</v>
      </c>
      <c r="W28" s="45">
        <f>IF('DCF Guanacevi'!V43+'DCF Bolanitos'!V43+'DCF Terronera'!Q35&gt;0,('DCF Guanacevi'!V43*'DCF Guanacevi'!V47+'DCF Bolanitos'!V43*'DCF Bolanitos'!V48+'DCF Terronera'!Q35*'DCF Terronera'!Q39)/('DCF Guanacevi'!V43+'DCF Bolanitos'!V43+'DCF Terronera'!Q35),"")</f>
        <v>0.96217152757724511</v>
      </c>
      <c r="X28" s="45">
        <f>IF('DCF Guanacevi'!W43+'DCF Bolanitos'!W43+'DCF Terronera'!R35&gt;0,('DCF Guanacevi'!W43*'DCF Guanacevi'!W47+'DCF Bolanitos'!W43*'DCF Bolanitos'!W48+'DCF Terronera'!R35*'DCF Terronera'!R39)/('DCF Guanacevi'!W43+'DCF Bolanitos'!W43+'DCF Terronera'!R35),"")</f>
        <v>0.96216216216216222</v>
      </c>
      <c r="Y28" s="45">
        <f>IF('DCF Guanacevi'!X43+'DCF Bolanitos'!X43+'DCF Terronera'!S35&gt;0,('DCF Guanacevi'!X43*'DCF Guanacevi'!X47+'DCF Bolanitos'!X43*'DCF Bolanitos'!X48+'DCF Terronera'!S35*'DCF Terronera'!S39)/('DCF Guanacevi'!X43+'DCF Bolanitos'!X43+'DCF Terronera'!S35),"")</f>
        <v>0.96211878009630813</v>
      </c>
      <c r="Z28" s="45">
        <f>IF('DCF Guanacevi'!Y43+'DCF Bolanitos'!Y43+'DCF Terronera'!T35&gt;0,('DCF Guanacevi'!Y43*'DCF Guanacevi'!Y47+'DCF Bolanitos'!Y43*'DCF Bolanitos'!Y48+'DCF Terronera'!T35*'DCF Terronera'!T39)/('DCF Guanacevi'!Y43+'DCF Bolanitos'!Y43+'DCF Terronera'!T35),"")</f>
        <v>0.95623869801084993</v>
      </c>
      <c r="AA28" s="45">
        <f>IF('DCF Guanacevi'!Z43+'DCF Bolanitos'!Z43+'DCF Terronera'!U35&gt;0,('DCF Guanacevi'!Z43*'DCF Guanacevi'!Z47+'DCF Bolanitos'!Z43*'DCF Bolanitos'!Z48+'DCF Terronera'!U35*'DCF Terronera'!U39)/('DCF Guanacevi'!Z43+'DCF Bolanitos'!Z43+'DCF Terronera'!U35),"")</f>
        <v>0.954337899543379</v>
      </c>
      <c r="AB28" s="45">
        <f>IF('DCF Guanacevi'!AA43+'DCF Bolanitos'!AA43+'DCF Terronera'!V35&gt;0,('DCF Guanacevi'!AA43*'DCF Guanacevi'!AA47+'DCF Bolanitos'!AA43*'DCF Bolanitos'!AA48+'DCF Terronera'!V35*'DCF Terronera'!V39)/('DCF Guanacevi'!AA43+'DCF Bolanitos'!AA43+'DCF Terronera'!V35),"")</f>
        <v>0.95831782657238551</v>
      </c>
      <c r="AC28" s="45">
        <f>IF('DCF Guanacevi'!AB43+'DCF Bolanitos'!AB43+'DCF Terronera'!W35&gt;0,('DCF Guanacevi'!AB43*'DCF Guanacevi'!AB47+'DCF Bolanitos'!AB43*'DCF Bolanitos'!AB48+'DCF Terronera'!W35*'DCF Terronera'!W39)/('DCF Guanacevi'!AB43+'DCF Bolanitos'!AB43+'DCF Terronera'!W35),"")</f>
        <v>0.95019157088122608</v>
      </c>
      <c r="AD28" s="45" t="str">
        <f>IF('DCF Guanacevi'!AC43+'DCF Bolanitos'!AC43+'DCF Terronera'!X35&gt;0,('DCF Guanacevi'!AC43*'DCF Guanacevi'!AC47+'DCF Bolanitos'!AC43*'DCF Bolanitos'!AC48+'DCF Terronera'!X35*'DCF Terronera'!X39)/('DCF Guanacevi'!AC43+'DCF Bolanitos'!AC43+'DCF Terronera'!X35),"")</f>
        <v/>
      </c>
      <c r="AE28" s="45" t="str">
        <f>IF('DCF Guanacevi'!AD43+'DCF Bolanitos'!AD43+'DCF Terronera'!Y35&gt;0,('DCF Guanacevi'!AD43*'DCF Guanacevi'!AD47+'DCF Bolanitos'!AD43*'DCF Bolanitos'!AD48+'DCF Terronera'!Y35*'DCF Terronera'!Y39)/('DCF Guanacevi'!AD43+'DCF Bolanitos'!AD43+'DCF Terronera'!Y35),"")</f>
        <v/>
      </c>
      <c r="AF28" s="45" t="str">
        <f>IF('DCF Guanacevi'!AE43+'DCF Bolanitos'!AE43+'DCF Terronera'!Z35&gt;0,('DCF Guanacevi'!AE43*'DCF Guanacevi'!AE47+'DCF Bolanitos'!AE43*'DCF Bolanitos'!AE48+'DCF Terronera'!Z35*'DCF Terronera'!Z39)/('DCF Guanacevi'!AE43+'DCF Bolanitos'!AE43+'DCF Terronera'!Z35),"")</f>
        <v/>
      </c>
      <c r="AG28" s="45" t="str">
        <f>IF('DCF Guanacevi'!AF43+'DCF Bolanitos'!AF43+'DCF Terronera'!AA35&gt;0,('DCF Guanacevi'!AF43*'DCF Guanacevi'!AF47+'DCF Bolanitos'!AF43*'DCF Bolanitos'!AF48+'DCF Terronera'!AA35*'DCF Terronera'!AA39)/('DCF Guanacevi'!AF43+'DCF Bolanitos'!AF43+'DCF Terronera'!AA35),"")</f>
        <v/>
      </c>
      <c r="AH28" s="45" t="str">
        <f>IF('DCF Guanacevi'!AG43+'DCF Bolanitos'!AG43+'DCF Terronera'!AB35&gt;0,('DCF Guanacevi'!AG43*'DCF Guanacevi'!AG47+'DCF Bolanitos'!AG43*'DCF Bolanitos'!AG48+'DCF Terronera'!AB35*'DCF Terronera'!AB39)/('DCF Guanacevi'!AG43+'DCF Bolanitos'!AG43+'DCF Terronera'!AB35),"")</f>
        <v/>
      </c>
      <c r="AI28" s="45" t="str">
        <f>IF('DCF Guanacevi'!AH43+'DCF Bolanitos'!AH43+'DCF Terronera'!AC35&gt;0,('DCF Guanacevi'!AH43*'DCF Guanacevi'!AH47+'DCF Bolanitos'!AH43*'DCF Bolanitos'!AH48+'DCF Terronera'!AC35*'DCF Terronera'!AC39)/('DCF Guanacevi'!AH43+'DCF Bolanitos'!AH43+'DCF Terronera'!AC35),"")</f>
        <v/>
      </c>
      <c r="AJ28" s="45" t="str">
        <f>IF('DCF Guanacevi'!AI43+'DCF Bolanitos'!AI43+'DCF Terronera'!AD35&gt;0,('DCF Guanacevi'!AI43*'DCF Guanacevi'!AI47+'DCF Bolanitos'!AI43*'DCF Bolanitos'!AI48+'DCF Terronera'!AD35*'DCF Terronera'!AD39)/('DCF Guanacevi'!AI43+'DCF Bolanitos'!AI43+'DCF Terronera'!AD35),"")</f>
        <v/>
      </c>
      <c r="AK28" s="45" t="str">
        <f>IF('DCF Guanacevi'!AJ43+'DCF Bolanitos'!AJ43+'DCF Terronera'!AE35&gt;0,('DCF Guanacevi'!AJ43*'DCF Guanacevi'!AJ47+'DCF Bolanitos'!AJ43*'DCF Bolanitos'!AJ48+'DCF Terronera'!AE35*'DCF Terronera'!AE39)/('DCF Guanacevi'!AJ43+'DCF Bolanitos'!AJ43+'DCF Terronera'!AE35),"")</f>
        <v/>
      </c>
      <c r="AL28" s="45" t="str">
        <f>IF('DCF Guanacevi'!AK43+'DCF Bolanitos'!AK43+'DCF Terronera'!AF35&gt;0,('DCF Guanacevi'!AK43*'DCF Guanacevi'!AK47+'DCF Bolanitos'!AK43*'DCF Bolanitos'!AK48+'DCF Terronera'!AF35*'DCF Terronera'!AF39)/('DCF Guanacevi'!AK43+'DCF Bolanitos'!AK43+'DCF Terronera'!AF35),"")</f>
        <v/>
      </c>
      <c r="AM28" s="45" t="str">
        <f>IF('DCF Guanacevi'!AL43+'DCF Bolanitos'!AL43+'DCF Terronera'!AG35&gt;0,('DCF Guanacevi'!AL43*'DCF Guanacevi'!AL47+'DCF Bolanitos'!AL43*'DCF Bolanitos'!AL48+'DCF Terronera'!AG35*'DCF Terronera'!AG39)/('DCF Guanacevi'!AL43+'DCF Bolanitos'!AL43+'DCF Terronera'!AG35),"")</f>
        <v/>
      </c>
      <c r="AN28" s="37"/>
    </row>
    <row r="29" spans="2:40" x14ac:dyDescent="0.25">
      <c r="B29" t="s">
        <v>167</v>
      </c>
      <c r="C29" t="s">
        <v>22</v>
      </c>
      <c r="F29" s="16">
        <f>51797/53007</f>
        <v>0.97717282623049784</v>
      </c>
      <c r="G29" s="16">
        <f>51826/52967</f>
        <v>0.97845828534748047</v>
      </c>
      <c r="H29" s="16">
        <f>38003/38907</f>
        <v>0.97676510653609894</v>
      </c>
      <c r="I29" s="16">
        <f>36392/37139</f>
        <v>0.97988637281563851</v>
      </c>
      <c r="J29" s="16">
        <f>41438/42262</f>
        <v>0.98050257914911743</v>
      </c>
      <c r="K29" s="16">
        <f>('DCF Guanacevi'!J44*'DCF Guanacevi'!J48+'DCF Bolanitos'!J44*'DCF Bolanitos'!J48)/('DCF Guanacevi'!J44+'DCF Bolanitos'!J44)</f>
        <v>0.9832087406555492</v>
      </c>
      <c r="L29" s="54">
        <f t="shared" si="17"/>
        <v>0.96823347223805267</v>
      </c>
      <c r="M29" s="45">
        <f>IF('DCF Guanacevi'!L44+'DCF Bolanitos'!L44+'DCF Terronera'!G36&gt;0,('DCF Guanacevi'!L44*'DCF Guanacevi'!L48+'DCF Bolanitos'!L44*'DCF Bolanitos'!L48+'DCF Terronera'!G36*'DCF Terronera'!G40)/('DCF Guanacevi'!L44+'DCF Bolanitos'!L44+'DCF Terronera'!G36),"")</f>
        <v>0.98161954663600426</v>
      </c>
      <c r="N29" s="45">
        <f>IF('DCF Guanacevi'!M44+'DCF Bolanitos'!M44+'DCF Terronera'!H36&gt;0,('DCF Guanacevi'!M44*'DCF Guanacevi'!M48+'DCF Bolanitos'!M44*'DCF Bolanitos'!M48+'DCF Terronera'!H36*'DCF Terronera'!H40)/('DCF Guanacevi'!M44+'DCF Bolanitos'!M44+'DCF Terronera'!H36),"")</f>
        <v>0.98161017559595198</v>
      </c>
      <c r="O29" s="45">
        <f>IF('DCF Guanacevi'!N44+'DCF Bolanitos'!N44+'DCF Terronera'!I36&gt;0,('DCF Guanacevi'!N44*'DCF Guanacevi'!N48+'DCF Bolanitos'!N44*'DCF Bolanitos'!N48+'DCF Terronera'!I36*'DCF Terronera'!I40)/('DCF Guanacevi'!N44+'DCF Bolanitos'!N44+'DCF Terronera'!I36),"")</f>
        <v>0.98177204458514811</v>
      </c>
      <c r="P29" s="45">
        <f>IF('DCF Guanacevi'!O44+'DCF Bolanitos'!O44+'DCF Terronera'!J36&gt;0,('DCF Guanacevi'!O44*'DCF Guanacevi'!O48+'DCF Bolanitos'!O44*'DCF Bolanitos'!O48+'DCF Terronera'!J36*'DCF Terronera'!J40)/('DCF Guanacevi'!O44+'DCF Bolanitos'!O44+'DCF Terronera'!J36),"")</f>
        <v>0.98177884364905288</v>
      </c>
      <c r="Q29" s="45">
        <f>IF('DCF Guanacevi'!P44+'DCF Bolanitos'!P44+'DCF Terronera'!K36&gt;0,('DCF Guanacevi'!P44*'DCF Guanacevi'!P48+'DCF Bolanitos'!P44*'DCF Bolanitos'!P48+'DCF Terronera'!K36*'DCF Terronera'!K40)/('DCF Guanacevi'!P44+'DCF Bolanitos'!P44+'DCF Terronera'!K36),"")</f>
        <v>0.97880809069550001</v>
      </c>
      <c r="R29" s="45">
        <f>IF('DCF Guanacevi'!Q44+'DCF Bolanitos'!Q44+'DCF Terronera'!L36&gt;0,('DCF Guanacevi'!Q44*'DCF Guanacevi'!Q48+'DCF Bolanitos'!Q44*'DCF Bolanitos'!Q48+'DCF Terronera'!L36*'DCF Terronera'!L40)/('DCF Guanacevi'!Q44+'DCF Bolanitos'!Q44+'DCF Terronera'!L36),"")</f>
        <v>0.97896151144421173</v>
      </c>
      <c r="S29" s="45">
        <f>IF('DCF Guanacevi'!R44+'DCF Bolanitos'!R44+'DCF Terronera'!M36&gt;0,('DCF Guanacevi'!R44*'DCF Guanacevi'!R48+'DCF Bolanitos'!R44*'DCF Bolanitos'!R48+'DCF Terronera'!M36*'DCF Terronera'!M40)/('DCF Guanacevi'!R44+'DCF Bolanitos'!R44+'DCF Terronera'!M36),"")</f>
        <v>0.96883707696271337</v>
      </c>
      <c r="T29" s="45">
        <f>IF('DCF Guanacevi'!S44+'DCF Bolanitos'!S44+'DCF Terronera'!N36&gt;0,('DCF Guanacevi'!S44*'DCF Guanacevi'!S48+'DCF Bolanitos'!S44*'DCF Bolanitos'!S48+'DCF Terronera'!N36*'DCF Terronera'!N40)/('DCF Guanacevi'!S44+'DCF Bolanitos'!S44+'DCF Terronera'!N36),"")</f>
        <v>0.96071428571428574</v>
      </c>
      <c r="U29" s="45">
        <f>IF('DCF Guanacevi'!T44+'DCF Bolanitos'!T44+'DCF Terronera'!O36&gt;0,('DCF Guanacevi'!T44*'DCF Guanacevi'!T48+'DCF Bolanitos'!T44*'DCF Bolanitos'!T48+'DCF Terronera'!O36*'DCF Terronera'!O40)/('DCF Guanacevi'!T44+'DCF Bolanitos'!T44+'DCF Terronera'!O36),"")</f>
        <v>0.97186700767263423</v>
      </c>
      <c r="V29" s="45">
        <f>IF('DCF Guanacevi'!U44+'DCF Bolanitos'!U44+'DCF Terronera'!P36&gt;0,('DCF Guanacevi'!U44*'DCF Guanacevi'!U48+'DCF Bolanitos'!U44*'DCF Bolanitos'!U48+'DCF Terronera'!P36*'DCF Terronera'!P40)/('DCF Guanacevi'!U44+'DCF Bolanitos'!U44+'DCF Terronera'!P36),"")</f>
        <v>0.9569377990430622</v>
      </c>
      <c r="W29" s="45">
        <f>IF('DCF Guanacevi'!V44+'DCF Bolanitos'!V44+'DCF Terronera'!Q36&gt;0,('DCF Guanacevi'!V44*'DCF Guanacevi'!V48+'DCF Bolanitos'!V44*'DCF Bolanitos'!V48+'DCF Terronera'!Q36*'DCF Terronera'!Q40)/('DCF Guanacevi'!V44+'DCF Bolanitos'!V44+'DCF Terronera'!Q36),"")</f>
        <v>0.96116504854368934</v>
      </c>
      <c r="X29" s="45">
        <f>IF('DCF Guanacevi'!W44+'DCF Bolanitos'!W44+'DCF Terronera'!R36&gt;0,('DCF Guanacevi'!W44*'DCF Guanacevi'!W48+'DCF Bolanitos'!W44*'DCF Bolanitos'!W48+'DCF Terronera'!R36*'DCF Terronera'!R40)/('DCF Guanacevi'!W44+'DCF Bolanitos'!W44+'DCF Terronera'!R36),"")</f>
        <v>0.95669291338582674</v>
      </c>
      <c r="Y29" s="45">
        <f>IF('DCF Guanacevi'!X44+'DCF Bolanitos'!X44+'DCF Terronera'!S36&gt;0,('DCF Guanacevi'!X44*'DCF Guanacevi'!X48+'DCF Bolanitos'!X44*'DCF Bolanitos'!X48+'DCF Terronera'!S36*'DCF Terronera'!S40)/('DCF Guanacevi'!X44+'DCF Bolanitos'!X44+'DCF Terronera'!S36),"")</f>
        <v>0.9580152671755725</v>
      </c>
      <c r="Z29" s="45">
        <f>IF('DCF Guanacevi'!Y44+'DCF Bolanitos'!Y44+'DCF Terronera'!T36&gt;0,('DCF Guanacevi'!Y44*'DCF Guanacevi'!Y48+'DCF Bolanitos'!Y44*'DCF Bolanitos'!Y48+'DCF Terronera'!T36*'DCF Terronera'!T40)/('DCF Guanacevi'!Y44+'DCF Bolanitos'!Y44+'DCF Terronera'!T36),"")</f>
        <v>0.96193771626297575</v>
      </c>
      <c r="AA29" s="45">
        <f>IF('DCF Guanacevi'!Z44+'DCF Bolanitos'!Z44+'DCF Terronera'!U36&gt;0,('DCF Guanacevi'!Z44*'DCF Guanacevi'!Z48+'DCF Bolanitos'!Z44*'DCF Bolanitos'!Z48+'DCF Terronera'!U36*'DCF Terronera'!U40)/('DCF Guanacevi'!Z44+'DCF Bolanitos'!Z44+'DCF Terronera'!U36),"")</f>
        <v>0.9625850340136054</v>
      </c>
      <c r="AB29" s="45">
        <f>IF('DCF Guanacevi'!AA44+'DCF Bolanitos'!AA44+'DCF Terronera'!V36&gt;0,('DCF Guanacevi'!AA44*'DCF Guanacevi'!AA48+'DCF Bolanitos'!AA44*'DCF Bolanitos'!AA48+'DCF Terronera'!V36*'DCF Terronera'!V40)/('DCF Guanacevi'!AA44+'DCF Bolanitos'!AA44+'DCF Terronera'!V36),"")</f>
        <v>0.95769230769230773</v>
      </c>
      <c r="AC29" s="45">
        <f>IF('DCF Guanacevi'!AB44+'DCF Bolanitos'!AB44+'DCF Terronera'!W36&gt;0,('DCF Guanacevi'!AB44*'DCF Guanacevi'!AB48+'DCF Bolanitos'!AB44*'DCF Bolanitos'!AB48+'DCF Terronera'!W36*'DCF Terronera'!W40)/('DCF Guanacevi'!AB44+'DCF Bolanitos'!AB44+'DCF Terronera'!W36),"")</f>
        <v>0.95897435897435901</v>
      </c>
      <c r="AD29" s="45" t="str">
        <f>IF('DCF Guanacevi'!AC44+'DCF Bolanitos'!AC44+'DCF Terronera'!X36&gt;0,('DCF Guanacevi'!AC44*'DCF Guanacevi'!AC48+'DCF Bolanitos'!AC44*'DCF Bolanitos'!AC48+'DCF Terronera'!X36*'DCF Terronera'!X40)/('DCF Guanacevi'!AC44+'DCF Bolanitos'!AC44+'DCF Terronera'!X36),"")</f>
        <v/>
      </c>
      <c r="AE29" s="45" t="str">
        <f>IF('DCF Guanacevi'!AD44+'DCF Bolanitos'!AD44+'DCF Terronera'!Y36&gt;0,('DCF Guanacevi'!AD44*'DCF Guanacevi'!AD48+'DCF Bolanitos'!AD44*'DCF Bolanitos'!AD48+'DCF Terronera'!Y36*'DCF Terronera'!Y40)/('DCF Guanacevi'!AD44+'DCF Bolanitos'!AD44+'DCF Terronera'!Y36),"")</f>
        <v/>
      </c>
      <c r="AF29" s="45" t="str">
        <f>IF('DCF Guanacevi'!AE44+'DCF Bolanitos'!AE44+'DCF Terronera'!Z36&gt;0,('DCF Guanacevi'!AE44*'DCF Guanacevi'!AE48+'DCF Bolanitos'!AE44*'DCF Bolanitos'!AE48+'DCF Terronera'!Z36*'DCF Terronera'!Z40)/('DCF Guanacevi'!AE44+'DCF Bolanitos'!AE44+'DCF Terronera'!Z36),"")</f>
        <v/>
      </c>
      <c r="AG29" s="45" t="str">
        <f>IF('DCF Guanacevi'!AF44+'DCF Bolanitos'!AF44+'DCF Terronera'!AA36&gt;0,('DCF Guanacevi'!AF44*'DCF Guanacevi'!AF48+'DCF Bolanitos'!AF44*'DCF Bolanitos'!AF48+'DCF Terronera'!AA36*'DCF Terronera'!AA40)/('DCF Guanacevi'!AF44+'DCF Bolanitos'!AF44+'DCF Terronera'!AA36),"")</f>
        <v/>
      </c>
      <c r="AH29" s="45" t="str">
        <f>IF('DCF Guanacevi'!AG44+'DCF Bolanitos'!AG44+'DCF Terronera'!AB36&gt;0,('DCF Guanacevi'!AG44*'DCF Guanacevi'!AG48+'DCF Bolanitos'!AG44*'DCF Bolanitos'!AG48+'DCF Terronera'!AB36*'DCF Terronera'!AB40)/('DCF Guanacevi'!AG44+'DCF Bolanitos'!AG44+'DCF Terronera'!AB36),"")</f>
        <v/>
      </c>
      <c r="AI29" s="45" t="str">
        <f>IF('DCF Guanacevi'!AH44+'DCF Bolanitos'!AH44+'DCF Terronera'!AC36&gt;0,('DCF Guanacevi'!AH44*'DCF Guanacevi'!AH48+'DCF Bolanitos'!AH44*'DCF Bolanitos'!AH48+'DCF Terronera'!AC36*'DCF Terronera'!AC40)/('DCF Guanacevi'!AH44+'DCF Bolanitos'!AH44+'DCF Terronera'!AC36),"")</f>
        <v/>
      </c>
      <c r="AJ29" s="45" t="str">
        <f>IF('DCF Guanacevi'!AI44+'DCF Bolanitos'!AI44+'DCF Terronera'!AD36&gt;0,('DCF Guanacevi'!AI44*'DCF Guanacevi'!AI48+'DCF Bolanitos'!AI44*'DCF Bolanitos'!AI48+'DCF Terronera'!AD36*'DCF Terronera'!AD40)/('DCF Guanacevi'!AI44+'DCF Bolanitos'!AI44+'DCF Terronera'!AD36),"")</f>
        <v/>
      </c>
      <c r="AK29" s="45" t="str">
        <f>IF('DCF Guanacevi'!AJ44+'DCF Bolanitos'!AJ44+'DCF Terronera'!AE36&gt;0,('DCF Guanacevi'!AJ44*'DCF Guanacevi'!AJ48+'DCF Bolanitos'!AJ44*'DCF Bolanitos'!AJ48+'DCF Terronera'!AE36*'DCF Terronera'!AE40)/('DCF Guanacevi'!AJ44+'DCF Bolanitos'!AJ44+'DCF Terronera'!AE36),"")</f>
        <v/>
      </c>
      <c r="AL29" s="45" t="str">
        <f>IF('DCF Guanacevi'!AK44+'DCF Bolanitos'!AK44+'DCF Terronera'!AF36&gt;0,('DCF Guanacevi'!AK44*'DCF Guanacevi'!AK48+'DCF Bolanitos'!AK44*'DCF Bolanitos'!AK48+'DCF Terronera'!AF36*'DCF Terronera'!AF40)/('DCF Guanacevi'!AK44+'DCF Bolanitos'!AK44+'DCF Terronera'!AF36),"")</f>
        <v/>
      </c>
      <c r="AM29" s="45" t="str">
        <f>IF('DCF Guanacevi'!AL44+'DCF Bolanitos'!AL44+'DCF Terronera'!AG36&gt;0,('DCF Guanacevi'!AL44*'DCF Guanacevi'!AL48+'DCF Bolanitos'!AL44*'DCF Bolanitos'!AL48+'DCF Terronera'!AG36*'DCF Terronera'!AG40)/('DCF Guanacevi'!AL44+'DCF Bolanitos'!AL44+'DCF Terronera'!AG36),"")</f>
        <v/>
      </c>
      <c r="AN29" s="37"/>
    </row>
    <row r="30" spans="2:40" x14ac:dyDescent="0.25">
      <c r="B30" t="s">
        <v>169</v>
      </c>
      <c r="C30" t="s">
        <v>40</v>
      </c>
      <c r="F30" s="10">
        <v>4803589</v>
      </c>
      <c r="G30" s="10">
        <v>5417633</v>
      </c>
      <c r="H30" s="10">
        <v>3951923</v>
      </c>
      <c r="I30" s="10">
        <f>3482094</f>
        <v>3482094</v>
      </c>
      <c r="J30" s="10">
        <f>4826681</f>
        <v>4826681</v>
      </c>
      <c r="K30" s="10">
        <f>'DCF Guanacevi'!J51+'DCF Bolanitos'!J51</f>
        <v>1303540</v>
      </c>
      <c r="L30" s="49">
        <f>SUM(M30:AM30)</f>
        <v>59062957.93230319</v>
      </c>
      <c r="M30" s="38">
        <f>'DCF Guanacevi'!L51+'DCF Bolanitos'!L51+'DCF Terronera'!G43</f>
        <v>1193580.0649241398</v>
      </c>
      <c r="N30" s="38">
        <f>'DCF Guanacevi'!M51+'DCF Bolanitos'!M51+'DCF Terronera'!H43</f>
        <v>1201948.4472978557</v>
      </c>
      <c r="O30" s="38">
        <f>'DCF Guanacevi'!N51+'DCF Bolanitos'!N51+'DCF Terronera'!I43</f>
        <v>1201948.4472978557</v>
      </c>
      <c r="P30" s="38">
        <f>'DCF Guanacevi'!O51+'DCF Bolanitos'!O51+'DCF Terronera'!J43</f>
        <v>1334855.891076796</v>
      </c>
      <c r="Q30" s="38">
        <f>'DCF Guanacevi'!P51+'DCF Bolanitos'!P51+'DCF Terronera'!K43</f>
        <v>5199486.6010605637</v>
      </c>
      <c r="R30" s="38">
        <f>'DCF Guanacevi'!Q51+'DCF Bolanitos'!Q51+'DCF Terronera'!L43</f>
        <v>10382278.337615274</v>
      </c>
      <c r="S30" s="38">
        <f>'DCF Guanacevi'!R51+'DCF Bolanitos'!R51+'DCF Terronera'!M43</f>
        <v>8290860.1430306984</v>
      </c>
      <c r="T30" s="38">
        <f>'DCF Guanacevi'!S51+'DCF Bolanitos'!S51+'DCF Terronera'!N43</f>
        <v>4709000</v>
      </c>
      <c r="U30" s="38">
        <f>'DCF Guanacevi'!T51+'DCF Bolanitos'!T51+'DCF Terronera'!O43</f>
        <v>3726000</v>
      </c>
      <c r="V30" s="38">
        <f>'DCF Guanacevi'!U51+'DCF Bolanitos'!U51+'DCF Terronera'!P43</f>
        <v>2928000</v>
      </c>
      <c r="W30" s="38">
        <f>'DCF Guanacevi'!V51+'DCF Bolanitos'!V51+'DCF Terronera'!Q43</f>
        <v>3332000</v>
      </c>
      <c r="X30" s="38">
        <f>'DCF Guanacevi'!W51+'DCF Bolanitos'!W51+'DCF Terronera'!R43</f>
        <v>3560000</v>
      </c>
      <c r="Y30" s="38">
        <f>'DCF Guanacevi'!X51+'DCF Bolanitos'!X51+'DCF Terronera'!S43</f>
        <v>2997000</v>
      </c>
      <c r="Z30" s="38">
        <f>'DCF Guanacevi'!Y51+'DCF Bolanitos'!Y51+'DCF Terronera'!T43</f>
        <v>2644000</v>
      </c>
      <c r="AA30" s="38">
        <f>'DCF Guanacevi'!Z51+'DCF Bolanitos'!Z51+'DCF Terronera'!U43</f>
        <v>2299000</v>
      </c>
      <c r="AB30" s="38">
        <f>'DCF Guanacevi'!AA51+'DCF Bolanitos'!AA51+'DCF Terronera'!V43</f>
        <v>2575000</v>
      </c>
      <c r="AC30" s="38">
        <f>'DCF Guanacevi'!AB51+'DCF Bolanitos'!AB51+'DCF Terronera'!W43</f>
        <v>1488000</v>
      </c>
      <c r="AD30" s="38">
        <f>'DCF Guanacevi'!AC51+'DCF Bolanitos'!AC51+'DCF Terronera'!X43</f>
        <v>0</v>
      </c>
      <c r="AE30" s="38">
        <f>'DCF Guanacevi'!AD51+'DCF Bolanitos'!AD51+'DCF Terronera'!Y43</f>
        <v>0</v>
      </c>
      <c r="AF30" s="38">
        <f>'DCF Guanacevi'!AE51+'DCF Bolanitos'!AE51+'DCF Terronera'!Z43</f>
        <v>0</v>
      </c>
      <c r="AG30" s="38">
        <f>'DCF Guanacevi'!AF51+'DCF Bolanitos'!AF51+'DCF Terronera'!AA43</f>
        <v>0</v>
      </c>
      <c r="AH30" s="38">
        <f>'DCF Guanacevi'!AG51+'DCF Bolanitos'!AG51+'DCF Terronera'!AB43</f>
        <v>0</v>
      </c>
      <c r="AI30" s="38">
        <f>'DCF Guanacevi'!AH51+'DCF Bolanitos'!AH51+'DCF Terronera'!AC43</f>
        <v>0</v>
      </c>
      <c r="AJ30" s="38">
        <f>'DCF Guanacevi'!AI51+'DCF Bolanitos'!AI51+'DCF Terronera'!AD43</f>
        <v>0</v>
      </c>
      <c r="AK30" s="38">
        <f>'DCF Guanacevi'!AJ51+'DCF Bolanitos'!AJ51+'DCF Terronera'!AE43</f>
        <v>0</v>
      </c>
      <c r="AL30" s="38">
        <f>'DCF Guanacevi'!AK51+'DCF Bolanitos'!AK51+'DCF Terronera'!AF43</f>
        <v>0</v>
      </c>
      <c r="AM30" s="38">
        <f>'DCF Guanacevi'!AL51+'DCF Bolanitos'!AL51+'DCF Terronera'!AG43</f>
        <v>0</v>
      </c>
      <c r="AN30" s="37"/>
    </row>
    <row r="31" spans="2:40" x14ac:dyDescent="0.25">
      <c r="B31" t="s">
        <v>170</v>
      </c>
      <c r="C31" t="s">
        <v>40</v>
      </c>
      <c r="F31" s="10">
        <v>51797</v>
      </c>
      <c r="G31" s="10">
        <v>51826</v>
      </c>
      <c r="H31" s="10">
        <v>38003</v>
      </c>
      <c r="I31" s="10">
        <f>36392</f>
        <v>36392</v>
      </c>
      <c r="J31" s="10">
        <f>41438</f>
        <v>41438</v>
      </c>
      <c r="K31" s="10">
        <f>'DCF Guanacevi'!J52+'DCF Bolanitos'!J52</f>
        <v>8549</v>
      </c>
      <c r="L31" s="49">
        <f>SUM(M31:AM31)</f>
        <v>497289.23780989629</v>
      </c>
      <c r="M31" s="38">
        <f>'DCF Guanacevi'!L52+'DCF Bolanitos'!L52+'DCF Terronera'!G44</f>
        <v>8574.0792156280877</v>
      </c>
      <c r="N31" s="38">
        <f>'DCF Guanacevi'!M52+'DCF Bolanitos'!M52+'DCF Terronera'!H44</f>
        <v>8685.3806939487185</v>
      </c>
      <c r="O31" s="38">
        <f>'DCF Guanacevi'!N52+'DCF Bolanitos'!N52+'DCF Terronera'!I44</f>
        <v>8951.2915877918695</v>
      </c>
      <c r="P31" s="38">
        <f>'DCF Guanacevi'!O52+'DCF Bolanitos'!O52+'DCF Terronera'!J44</f>
        <v>8653.2374780349001</v>
      </c>
      <c r="Q31" s="38">
        <f>'DCF Guanacevi'!P52+'DCF Bolanitos'!P52+'DCF Terronera'!K44</f>
        <v>46673.948983883085</v>
      </c>
      <c r="R31" s="38">
        <f>'DCF Guanacevi'!Q52+'DCF Bolanitos'!Q52+'DCF Terronera'!L44</f>
        <v>93948.580717969147</v>
      </c>
      <c r="S31" s="38">
        <f>'DCF Guanacevi'!R52+'DCF Bolanitos'!R52+'DCF Terronera'!M44</f>
        <v>38102.719132640501</v>
      </c>
      <c r="T31" s="38">
        <f>'DCF Guanacevi'!S52+'DCF Bolanitos'!S52+'DCF Terronera'!N44</f>
        <v>26900</v>
      </c>
      <c r="U31" s="38">
        <f>'DCF Guanacevi'!T52+'DCF Bolanitos'!T52+'DCF Terronera'!O44</f>
        <v>38000</v>
      </c>
      <c r="V31" s="38">
        <f>'DCF Guanacevi'!U52+'DCF Bolanitos'!U52+'DCF Terronera'!P44</f>
        <v>40000</v>
      </c>
      <c r="W31" s="38">
        <f>'DCF Guanacevi'!V52+'DCF Bolanitos'!V52+'DCF Terronera'!Q44</f>
        <v>29700</v>
      </c>
      <c r="X31" s="38">
        <f>'DCF Guanacevi'!W52+'DCF Bolanitos'!W52+'DCF Terronera'!R44</f>
        <v>24300</v>
      </c>
      <c r="Y31" s="38">
        <f>'DCF Guanacevi'!X52+'DCF Bolanitos'!X52+'DCF Terronera'!S44</f>
        <v>25100</v>
      </c>
      <c r="Z31" s="38">
        <f>'DCF Guanacevi'!Y52+'DCF Bolanitos'!Y52+'DCF Terronera'!T44</f>
        <v>27800</v>
      </c>
      <c r="AA31" s="38">
        <f>'DCF Guanacevi'!Z52+'DCF Bolanitos'!Z52+'DCF Terronera'!U44</f>
        <v>28300</v>
      </c>
      <c r="AB31" s="38">
        <f>'DCF Guanacevi'!AA52+'DCF Bolanitos'!AA52+'DCF Terronera'!V44</f>
        <v>24900</v>
      </c>
      <c r="AC31" s="38">
        <f>'DCF Guanacevi'!AB52+'DCF Bolanitos'!AB52+'DCF Terronera'!W44</f>
        <v>18700</v>
      </c>
      <c r="AD31" s="38">
        <f>'DCF Guanacevi'!AC52+'DCF Bolanitos'!AC52+'DCF Terronera'!X44</f>
        <v>0</v>
      </c>
      <c r="AE31" s="38">
        <f>'DCF Guanacevi'!AD52+'DCF Bolanitos'!AD52+'DCF Terronera'!Y44</f>
        <v>0</v>
      </c>
      <c r="AF31" s="38">
        <f>'DCF Guanacevi'!AE52+'DCF Bolanitos'!AE52+'DCF Terronera'!Z44</f>
        <v>0</v>
      </c>
      <c r="AG31" s="38">
        <f>'DCF Guanacevi'!AF52+'DCF Bolanitos'!AF52+'DCF Terronera'!AA44</f>
        <v>0</v>
      </c>
      <c r="AH31" s="38">
        <f>'DCF Guanacevi'!AG52+'DCF Bolanitos'!AG52+'DCF Terronera'!AB44</f>
        <v>0</v>
      </c>
      <c r="AI31" s="38">
        <f>'DCF Guanacevi'!AH52+'DCF Bolanitos'!AH52+'DCF Terronera'!AC44</f>
        <v>0</v>
      </c>
      <c r="AJ31" s="38">
        <f>'DCF Guanacevi'!AI52+'DCF Bolanitos'!AI52+'DCF Terronera'!AD44</f>
        <v>0</v>
      </c>
      <c r="AK31" s="38">
        <f>'DCF Guanacevi'!AJ52+'DCF Bolanitos'!AJ52+'DCF Terronera'!AE44</f>
        <v>0</v>
      </c>
      <c r="AL31" s="38">
        <f>'DCF Guanacevi'!AK52+'DCF Bolanitos'!AK52+'DCF Terronera'!AF44</f>
        <v>0</v>
      </c>
      <c r="AM31" s="38">
        <f>'DCF Guanacevi'!AL52+'DCF Bolanitos'!AL52+'DCF Terronera'!AG44</f>
        <v>0</v>
      </c>
      <c r="AN31" s="37"/>
    </row>
    <row r="32" spans="2:40" x14ac:dyDescent="0.25">
      <c r="L32" s="51"/>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row>
    <row r="33" spans="2:40" ht="15.75" thickBot="1" x14ac:dyDescent="0.3">
      <c r="B33" s="7" t="s">
        <v>43</v>
      </c>
      <c r="L33" s="51"/>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row>
    <row r="34" spans="2:40" x14ac:dyDescent="0.25">
      <c r="B34" t="s">
        <v>21</v>
      </c>
      <c r="C34" t="s">
        <v>44</v>
      </c>
      <c r="F34" s="10">
        <v>84360000</v>
      </c>
      <c r="G34" s="10">
        <v>85480000</v>
      </c>
      <c r="H34" s="10">
        <v>66054000</v>
      </c>
      <c r="I34" s="10">
        <v>74733000</v>
      </c>
      <c r="J34" s="10">
        <v>97257000</v>
      </c>
      <c r="K34" s="10">
        <v>41884000</v>
      </c>
      <c r="L34" s="49">
        <f>SUM(M34:AM34)</f>
        <v>1466983465.876318</v>
      </c>
      <c r="M34" s="38">
        <f>M14*M30</f>
        <v>26258761.428331073</v>
      </c>
      <c r="N34" s="38">
        <f t="shared" ref="N34:AM34" si="18">N14*N30</f>
        <v>26442865.840552825</v>
      </c>
      <c r="O34" s="38">
        <f t="shared" si="18"/>
        <v>27644814.287850682</v>
      </c>
      <c r="P34" s="38">
        <f t="shared" si="18"/>
        <v>33371397.276919901</v>
      </c>
      <c r="Q34" s="38">
        <f t="shared" si="18"/>
        <v>129987165.0265141</v>
      </c>
      <c r="R34" s="38">
        <f t="shared" si="18"/>
        <v>259556958.44038185</v>
      </c>
      <c r="S34" s="38">
        <f t="shared" si="18"/>
        <v>207271503.57576746</v>
      </c>
      <c r="T34" s="38">
        <f t="shared" si="18"/>
        <v>117725000</v>
      </c>
      <c r="U34" s="38">
        <f t="shared" si="18"/>
        <v>93150000</v>
      </c>
      <c r="V34" s="38">
        <f t="shared" si="18"/>
        <v>73200000</v>
      </c>
      <c r="W34" s="38">
        <f t="shared" si="18"/>
        <v>83300000</v>
      </c>
      <c r="X34" s="38">
        <f t="shared" si="18"/>
        <v>89000000</v>
      </c>
      <c r="Y34" s="38">
        <f t="shared" si="18"/>
        <v>74925000</v>
      </c>
      <c r="Z34" s="38">
        <f t="shared" si="18"/>
        <v>66100000</v>
      </c>
      <c r="AA34" s="38">
        <f t="shared" si="18"/>
        <v>57475000</v>
      </c>
      <c r="AB34" s="38">
        <f t="shared" si="18"/>
        <v>64375000</v>
      </c>
      <c r="AC34" s="38">
        <f t="shared" si="18"/>
        <v>37200000</v>
      </c>
      <c r="AD34" s="38">
        <f t="shared" si="18"/>
        <v>0</v>
      </c>
      <c r="AE34" s="38">
        <f t="shared" si="18"/>
        <v>0</v>
      </c>
      <c r="AF34" s="38">
        <f t="shared" si="18"/>
        <v>0</v>
      </c>
      <c r="AG34" s="38">
        <f t="shared" si="18"/>
        <v>0</v>
      </c>
      <c r="AH34" s="38">
        <f t="shared" si="18"/>
        <v>0</v>
      </c>
      <c r="AI34" s="38">
        <f t="shared" si="18"/>
        <v>0</v>
      </c>
      <c r="AJ34" s="38">
        <f t="shared" si="18"/>
        <v>0</v>
      </c>
      <c r="AK34" s="38">
        <f t="shared" si="18"/>
        <v>0</v>
      </c>
      <c r="AL34" s="38">
        <f t="shared" si="18"/>
        <v>0</v>
      </c>
      <c r="AM34" s="38">
        <f t="shared" si="18"/>
        <v>0</v>
      </c>
      <c r="AN34" s="37"/>
    </row>
    <row r="35" spans="2:40" x14ac:dyDescent="0.25">
      <c r="B35" s="5" t="s">
        <v>23</v>
      </c>
      <c r="C35" t="s">
        <v>44</v>
      </c>
      <c r="F35" s="10">
        <v>66139000</v>
      </c>
      <c r="G35" s="10">
        <v>65029000</v>
      </c>
      <c r="H35" s="10">
        <v>55670000</v>
      </c>
      <c r="I35" s="10">
        <v>65554000</v>
      </c>
      <c r="J35" s="10">
        <v>70022000</v>
      </c>
      <c r="K35" s="10">
        <v>16510000</v>
      </c>
      <c r="L35" s="49">
        <f>SUM(M35:AM35)</f>
        <v>872601158.32197833</v>
      </c>
      <c r="M35" s="38">
        <f>M15*M31</f>
        <v>16033528.133224525</v>
      </c>
      <c r="N35" s="38">
        <f t="shared" ref="N35:AM35" si="19">N15*N31</f>
        <v>16067954.28380513</v>
      </c>
      <c r="O35" s="38">
        <f t="shared" si="19"/>
        <v>16112324.858025365</v>
      </c>
      <c r="P35" s="38">
        <f t="shared" si="19"/>
        <v>15143165.586561074</v>
      </c>
      <c r="Q35" s="38">
        <f t="shared" si="19"/>
        <v>81679410.721795395</v>
      </c>
      <c r="R35" s="38">
        <f t="shared" si="19"/>
        <v>164410016.256446</v>
      </c>
      <c r="S35" s="38">
        <f t="shared" si="19"/>
        <v>66679758.482120879</v>
      </c>
      <c r="T35" s="38">
        <f t="shared" si="19"/>
        <v>47075000</v>
      </c>
      <c r="U35" s="38">
        <f t="shared" si="19"/>
        <v>66500000</v>
      </c>
      <c r="V35" s="38">
        <f t="shared" si="19"/>
        <v>70000000</v>
      </c>
      <c r="W35" s="38">
        <f t="shared" si="19"/>
        <v>51975000</v>
      </c>
      <c r="X35" s="38">
        <f t="shared" si="19"/>
        <v>42525000</v>
      </c>
      <c r="Y35" s="38">
        <f t="shared" si="19"/>
        <v>43925000</v>
      </c>
      <c r="Z35" s="38">
        <f t="shared" si="19"/>
        <v>48650000</v>
      </c>
      <c r="AA35" s="38">
        <f t="shared" si="19"/>
        <v>49525000</v>
      </c>
      <c r="AB35" s="38">
        <f t="shared" si="19"/>
        <v>43575000</v>
      </c>
      <c r="AC35" s="38">
        <f t="shared" si="19"/>
        <v>32725000</v>
      </c>
      <c r="AD35" s="38">
        <f t="shared" si="19"/>
        <v>0</v>
      </c>
      <c r="AE35" s="38">
        <f t="shared" si="19"/>
        <v>0</v>
      </c>
      <c r="AF35" s="38">
        <f t="shared" si="19"/>
        <v>0</v>
      </c>
      <c r="AG35" s="38">
        <f t="shared" si="19"/>
        <v>0</v>
      </c>
      <c r="AH35" s="38">
        <f t="shared" si="19"/>
        <v>0</v>
      </c>
      <c r="AI35" s="38">
        <f t="shared" si="19"/>
        <v>0</v>
      </c>
      <c r="AJ35" s="38">
        <f t="shared" si="19"/>
        <v>0</v>
      </c>
      <c r="AK35" s="38">
        <f t="shared" si="19"/>
        <v>0</v>
      </c>
      <c r="AL35" s="38">
        <f t="shared" si="19"/>
        <v>0</v>
      </c>
      <c r="AM35" s="38">
        <f t="shared" si="19"/>
        <v>0</v>
      </c>
      <c r="AN35" s="37"/>
    </row>
    <row r="36" spans="2:40" x14ac:dyDescent="0.25">
      <c r="B36" t="s">
        <v>27</v>
      </c>
      <c r="F36" s="10">
        <f t="shared" ref="F36:J36" si="20">SUM(F34:F35)</f>
        <v>150499000</v>
      </c>
      <c r="G36" s="10">
        <f t="shared" si="20"/>
        <v>150509000</v>
      </c>
      <c r="H36" s="10">
        <f t="shared" si="20"/>
        <v>121724000</v>
      </c>
      <c r="I36" s="10">
        <f t="shared" si="20"/>
        <v>140287000</v>
      </c>
      <c r="J36" s="10">
        <f t="shared" si="20"/>
        <v>167279000</v>
      </c>
      <c r="K36" s="10">
        <f>SUM(K34:K35)</f>
        <v>58394000</v>
      </c>
      <c r="L36" s="49">
        <f>SUM(M36:AM36)</f>
        <v>2339584624.1982965</v>
      </c>
      <c r="M36" s="38">
        <f>SUM(M34:M35)</f>
        <v>42292289.561555594</v>
      </c>
      <c r="N36" s="38">
        <f t="shared" ref="N36:AM36" si="21">SUM(N34:N35)</f>
        <v>42510820.124357954</v>
      </c>
      <c r="O36" s="38">
        <f t="shared" si="21"/>
        <v>43757139.14587605</v>
      </c>
      <c r="P36" s="38">
        <f t="shared" si="21"/>
        <v>48514562.863480978</v>
      </c>
      <c r="Q36" s="38">
        <f t="shared" si="21"/>
        <v>211666575.74830949</v>
      </c>
      <c r="R36" s="38">
        <f t="shared" si="21"/>
        <v>423966974.69682789</v>
      </c>
      <c r="S36" s="38">
        <f t="shared" si="21"/>
        <v>273951262.05788833</v>
      </c>
      <c r="T36" s="38">
        <f t="shared" si="21"/>
        <v>164800000</v>
      </c>
      <c r="U36" s="38">
        <f t="shared" si="21"/>
        <v>159650000</v>
      </c>
      <c r="V36" s="38">
        <f t="shared" si="21"/>
        <v>143200000</v>
      </c>
      <c r="W36" s="38">
        <f t="shared" si="21"/>
        <v>135275000</v>
      </c>
      <c r="X36" s="38">
        <f t="shared" si="21"/>
        <v>131525000</v>
      </c>
      <c r="Y36" s="38">
        <f t="shared" si="21"/>
        <v>118850000</v>
      </c>
      <c r="Z36" s="38">
        <f t="shared" si="21"/>
        <v>114750000</v>
      </c>
      <c r="AA36" s="38">
        <f t="shared" si="21"/>
        <v>107000000</v>
      </c>
      <c r="AB36" s="38">
        <f t="shared" si="21"/>
        <v>107950000</v>
      </c>
      <c r="AC36" s="38">
        <f t="shared" si="21"/>
        <v>69925000</v>
      </c>
      <c r="AD36" s="38">
        <f t="shared" si="21"/>
        <v>0</v>
      </c>
      <c r="AE36" s="38">
        <f t="shared" si="21"/>
        <v>0</v>
      </c>
      <c r="AF36" s="38">
        <f t="shared" si="21"/>
        <v>0</v>
      </c>
      <c r="AG36" s="38">
        <f t="shared" si="21"/>
        <v>0</v>
      </c>
      <c r="AH36" s="38">
        <f t="shared" si="21"/>
        <v>0</v>
      </c>
      <c r="AI36" s="38">
        <f t="shared" si="21"/>
        <v>0</v>
      </c>
      <c r="AJ36" s="38">
        <f t="shared" si="21"/>
        <v>0</v>
      </c>
      <c r="AK36" s="38">
        <f t="shared" si="21"/>
        <v>0</v>
      </c>
      <c r="AL36" s="38">
        <f t="shared" si="21"/>
        <v>0</v>
      </c>
      <c r="AM36" s="38">
        <f t="shared" si="21"/>
        <v>0</v>
      </c>
      <c r="AN36" s="37"/>
    </row>
    <row r="37" spans="2:40" x14ac:dyDescent="0.25">
      <c r="B37" t="s">
        <v>87</v>
      </c>
      <c r="C37" t="s">
        <v>22</v>
      </c>
      <c r="F37" s="26">
        <f>F34/SUM(F34:F35)</f>
        <v>0.5605352859487438</v>
      </c>
      <c r="G37" s="26">
        <f t="shared" ref="G37:K37" si="22">G34/SUM(G34:G35)</f>
        <v>0.56793945876990748</v>
      </c>
      <c r="H37" s="26">
        <f t="shared" si="22"/>
        <v>0.5426538726956065</v>
      </c>
      <c r="I37" s="26">
        <f t="shared" si="22"/>
        <v>0.53271507694939657</v>
      </c>
      <c r="J37" s="26">
        <f t="shared" si="22"/>
        <v>0.5814059146695042</v>
      </c>
      <c r="K37" s="26">
        <f t="shared" si="22"/>
        <v>0.71726547248004935</v>
      </c>
      <c r="L37" s="55">
        <f>AVERAGE(M37:AM37)</f>
        <v>0.61875691570933666</v>
      </c>
      <c r="M37" s="46">
        <f t="shared" ref="M37:AC37" si="23">IF(SUM(M34:M35)&gt;0,M34/SUM(M34:M35),"")</f>
        <v>0.62088767717604798</v>
      </c>
      <c r="N37" s="46">
        <f t="shared" si="23"/>
        <v>0.62202671609719262</v>
      </c>
      <c r="O37" s="46">
        <f t="shared" si="23"/>
        <v>0.63177837553980276</v>
      </c>
      <c r="P37" s="46">
        <f t="shared" si="23"/>
        <v>0.68786350545559594</v>
      </c>
      <c r="Q37" s="46">
        <f t="shared" si="23"/>
        <v>0.61411285445974462</v>
      </c>
      <c r="R37" s="46">
        <f t="shared" si="23"/>
        <v>0.61221032281107968</v>
      </c>
      <c r="S37" s="46">
        <f t="shared" si="23"/>
        <v>0.75659992225905193</v>
      </c>
      <c r="T37" s="46">
        <f t="shared" si="23"/>
        <v>0.71435072815533984</v>
      </c>
      <c r="U37" s="46">
        <f t="shared" si="23"/>
        <v>0.58346382712182898</v>
      </c>
      <c r="V37" s="46">
        <f t="shared" si="23"/>
        <v>0.51117318435754189</v>
      </c>
      <c r="W37" s="46">
        <f t="shared" si="23"/>
        <v>0.61578266494178524</v>
      </c>
      <c r="X37" s="46">
        <f t="shared" si="23"/>
        <v>0.67667743774947731</v>
      </c>
      <c r="Y37" s="46">
        <f t="shared" si="23"/>
        <v>0.63041649137568367</v>
      </c>
      <c r="Z37" s="46">
        <f t="shared" si="23"/>
        <v>0.57603485838779955</v>
      </c>
      <c r="AA37" s="46">
        <f t="shared" si="23"/>
        <v>0.53714953271028032</v>
      </c>
      <c r="AB37" s="46">
        <f t="shared" si="23"/>
        <v>0.59634089856415007</v>
      </c>
      <c r="AC37" s="46">
        <f t="shared" si="23"/>
        <v>0.53199856989631744</v>
      </c>
      <c r="AD37" s="46" t="str">
        <f t="shared" ref="AD37" si="24">IF(SUM(AD34:AD35)&gt;0,AD34/SUM(AD34:AD35),"")</f>
        <v/>
      </c>
      <c r="AE37" s="46" t="str">
        <f t="shared" ref="AE37" si="25">IF(SUM(AE34:AE35)&gt;0,AE34/SUM(AE34:AE35),"")</f>
        <v/>
      </c>
      <c r="AF37" s="46" t="str">
        <f t="shared" ref="AF37" si="26">IF(SUM(AF34:AF35)&gt;0,AF34/SUM(AF34:AF35),"")</f>
        <v/>
      </c>
      <c r="AG37" s="46" t="str">
        <f t="shared" ref="AG37" si="27">IF(SUM(AG34:AG35)&gt;0,AG34/SUM(AG34:AG35),"")</f>
        <v/>
      </c>
      <c r="AH37" s="46" t="str">
        <f t="shared" ref="AH37" si="28">IF(SUM(AH34:AH35)&gt;0,AH34/SUM(AH34:AH35),"")</f>
        <v/>
      </c>
      <c r="AI37" s="46" t="str">
        <f t="shared" ref="AI37" si="29">IF(SUM(AI34:AI35)&gt;0,AI34/SUM(AI34:AI35),"")</f>
        <v/>
      </c>
      <c r="AJ37" s="46" t="str">
        <f t="shared" ref="AJ37" si="30">IF(SUM(AJ34:AJ35)&gt;0,AJ34/SUM(AJ34:AJ35),"")</f>
        <v/>
      </c>
      <c r="AK37" s="46" t="str">
        <f t="shared" ref="AK37" si="31">IF(SUM(AK34:AK35)&gt;0,AK34/SUM(AK34:AK35),"")</f>
        <v/>
      </c>
      <c r="AL37" s="46" t="str">
        <f t="shared" ref="AL37" si="32">IF(SUM(AL34:AL35)&gt;0,AL34/SUM(AL34:AL35),"")</f>
        <v/>
      </c>
      <c r="AM37" s="46" t="str">
        <f t="shared" ref="AM37" si="33">IF(SUM(AM34:AM35)&gt;0,AM34/SUM(AM34:AM35),"")</f>
        <v/>
      </c>
      <c r="AN37" s="37"/>
    </row>
    <row r="38" spans="2:40" x14ac:dyDescent="0.25">
      <c r="L38" s="51"/>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row>
    <row r="39" spans="2:40" ht="15.75" thickBot="1" x14ac:dyDescent="0.3">
      <c r="B39" s="7" t="s">
        <v>172</v>
      </c>
      <c r="L39" s="51"/>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row>
    <row r="40" spans="2:40" x14ac:dyDescent="0.25">
      <c r="B40" t="s">
        <v>171</v>
      </c>
      <c r="C40" t="s">
        <v>44</v>
      </c>
      <c r="F40" s="10">
        <v>102828000</v>
      </c>
      <c r="G40" s="10">
        <v>105853000</v>
      </c>
      <c r="H40" s="10">
        <v>103085000</v>
      </c>
      <c r="I40" s="10">
        <v>76605000</v>
      </c>
      <c r="J40" s="10">
        <v>102377000</v>
      </c>
      <c r="K40" s="10">
        <v>25328000</v>
      </c>
      <c r="L40" s="49">
        <f>SUM(M40:AM40)</f>
        <v>1031291242.1769669</v>
      </c>
      <c r="M40" s="38">
        <f>'DCF Guanacevi'!L65+'DCF Bolanitos'!L65+'DCF Terronera'!G73</f>
        <v>25752498.255301513</v>
      </c>
      <c r="N40" s="38">
        <f>'DCF Guanacevi'!M65+'DCF Bolanitos'!M65+'DCF Terronera'!H73</f>
        <v>26556202.596455976</v>
      </c>
      <c r="O40" s="38">
        <f>'DCF Guanacevi'!N65+'DCF Bolanitos'!N65+'DCF Terronera'!I73</f>
        <v>26821764.622420542</v>
      </c>
      <c r="P40" s="38">
        <f>'DCF Guanacevi'!O65+'DCF Bolanitos'!O65+'DCF Terronera'!J73</f>
        <v>26238682.782802701</v>
      </c>
      <c r="Q40" s="38">
        <f>'DCF Guanacevi'!P65+'DCF Bolanitos'!P65+'DCF Terronera'!K73</f>
        <v>88439052.947452694</v>
      </c>
      <c r="R40" s="38">
        <f>'DCF Guanacevi'!Q65+'DCF Bolanitos'!Q65+'DCF Terronera'!L73</f>
        <v>181874171.79278168</v>
      </c>
      <c r="S40" s="38">
        <f>'DCF Guanacevi'!R65+'DCF Bolanitos'!R65+'DCF Terronera'!M73</f>
        <v>135858769.17975181</v>
      </c>
      <c r="T40" s="38">
        <f>'DCF Guanacevi'!S65+'DCF Bolanitos'!S65+'DCF Terronera'!N73</f>
        <v>58948200</v>
      </c>
      <c r="U40" s="38">
        <f>'DCF Guanacevi'!T65+'DCF Bolanitos'!T65+'DCF Terronera'!O73</f>
        <v>63568200</v>
      </c>
      <c r="V40" s="38">
        <f>'DCF Guanacevi'!U65+'DCF Bolanitos'!U65+'DCF Terronera'!P73</f>
        <v>64025800</v>
      </c>
      <c r="W40" s="38">
        <f>'DCF Guanacevi'!V65+'DCF Bolanitos'!V65+'DCF Terronera'!Q73</f>
        <v>63314100</v>
      </c>
      <c r="X40" s="38">
        <f>'DCF Guanacevi'!W65+'DCF Bolanitos'!W65+'DCF Terronera'!R73</f>
        <v>51082100</v>
      </c>
      <c r="Y40" s="38">
        <f>'DCF Guanacevi'!X65+'DCF Bolanitos'!X65+'DCF Terronera'!S73</f>
        <v>47921800</v>
      </c>
      <c r="Z40" s="38">
        <f>'DCF Guanacevi'!Y65+'DCF Bolanitos'!Y65+'DCF Terronera'!T73</f>
        <v>48618100</v>
      </c>
      <c r="AA40" s="38">
        <f>'DCF Guanacevi'!Z65+'DCF Bolanitos'!Z65+'DCF Terronera'!U73</f>
        <v>45714100</v>
      </c>
      <c r="AB40" s="38">
        <f>'DCF Guanacevi'!AA65+'DCF Bolanitos'!AA65+'DCF Terronera'!V73</f>
        <v>45663500</v>
      </c>
      <c r="AC40" s="38">
        <f>'DCF Guanacevi'!AB65+'DCF Bolanitos'!AB65+'DCF Terronera'!W73</f>
        <v>30894200.000000004</v>
      </c>
      <c r="AD40" s="38">
        <f>'DCF Guanacevi'!AC65+'DCF Bolanitos'!AC65+'DCF Terronera'!X73</f>
        <v>0</v>
      </c>
      <c r="AE40" s="38">
        <f>'DCF Guanacevi'!AD65+'DCF Bolanitos'!AD65+'DCF Terronera'!Y73</f>
        <v>0</v>
      </c>
      <c r="AF40" s="38">
        <f>'DCF Guanacevi'!AE65+'DCF Bolanitos'!AE65+'DCF Terronera'!Z73</f>
        <v>0</v>
      </c>
      <c r="AG40" s="38">
        <f>'DCF Guanacevi'!AF65+'DCF Bolanitos'!AF65+'DCF Terronera'!AA73</f>
        <v>0</v>
      </c>
      <c r="AH40" s="38">
        <f>'DCF Guanacevi'!AG65+'DCF Bolanitos'!AG65+'DCF Terronera'!AB73</f>
        <v>0</v>
      </c>
      <c r="AI40" s="38">
        <f>'DCF Guanacevi'!AH65+'DCF Bolanitos'!AH65+'DCF Terronera'!AC73</f>
        <v>0</v>
      </c>
      <c r="AJ40" s="38">
        <f>'DCF Guanacevi'!AI65+'DCF Bolanitos'!AI65+'DCF Terronera'!AD73</f>
        <v>0</v>
      </c>
      <c r="AK40" s="38">
        <f>'DCF Guanacevi'!AJ65+'DCF Bolanitos'!AJ65+'DCF Terronera'!AE73</f>
        <v>0</v>
      </c>
      <c r="AL40" s="38">
        <f>'DCF Guanacevi'!AK65+'DCF Bolanitos'!AK65+'DCF Terronera'!AF73</f>
        <v>0</v>
      </c>
      <c r="AM40" s="38">
        <f>'DCF Guanacevi'!AL65+'DCF Bolanitos'!AL65+'DCF Terronera'!AG73</f>
        <v>0</v>
      </c>
      <c r="AN40" s="37"/>
    </row>
    <row r="41" spans="2:40" x14ac:dyDescent="0.25">
      <c r="B41" t="s">
        <v>177</v>
      </c>
      <c r="F41" s="10">
        <v>1</v>
      </c>
      <c r="G41" s="10">
        <v>1</v>
      </c>
      <c r="H41" s="10">
        <v>1</v>
      </c>
      <c r="I41" s="10">
        <v>1</v>
      </c>
      <c r="J41" s="10">
        <v>1</v>
      </c>
      <c r="K41" s="10">
        <v>1</v>
      </c>
      <c r="L41" s="49"/>
      <c r="M41" s="38">
        <f>1</f>
        <v>1</v>
      </c>
      <c r="N41" s="38">
        <f>1</f>
        <v>1</v>
      </c>
      <c r="O41" s="38">
        <f>1</f>
        <v>1</v>
      </c>
      <c r="P41" s="38">
        <f>1</f>
        <v>1</v>
      </c>
      <c r="Q41" s="38">
        <f>1</f>
        <v>1</v>
      </c>
      <c r="R41" s="38">
        <f>1</f>
        <v>1</v>
      </c>
      <c r="S41" s="38">
        <f>1</f>
        <v>1</v>
      </c>
      <c r="T41" s="38">
        <f>1</f>
        <v>1</v>
      </c>
      <c r="U41" s="38">
        <f>1</f>
        <v>1</v>
      </c>
      <c r="V41" s="38">
        <f>1</f>
        <v>1</v>
      </c>
      <c r="W41" s="38">
        <f>1</f>
        <v>1</v>
      </c>
      <c r="X41" s="38">
        <f>1</f>
        <v>1</v>
      </c>
      <c r="Y41" s="38">
        <f>1</f>
        <v>1</v>
      </c>
      <c r="Z41" s="38">
        <f>1</f>
        <v>1</v>
      </c>
      <c r="AA41" s="38">
        <f>1</f>
        <v>1</v>
      </c>
      <c r="AB41" s="38">
        <f>1</f>
        <v>1</v>
      </c>
      <c r="AC41" s="38">
        <f>1</f>
        <v>1</v>
      </c>
      <c r="AD41" s="38">
        <f>1</f>
        <v>1</v>
      </c>
      <c r="AE41" s="38">
        <f>1</f>
        <v>1</v>
      </c>
      <c r="AF41" s="38">
        <f>1</f>
        <v>1</v>
      </c>
      <c r="AG41" s="38">
        <f>1</f>
        <v>1</v>
      </c>
      <c r="AH41" s="38">
        <f>1</f>
        <v>1</v>
      </c>
      <c r="AI41" s="38">
        <f>1</f>
        <v>1</v>
      </c>
      <c r="AJ41" s="38">
        <f>1</f>
        <v>1</v>
      </c>
      <c r="AK41" s="38">
        <f>1</f>
        <v>1</v>
      </c>
      <c r="AL41" s="38">
        <f>1</f>
        <v>1</v>
      </c>
      <c r="AM41" s="38">
        <f>1</f>
        <v>1</v>
      </c>
      <c r="AN41" s="37"/>
    </row>
    <row r="42" spans="2:40" x14ac:dyDescent="0.25">
      <c r="B42" t="s">
        <v>179</v>
      </c>
      <c r="F42" s="10">
        <f>F40*F41</f>
        <v>102828000</v>
      </c>
      <c r="G42" s="10">
        <f t="shared" ref="G42:K42" si="34">G40*G41</f>
        <v>105853000</v>
      </c>
      <c r="H42" s="10">
        <f t="shared" si="34"/>
        <v>103085000</v>
      </c>
      <c r="I42" s="10">
        <f t="shared" si="34"/>
        <v>76605000</v>
      </c>
      <c r="J42" s="10">
        <f t="shared" si="34"/>
        <v>102377000</v>
      </c>
      <c r="K42" s="10">
        <f t="shared" si="34"/>
        <v>25328000</v>
      </c>
      <c r="L42" s="49">
        <f t="shared" ref="L42" si="35">SUM(M42:AM42)</f>
        <v>1031291242.1769669</v>
      </c>
      <c r="M42" s="38">
        <f>M40*M41</f>
        <v>25752498.255301513</v>
      </c>
      <c r="N42" s="38">
        <f t="shared" ref="N42:AM42" si="36">N40*N41</f>
        <v>26556202.596455976</v>
      </c>
      <c r="O42" s="38">
        <f t="shared" si="36"/>
        <v>26821764.622420542</v>
      </c>
      <c r="P42" s="38">
        <f t="shared" si="36"/>
        <v>26238682.782802701</v>
      </c>
      <c r="Q42" s="38">
        <f t="shared" si="36"/>
        <v>88439052.947452694</v>
      </c>
      <c r="R42" s="38">
        <f t="shared" si="36"/>
        <v>181874171.79278168</v>
      </c>
      <c r="S42" s="38">
        <f t="shared" si="36"/>
        <v>135858769.17975181</v>
      </c>
      <c r="T42" s="38">
        <f t="shared" si="36"/>
        <v>58948200</v>
      </c>
      <c r="U42" s="38">
        <f t="shared" si="36"/>
        <v>63568200</v>
      </c>
      <c r="V42" s="38">
        <f t="shared" si="36"/>
        <v>64025800</v>
      </c>
      <c r="W42" s="38">
        <f t="shared" si="36"/>
        <v>63314100</v>
      </c>
      <c r="X42" s="38">
        <f t="shared" si="36"/>
        <v>51082100</v>
      </c>
      <c r="Y42" s="38">
        <f t="shared" si="36"/>
        <v>47921800</v>
      </c>
      <c r="Z42" s="38">
        <f t="shared" si="36"/>
        <v>48618100</v>
      </c>
      <c r="AA42" s="38">
        <f t="shared" si="36"/>
        <v>45714100</v>
      </c>
      <c r="AB42" s="38">
        <f t="shared" si="36"/>
        <v>45663500</v>
      </c>
      <c r="AC42" s="38">
        <f t="shared" si="36"/>
        <v>30894200.000000004</v>
      </c>
      <c r="AD42" s="38">
        <f t="shared" si="36"/>
        <v>0</v>
      </c>
      <c r="AE42" s="38">
        <f t="shared" si="36"/>
        <v>0</v>
      </c>
      <c r="AF42" s="38">
        <f t="shared" si="36"/>
        <v>0</v>
      </c>
      <c r="AG42" s="38">
        <f t="shared" si="36"/>
        <v>0</v>
      </c>
      <c r="AH42" s="38">
        <f t="shared" si="36"/>
        <v>0</v>
      </c>
      <c r="AI42" s="38">
        <f t="shared" si="36"/>
        <v>0</v>
      </c>
      <c r="AJ42" s="38">
        <f t="shared" si="36"/>
        <v>0</v>
      </c>
      <c r="AK42" s="38">
        <f t="shared" si="36"/>
        <v>0</v>
      </c>
      <c r="AL42" s="38">
        <f t="shared" si="36"/>
        <v>0</v>
      </c>
      <c r="AM42" s="38">
        <f t="shared" si="36"/>
        <v>0</v>
      </c>
      <c r="AN42" s="37"/>
    </row>
    <row r="43" spans="2:40" x14ac:dyDescent="0.25">
      <c r="B43" s="22" t="s">
        <v>82</v>
      </c>
      <c r="C43" t="s">
        <v>20</v>
      </c>
      <c r="F43" s="14">
        <f>F42/(F30+F31*F15/F14)</f>
        <v>11.867971388645028</v>
      </c>
      <c r="G43" s="14">
        <f t="shared" ref="G43:K43" si="37">G42/(G30+G31*G15/G14)</f>
        <v>11.011000149997509</v>
      </c>
      <c r="H43" s="14">
        <f t="shared" si="37"/>
        <v>14.18084692266957</v>
      </c>
      <c r="I43" s="14">
        <f t="shared" si="37"/>
        <v>11.620442008896649</v>
      </c>
      <c r="J43" s="14">
        <f t="shared" si="37"/>
        <v>13.179732125845865</v>
      </c>
      <c r="K43" s="14">
        <f t="shared" si="37"/>
        <v>12.69998628106082</v>
      </c>
      <c r="L43" s="47">
        <f>AVERAGE(M43:AM43)</f>
        <v>11.340344963339076</v>
      </c>
      <c r="M43" s="43">
        <f>IF(OR(M30&gt;0,M31&gt;0),M40/(M30+M31*M15/M14),"")</f>
        <v>13.396176170411007</v>
      </c>
      <c r="N43" s="43">
        <f t="shared" ref="N43:AM43" si="38">IF(OR(N30&gt;0,N31&gt;0),N40/(N30+N31*N15/N14),"")</f>
        <v>13.743241259823971</v>
      </c>
      <c r="O43" s="43">
        <f t="shared" si="38"/>
        <v>14.098284265318867</v>
      </c>
      <c r="P43" s="43">
        <f t="shared" si="38"/>
        <v>13.521034321507667</v>
      </c>
      <c r="Q43" s="43">
        <f t="shared" si="38"/>
        <v>10.445561921478648</v>
      </c>
      <c r="R43" s="43">
        <f t="shared" si="38"/>
        <v>10.724548293109212</v>
      </c>
      <c r="S43" s="43">
        <f t="shared" si="38"/>
        <v>12.398078417233542</v>
      </c>
      <c r="T43" s="43">
        <f t="shared" si="38"/>
        <v>8.9423847087378636</v>
      </c>
      <c r="U43" s="43">
        <f t="shared" si="38"/>
        <v>9.9543062950203574</v>
      </c>
      <c r="V43" s="43">
        <f t="shared" si="38"/>
        <v>11.177688547486033</v>
      </c>
      <c r="W43" s="43">
        <f t="shared" si="38"/>
        <v>11.700997967104048</v>
      </c>
      <c r="X43" s="43">
        <f t="shared" si="38"/>
        <v>9.7095799277703865</v>
      </c>
      <c r="Y43" s="43">
        <f t="shared" si="38"/>
        <v>10.080311316785865</v>
      </c>
      <c r="Z43" s="43">
        <f t="shared" si="38"/>
        <v>10.592178649237473</v>
      </c>
      <c r="AA43" s="43">
        <f t="shared" si="38"/>
        <v>10.680864485981308</v>
      </c>
      <c r="AB43" s="43">
        <f t="shared" si="38"/>
        <v>10.575150532654007</v>
      </c>
      <c r="AC43" s="43">
        <f t="shared" si="38"/>
        <v>11.045477297104041</v>
      </c>
      <c r="AD43" s="43" t="str">
        <f t="shared" si="38"/>
        <v/>
      </c>
      <c r="AE43" s="43" t="str">
        <f t="shared" si="38"/>
        <v/>
      </c>
      <c r="AF43" s="43" t="str">
        <f t="shared" si="38"/>
        <v/>
      </c>
      <c r="AG43" s="43" t="str">
        <f t="shared" si="38"/>
        <v/>
      </c>
      <c r="AH43" s="43" t="str">
        <f t="shared" si="38"/>
        <v/>
      </c>
      <c r="AI43" s="43" t="str">
        <f t="shared" si="38"/>
        <v/>
      </c>
      <c r="AJ43" s="43" t="str">
        <f t="shared" si="38"/>
        <v/>
      </c>
      <c r="AK43" s="43" t="str">
        <f t="shared" si="38"/>
        <v/>
      </c>
      <c r="AL43" s="43" t="str">
        <f t="shared" si="38"/>
        <v/>
      </c>
      <c r="AM43" s="43" t="str">
        <f t="shared" si="38"/>
        <v/>
      </c>
      <c r="AN43" s="37"/>
    </row>
    <row r="44" spans="2:40" x14ac:dyDescent="0.25">
      <c r="B44" s="22" t="s">
        <v>142</v>
      </c>
      <c r="C44" t="s">
        <v>44</v>
      </c>
      <c r="F44" s="10">
        <f>5225000</f>
        <v>5225000</v>
      </c>
      <c r="G44" s="10">
        <f>6193000</f>
        <v>6193000</v>
      </c>
      <c r="H44" s="10">
        <f>7217000</f>
        <v>7217000</v>
      </c>
      <c r="I44" s="10">
        <f>10024000</f>
        <v>10024000</v>
      </c>
      <c r="J44" s="10">
        <f>6575000</f>
        <v>6575000</v>
      </c>
      <c r="K44" s="10">
        <f>2943000</f>
        <v>2943000</v>
      </c>
      <c r="L44" s="49">
        <f>SUM(M44:AM44)</f>
        <v>30948988.888888888</v>
      </c>
      <c r="M44" s="38">
        <f>'DCF Guanacevi'!L68+'DCF Bolanitos'!L68</f>
        <v>2253900</v>
      </c>
      <c r="N44" s="38">
        <f>'DCF Guanacevi'!M68+'DCF Bolanitos'!M68</f>
        <v>2253900</v>
      </c>
      <c r="O44" s="38">
        <f>'DCF Guanacevi'!N68+'DCF Bolanitos'!N68</f>
        <v>2253900</v>
      </c>
      <c r="P44" s="38">
        <f>'DCF Guanacevi'!O68+'DCF Bolanitos'!O68</f>
        <v>2253900</v>
      </c>
      <c r="Q44" s="38">
        <f>'DCF Guanacevi'!P68+'DCF Bolanitos'!P68</f>
        <v>6761700</v>
      </c>
      <c r="R44" s="38">
        <f>'DCF Guanacevi'!Q68+'DCF Bolanitos'!Q68</f>
        <v>9015600</v>
      </c>
      <c r="S44" s="38">
        <f>'DCF Guanacevi'!R68+'DCF Bolanitos'!R68</f>
        <v>6156088.888888889</v>
      </c>
      <c r="T44" s="38">
        <f>'DCF Guanacevi'!S68+'DCF Bolanitos'!S68</f>
        <v>0</v>
      </c>
      <c r="U44" s="38">
        <f>'DCF Guanacevi'!T68+'DCF Bolanitos'!T68</f>
        <v>0</v>
      </c>
      <c r="V44" s="38">
        <f>'DCF Guanacevi'!U68+'DCF Bolanitos'!U68</f>
        <v>0</v>
      </c>
      <c r="W44" s="38">
        <f>'DCF Guanacevi'!V68+'DCF Bolanitos'!V68</f>
        <v>0</v>
      </c>
      <c r="X44" s="38">
        <f>'DCF Guanacevi'!W68+'DCF Bolanitos'!W68</f>
        <v>0</v>
      </c>
      <c r="Y44" s="38">
        <f>'DCF Guanacevi'!X68+'DCF Bolanitos'!X68</f>
        <v>0</v>
      </c>
      <c r="Z44" s="38">
        <f>'DCF Guanacevi'!Y68+'DCF Bolanitos'!Y68</f>
        <v>0</v>
      </c>
      <c r="AA44" s="38">
        <f>'DCF Guanacevi'!Z68+'DCF Bolanitos'!Z68</f>
        <v>0</v>
      </c>
      <c r="AB44" s="38">
        <f>'DCF Guanacevi'!AA68+'DCF Bolanitos'!AA68</f>
        <v>0</v>
      </c>
      <c r="AC44" s="38">
        <f>'DCF Guanacevi'!AB68+'DCF Bolanitos'!AB68</f>
        <v>0</v>
      </c>
      <c r="AD44" s="38">
        <f>'DCF Guanacevi'!AC68+'DCF Bolanitos'!AC68</f>
        <v>0</v>
      </c>
      <c r="AE44" s="38">
        <f>'DCF Guanacevi'!AD68+'DCF Bolanitos'!AD68</f>
        <v>0</v>
      </c>
      <c r="AF44" s="38">
        <f>'DCF Guanacevi'!AE68+'DCF Bolanitos'!AE68</f>
        <v>0</v>
      </c>
      <c r="AG44" s="38">
        <f>'DCF Guanacevi'!AF68+'DCF Bolanitos'!AF68</f>
        <v>0</v>
      </c>
      <c r="AH44" s="38">
        <f>'DCF Guanacevi'!AG68+'DCF Bolanitos'!AG68</f>
        <v>0</v>
      </c>
      <c r="AI44" s="38">
        <f>'DCF Guanacevi'!AH68+'DCF Bolanitos'!AH68</f>
        <v>0</v>
      </c>
      <c r="AJ44" s="38">
        <f>'DCF Guanacevi'!AI68+'DCF Bolanitos'!AI68</f>
        <v>0</v>
      </c>
      <c r="AK44" s="38">
        <f>'DCF Guanacevi'!AJ68+'DCF Bolanitos'!AJ68</f>
        <v>0</v>
      </c>
      <c r="AL44" s="38">
        <f>'DCF Guanacevi'!AK68+'DCF Bolanitos'!AK68</f>
        <v>0</v>
      </c>
      <c r="AM44" s="38">
        <f>'DCF Guanacevi'!AL68+'DCF Bolanitos'!AL68</f>
        <v>0</v>
      </c>
      <c r="AN44" s="37"/>
    </row>
    <row r="45" spans="2:40" x14ac:dyDescent="0.25">
      <c r="B45" s="22" t="s">
        <v>152</v>
      </c>
      <c r="C45" t="s">
        <v>44</v>
      </c>
      <c r="F45" s="10">
        <f>12898000</f>
        <v>12898000</v>
      </c>
      <c r="G45" s="10">
        <f>12383000</f>
        <v>12383000</v>
      </c>
      <c r="H45" s="10">
        <f>12001000</f>
        <v>12001000</v>
      </c>
      <c r="I45" s="10">
        <f>9756000</f>
        <v>9756000</v>
      </c>
      <c r="J45" s="10">
        <f>17925000</f>
        <v>17925000</v>
      </c>
      <c r="K45" s="10">
        <f>'DCF Guanacevi'!J69+'DCF Bolanitos'!J69+'DCF Terronera'!E64+600000+1598000</f>
        <v>3200000</v>
      </c>
      <c r="L45" s="49">
        <f t="shared" ref="L45:L46" si="39">SUM(M45:AM45)</f>
        <v>18900000</v>
      </c>
      <c r="M45" s="38">
        <f>'DCF Guanacevi'!L69+'DCF Bolanitos'!L69+'DCF Terronera'!G64+(1900000+1500000+1200000+2200000-1598000-600000)/3</f>
        <v>3100000</v>
      </c>
      <c r="N45" s="38">
        <f>'DCF Guanacevi'!M69+'DCF Bolanitos'!M69+'DCF Terronera'!H64+(1900000+1500000+1200000+2200000-1598000-600000)/3</f>
        <v>3100000</v>
      </c>
      <c r="O45" s="38">
        <f>'DCF Guanacevi'!N69+'DCF Bolanitos'!N69+'DCF Terronera'!I64+(1900000+1500000+1200000+2200000-1598000-600000)/3</f>
        <v>3100000</v>
      </c>
      <c r="P45" s="38">
        <f>'DCF Guanacevi'!O69+'DCF Bolanitos'!O69+'DCF Terronera'!J64</f>
        <v>950000</v>
      </c>
      <c r="Q45" s="38">
        <f>'DCF Guanacevi'!P69+'DCF Bolanitos'!P69+'DCF Terronera'!K64</f>
        <v>2850000</v>
      </c>
      <c r="R45" s="38">
        <f>'DCF Guanacevi'!Q69+'DCF Bolanitos'!Q69+'DCF Terronera'!L64</f>
        <v>3800000</v>
      </c>
      <c r="S45" s="38">
        <f>'DCF Guanacevi'!R69+'DCF Bolanitos'!R69+'DCF Terronera'!M64</f>
        <v>2000000</v>
      </c>
      <c r="T45" s="38">
        <f>'DCF Guanacevi'!S69+'DCF Bolanitos'!S69+'DCF Terronera'!N64</f>
        <v>0</v>
      </c>
      <c r="U45" s="38">
        <f>'DCF Guanacevi'!T69+'DCF Bolanitos'!T69+'DCF Terronera'!O64</f>
        <v>0</v>
      </c>
      <c r="V45" s="38">
        <f>'DCF Guanacevi'!U69+'DCF Bolanitos'!U69+'DCF Terronera'!P64</f>
        <v>0</v>
      </c>
      <c r="W45" s="38">
        <f>'DCF Guanacevi'!V69+'DCF Bolanitos'!V69+'DCF Terronera'!Q64</f>
        <v>0</v>
      </c>
      <c r="X45" s="38">
        <f>'DCF Guanacevi'!W69+'DCF Bolanitos'!W69+'DCF Terronera'!R64</f>
        <v>0</v>
      </c>
      <c r="Y45" s="38">
        <f>'DCF Guanacevi'!X69+'DCF Bolanitos'!X69+'DCF Terronera'!S64</f>
        <v>0</v>
      </c>
      <c r="Z45" s="38">
        <f>'DCF Guanacevi'!Y69+'DCF Bolanitos'!Y69+'DCF Terronera'!T64</f>
        <v>0</v>
      </c>
      <c r="AA45" s="38">
        <f>'DCF Guanacevi'!Z69+'DCF Bolanitos'!Z69+'DCF Terronera'!U64</f>
        <v>0</v>
      </c>
      <c r="AB45" s="38">
        <f>'DCF Guanacevi'!AA69+'DCF Bolanitos'!AA69+'DCF Terronera'!V64</f>
        <v>0</v>
      </c>
      <c r="AC45" s="38">
        <f>'DCF Guanacevi'!AB69+'DCF Bolanitos'!AB69+'DCF Terronera'!W64</f>
        <v>0</v>
      </c>
      <c r="AD45" s="38">
        <f>'DCF Guanacevi'!AC69+'DCF Bolanitos'!AC69+'DCF Terronera'!X64</f>
        <v>0</v>
      </c>
      <c r="AE45" s="38">
        <f>'DCF Guanacevi'!AD69+'DCF Bolanitos'!AD69+'DCF Terronera'!Y64</f>
        <v>0</v>
      </c>
      <c r="AF45" s="38">
        <f>'DCF Guanacevi'!AE69+'DCF Bolanitos'!AE69+'DCF Terronera'!Z64</f>
        <v>0</v>
      </c>
      <c r="AG45" s="38">
        <f>'DCF Guanacevi'!AF69+'DCF Bolanitos'!AF69+'DCF Terronera'!AA64</f>
        <v>0</v>
      </c>
      <c r="AH45" s="38">
        <f>'DCF Guanacevi'!AG69+'DCF Bolanitos'!AG69+'DCF Terronera'!AB64</f>
        <v>0</v>
      </c>
      <c r="AI45" s="38">
        <f>'DCF Guanacevi'!AH69+'DCF Bolanitos'!AH69+'DCF Terronera'!AC64</f>
        <v>0</v>
      </c>
      <c r="AJ45" s="38">
        <f>'DCF Guanacevi'!AI69+'DCF Bolanitos'!AI69+'DCF Terronera'!AD64</f>
        <v>0</v>
      </c>
      <c r="AK45" s="38">
        <f>'DCF Guanacevi'!AJ69+'DCF Bolanitos'!AJ69+'DCF Terronera'!AE64</f>
        <v>0</v>
      </c>
      <c r="AL45" s="38">
        <f>'DCF Guanacevi'!AK69+'DCF Bolanitos'!AK69+'DCF Terronera'!AF64</f>
        <v>0</v>
      </c>
      <c r="AM45" s="38">
        <f>'DCF Guanacevi'!AL69+'DCF Bolanitos'!AL69+'DCF Terronera'!AG64</f>
        <v>0</v>
      </c>
      <c r="AN45" s="37"/>
    </row>
    <row r="46" spans="2:40" x14ac:dyDescent="0.25">
      <c r="B46" s="22" t="s">
        <v>84</v>
      </c>
      <c r="C46" t="s">
        <v>44</v>
      </c>
      <c r="F46" s="10">
        <f>'DCF Guanacevi'!E70+'DCF Bolanitos'!E70+1020000</f>
        <v>2473000</v>
      </c>
      <c r="G46" s="10">
        <f>'DCF Guanacevi'!F70+'DCF Bolanitos'!F70+1020000</f>
        <v>2087000</v>
      </c>
      <c r="H46" s="10">
        <f>'DCF Guanacevi'!G70+'DCF Bolanitos'!G70+4589000+1001000</f>
        <v>7231000</v>
      </c>
      <c r="I46" s="10">
        <f>'DCF Guanacevi'!H70+'DCF Bolanitos'!H70+5233000+516000</f>
        <v>11281000</v>
      </c>
      <c r="J46" s="10">
        <f>'DCF Guanacevi'!I70+'DCF Bolanitos'!I70+1356000+870000+217000</f>
        <v>9133000</v>
      </c>
      <c r="K46" s="10">
        <f>'DCF Guanacevi'!J70+'DCF Bolanitos'!J70+190000</f>
        <v>2398000</v>
      </c>
      <c r="L46" s="49">
        <f t="shared" si="39"/>
        <v>24771666.666666668</v>
      </c>
      <c r="M46" s="38">
        <f>'DCF Guanacevi'!L70+'DCF Bolanitos'!L70+190000</f>
        <v>2130000</v>
      </c>
      <c r="N46" s="38">
        <f>'DCF Guanacevi'!M70+'DCF Bolanitos'!M70+190000</f>
        <v>1990000</v>
      </c>
      <c r="O46" s="38">
        <f>'DCF Guanacevi'!N70+'DCF Bolanitos'!N70+190000</f>
        <v>1990000</v>
      </c>
      <c r="P46" s="38">
        <f>'DCF Guanacevi'!O70+'DCF Bolanitos'!O70+190000</f>
        <v>2018333.3333333335</v>
      </c>
      <c r="Q46" s="38">
        <f>'DCF Guanacevi'!P70+'DCF Bolanitos'!P70+190000</f>
        <v>5690000</v>
      </c>
      <c r="R46" s="38">
        <f>'DCF Guanacevi'!Q70+'DCF Bolanitos'!Q70</f>
        <v>7333333.333333334</v>
      </c>
      <c r="S46" s="38">
        <f>'DCF Guanacevi'!R70+'DCF Bolanitos'!R70</f>
        <v>3620000</v>
      </c>
      <c r="T46" s="38">
        <f>'DCF Guanacevi'!S70+'DCF Bolanitos'!S70</f>
        <v>0</v>
      </c>
      <c r="U46" s="38">
        <f>'DCF Guanacevi'!T70+'DCF Bolanitos'!T70</f>
        <v>0</v>
      </c>
      <c r="V46" s="38">
        <f>'DCF Guanacevi'!U70+'DCF Bolanitos'!U70</f>
        <v>0</v>
      </c>
      <c r="W46" s="38">
        <f>'DCF Guanacevi'!V70+'DCF Bolanitos'!V70</f>
        <v>0</v>
      </c>
      <c r="X46" s="38">
        <f>'DCF Guanacevi'!W70+'DCF Bolanitos'!W70</f>
        <v>0</v>
      </c>
      <c r="Y46" s="38">
        <f>'DCF Guanacevi'!X70+'DCF Bolanitos'!X70</f>
        <v>0</v>
      </c>
      <c r="Z46" s="38">
        <f>'DCF Guanacevi'!Y70+'DCF Bolanitos'!Y70</f>
        <v>0</v>
      </c>
      <c r="AA46" s="38">
        <f>'DCF Guanacevi'!Z70+'DCF Bolanitos'!Z70</f>
        <v>0</v>
      </c>
      <c r="AB46" s="38">
        <f>'DCF Guanacevi'!AA70+'DCF Bolanitos'!AA70</f>
        <v>0</v>
      </c>
      <c r="AC46" s="38">
        <f>'DCF Guanacevi'!AB70+'DCF Bolanitos'!AB70</f>
        <v>0</v>
      </c>
      <c r="AD46" s="38">
        <f>'DCF Guanacevi'!AC70+'DCF Bolanitos'!AC70</f>
        <v>0</v>
      </c>
      <c r="AE46" s="38">
        <f>'DCF Guanacevi'!AD70+'DCF Bolanitos'!AD70</f>
        <v>0</v>
      </c>
      <c r="AF46" s="38">
        <f>'DCF Guanacevi'!AE70+'DCF Bolanitos'!AE70</f>
        <v>0</v>
      </c>
      <c r="AG46" s="38">
        <f>'DCF Guanacevi'!AF70+'DCF Bolanitos'!AF70</f>
        <v>0</v>
      </c>
      <c r="AH46" s="38">
        <f>'DCF Guanacevi'!AG70+'DCF Bolanitos'!AG70</f>
        <v>0</v>
      </c>
      <c r="AI46" s="38">
        <f>'DCF Guanacevi'!AH70+'DCF Bolanitos'!AH70</f>
        <v>0</v>
      </c>
      <c r="AJ46" s="38">
        <f>'DCF Guanacevi'!AI70+'DCF Bolanitos'!AI70</f>
        <v>0</v>
      </c>
      <c r="AK46" s="38">
        <f>'DCF Guanacevi'!AJ70+'DCF Bolanitos'!AJ70</f>
        <v>0</v>
      </c>
      <c r="AL46" s="38">
        <f>'DCF Guanacevi'!AK70+'DCF Bolanitos'!AK70</f>
        <v>0</v>
      </c>
      <c r="AM46" s="38">
        <f>'DCF Guanacevi'!AL70+'DCF Bolanitos'!AL70</f>
        <v>0</v>
      </c>
      <c r="AN46" s="37"/>
    </row>
    <row r="47" spans="2:40" x14ac:dyDescent="0.25">
      <c r="B47" s="22" t="s">
        <v>85</v>
      </c>
      <c r="C47" t="s">
        <v>44</v>
      </c>
      <c r="F47" s="10">
        <f>16990000</f>
        <v>16990000</v>
      </c>
      <c r="G47" s="10">
        <f>38777000</f>
        <v>38777000</v>
      </c>
      <c r="H47" s="10">
        <f>32050000</f>
        <v>32050000</v>
      </c>
      <c r="I47" s="10">
        <f>28863000</f>
        <v>28863000</v>
      </c>
      <c r="J47" s="10">
        <f>24527000</f>
        <v>24527000</v>
      </c>
      <c r="K47" s="10">
        <f>6462000</f>
        <v>6462000</v>
      </c>
      <c r="L47" s="49">
        <f>SUM(M47:AM47)</f>
        <v>375909220.8475194</v>
      </c>
      <c r="M47" s="38">
        <f>'DCF Guanacevi'!L71+'DCF Bolanitos'!L71+'DCF Terronera'!G63</f>
        <v>8016997.0452131862</v>
      </c>
      <c r="N47" s="38">
        <f>'DCF Guanacevi'!M71+'DCF Bolanitos'!M71+'DCF Terronera'!H63</f>
        <v>8354272.0452131871</v>
      </c>
      <c r="O47" s="38">
        <f>'DCF Guanacevi'!N71+'DCF Bolanitos'!N71+'DCF Terronera'!I63</f>
        <v>8354272.0452131871</v>
      </c>
      <c r="P47" s="38">
        <f>'DCF Guanacevi'!O71+'DCF Bolanitos'!O71+'DCF Terronera'!J63</f>
        <v>8354272.0452131871</v>
      </c>
      <c r="Q47" s="38">
        <f>'DCF Guanacevi'!P71+'DCF Bolanitos'!P71+'DCF Terronera'!K63</f>
        <v>23932741</v>
      </c>
      <c r="R47" s="38">
        <f>'DCF Guanacevi'!Q71+'DCF Bolanitos'!Q71+'DCF Terronera'!L63</f>
        <v>91422333.333333328</v>
      </c>
      <c r="S47" s="38">
        <f>'DCF Guanacevi'!R71+'DCF Bolanitos'!R71+'DCF Terronera'!M63</f>
        <v>30721333.333333328</v>
      </c>
      <c r="T47" s="38">
        <f>'DCF Guanacevi'!S71+'DCF Bolanitos'!S71+'DCF Terronera'!N63</f>
        <v>30004333.333333328</v>
      </c>
      <c r="U47" s="38">
        <f>'DCF Guanacevi'!T71+'DCF Bolanitos'!T71+'DCF Terronera'!O63</f>
        <v>20891666.666666664</v>
      </c>
      <c r="V47" s="38">
        <f>'DCF Guanacevi'!U71+'DCF Bolanitos'!U71+'DCF Terronera'!P63</f>
        <v>22503333.333333328</v>
      </c>
      <c r="W47" s="38">
        <f>'DCF Guanacevi'!V71+'DCF Bolanitos'!V71+'DCF Terronera'!Q63</f>
        <v>20935000</v>
      </c>
      <c r="X47" s="38">
        <f>'DCF Guanacevi'!W71+'DCF Bolanitos'!W71+'DCF Terronera'!R63</f>
        <v>21387666.666666664</v>
      </c>
      <c r="Y47" s="38">
        <f>'DCF Guanacevi'!X71+'DCF Bolanitos'!X71+'DCF Terronera'!S63</f>
        <v>22001333.333333332</v>
      </c>
      <c r="Z47" s="38">
        <f>'DCF Guanacevi'!Y71+'DCF Bolanitos'!Y71+'DCF Terronera'!T63</f>
        <v>22237000</v>
      </c>
      <c r="AA47" s="38">
        <f>'DCF Guanacevi'!Z71+'DCF Bolanitos'!Z71+'DCF Terronera'!U63</f>
        <v>22624666.666666664</v>
      </c>
      <c r="AB47" s="38">
        <f>'DCF Guanacevi'!AA71+'DCF Bolanitos'!AA71+'DCF Terronera'!V63</f>
        <v>6933000</v>
      </c>
      <c r="AC47" s="38">
        <f>'DCF Guanacevi'!AB71+'DCF Bolanitos'!AB71+'DCF Terronera'!W63</f>
        <v>7235000</v>
      </c>
      <c r="AD47" s="38">
        <f>'DCF Guanacevi'!AC71+'DCF Bolanitos'!AC71+'DCF Terronera'!X63</f>
        <v>0</v>
      </c>
      <c r="AE47" s="38">
        <f>'DCF Guanacevi'!AD71+'DCF Bolanitos'!AD71+'DCF Terronera'!Y63</f>
        <v>0</v>
      </c>
      <c r="AF47" s="38">
        <f>'DCF Guanacevi'!AE71+'DCF Bolanitos'!AE71+'DCF Terronera'!Z63</f>
        <v>0</v>
      </c>
      <c r="AG47" s="38">
        <f>'DCF Guanacevi'!AF71+'DCF Bolanitos'!AF71+'DCF Terronera'!AA63</f>
        <v>0</v>
      </c>
      <c r="AH47" s="38">
        <f>'DCF Guanacevi'!AG71+'DCF Bolanitos'!AG71+'DCF Terronera'!AB63</f>
        <v>0</v>
      </c>
      <c r="AI47" s="38">
        <f>'DCF Guanacevi'!AH71+'DCF Bolanitos'!AH71+'DCF Terronera'!AC63</f>
        <v>0</v>
      </c>
      <c r="AJ47" s="38">
        <f>'DCF Guanacevi'!AI71+'DCF Bolanitos'!AI71+'DCF Terronera'!AD63</f>
        <v>0</v>
      </c>
      <c r="AK47" s="38">
        <f>'DCF Guanacevi'!AJ71+'DCF Bolanitos'!AJ71+'DCF Terronera'!AE63</f>
        <v>0</v>
      </c>
      <c r="AL47" s="38">
        <f>'DCF Guanacevi'!AK71+'DCF Bolanitos'!AK71+'DCF Terronera'!AF63</f>
        <v>0</v>
      </c>
      <c r="AM47" s="38">
        <f>'DCF Guanacevi'!AL71+'DCF Bolanitos'!AL71+'DCF Terronera'!AG63</f>
        <v>0</v>
      </c>
      <c r="AN47" s="37"/>
    </row>
    <row r="48" spans="2:40" x14ac:dyDescent="0.25">
      <c r="B48" s="3" t="s">
        <v>173</v>
      </c>
      <c r="C48" t="s">
        <v>44</v>
      </c>
      <c r="F48" s="34">
        <v>7667000</v>
      </c>
      <c r="G48" s="34">
        <v>-17501000</v>
      </c>
      <c r="H48" s="34">
        <v>-43931000</v>
      </c>
      <c r="I48" s="34">
        <v>-793000</v>
      </c>
      <c r="J48" s="34">
        <v>29688000</v>
      </c>
      <c r="K48" s="34">
        <v>12566000</v>
      </c>
      <c r="L48" s="49">
        <f>SUM(M48:AM48)</f>
        <v>857763505.61825454</v>
      </c>
      <c r="M48" s="49">
        <f>M36-M40*M41-SUM(M44:M47)</f>
        <v>1038894.2610408962</v>
      </c>
      <c r="N48" s="49">
        <f t="shared" ref="N48:AM48" si="40">N36-N40*N41-SUM(N44:N47)</f>
        <v>256445.48268879019</v>
      </c>
      <c r="O48" s="49">
        <f t="shared" si="40"/>
        <v>1237202.4782423209</v>
      </c>
      <c r="P48" s="49">
        <f t="shared" si="40"/>
        <v>8699374.7021317557</v>
      </c>
      <c r="Q48" s="49">
        <f t="shared" si="40"/>
        <v>83993081.800856799</v>
      </c>
      <c r="R48" s="49">
        <f t="shared" si="40"/>
        <v>130521536.23737955</v>
      </c>
      <c r="S48" s="49">
        <f t="shared" si="40"/>
        <v>95595070.655914307</v>
      </c>
      <c r="T48" s="49">
        <f t="shared" si="40"/>
        <v>75847466.666666672</v>
      </c>
      <c r="U48" s="49">
        <f t="shared" si="40"/>
        <v>75190133.333333343</v>
      </c>
      <c r="V48" s="49">
        <f t="shared" si="40"/>
        <v>56670866.666666672</v>
      </c>
      <c r="W48" s="49">
        <f t="shared" si="40"/>
        <v>51025900</v>
      </c>
      <c r="X48" s="49">
        <f t="shared" si="40"/>
        <v>59055233.333333336</v>
      </c>
      <c r="Y48" s="49">
        <f t="shared" si="40"/>
        <v>48926866.666666672</v>
      </c>
      <c r="Z48" s="49">
        <f t="shared" si="40"/>
        <v>43894900</v>
      </c>
      <c r="AA48" s="49">
        <f t="shared" si="40"/>
        <v>38661233.333333336</v>
      </c>
      <c r="AB48" s="49">
        <f t="shared" si="40"/>
        <v>55353500</v>
      </c>
      <c r="AC48" s="49">
        <f t="shared" si="40"/>
        <v>31795800</v>
      </c>
      <c r="AD48" s="49">
        <f t="shared" si="40"/>
        <v>0</v>
      </c>
      <c r="AE48" s="49">
        <f t="shared" si="40"/>
        <v>0</v>
      </c>
      <c r="AF48" s="49">
        <f t="shared" si="40"/>
        <v>0</v>
      </c>
      <c r="AG48" s="49">
        <f t="shared" si="40"/>
        <v>0</v>
      </c>
      <c r="AH48" s="49">
        <f t="shared" si="40"/>
        <v>0</v>
      </c>
      <c r="AI48" s="49">
        <f t="shared" si="40"/>
        <v>0</v>
      </c>
      <c r="AJ48" s="49">
        <f t="shared" si="40"/>
        <v>0</v>
      </c>
      <c r="AK48" s="49">
        <f t="shared" si="40"/>
        <v>0</v>
      </c>
      <c r="AL48" s="49">
        <f t="shared" si="40"/>
        <v>0</v>
      </c>
      <c r="AM48" s="49">
        <f t="shared" si="40"/>
        <v>0</v>
      </c>
      <c r="AN48" s="37"/>
    </row>
    <row r="49" spans="2:40" x14ac:dyDescent="0.25">
      <c r="L49" s="51"/>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row>
    <row r="50" spans="2:40" ht="15.75" thickBot="1" x14ac:dyDescent="0.3">
      <c r="B50" s="7" t="s">
        <v>174</v>
      </c>
      <c r="L50" s="51"/>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row>
    <row r="51" spans="2:40" x14ac:dyDescent="0.25">
      <c r="B51" t="s">
        <v>175</v>
      </c>
      <c r="C51" t="s">
        <v>44</v>
      </c>
      <c r="F51" s="10">
        <f>1740000+844000</f>
        <v>2584000</v>
      </c>
      <c r="G51" s="10">
        <f>1653000+1850000</f>
        <v>3503000</v>
      </c>
      <c r="H51" s="10">
        <f>2034000</f>
        <v>2034000</v>
      </c>
      <c r="I51" s="10">
        <f>8154000+1989000</f>
        <v>10143000</v>
      </c>
      <c r="J51" s="10">
        <f>13780000+2727000</f>
        <v>16507000</v>
      </c>
      <c r="K51" s="10">
        <f>4317000+975000</f>
        <v>5292000</v>
      </c>
      <c r="L51" s="49">
        <f>SUM(M51:AM51)</f>
        <v>198853828.75940323</v>
      </c>
      <c r="M51" s="38">
        <f>SUM('DCF Guanacevi'!L76:L78)+SUM('DCF Bolanitos'!L76:L77)+SUM('DCF Terronera'!G77:G79)</f>
        <v>4966154.3575178487</v>
      </c>
      <c r="N51" s="38">
        <f>SUM('DCF Guanacevi'!M76:M78)+SUM('DCF Bolanitos'!M76:M77)+SUM('DCF Terronera'!H77:H79)</f>
        <v>4962124.8447075738</v>
      </c>
      <c r="O51" s="38">
        <f>SUM('DCF Guanacevi'!N76:N78)+SUM('DCF Bolanitos'!N76:N77)+SUM('DCF Terronera'!I77:I79)</f>
        <v>5151336.3470196789</v>
      </c>
      <c r="P51" s="38">
        <f>SUM('DCF Guanacevi'!O76:O78)+SUM('DCF Bolanitos'!O76:O77)+SUM('DCF Terronera'!J77:J79)</f>
        <v>5919603.7521049744</v>
      </c>
      <c r="Q51" s="38">
        <f>SUM('DCF Guanacevi'!P76:P78)+SUM('DCF Bolanitos'!P76:P77)+SUM('DCF Terronera'!K77:K79)</f>
        <v>23529987.963556837</v>
      </c>
      <c r="R51" s="38">
        <f>SUM('DCF Guanacevi'!Q76:Q78)+SUM('DCF Bolanitos'!Q76:Q77)+SUM('DCF Terronera'!L77:L79)</f>
        <v>41162812.537745461</v>
      </c>
      <c r="S51" s="38">
        <f>SUM('DCF Guanacevi'!R76:R78)+SUM('DCF Bolanitos'!R76:R77)+SUM('DCF Terronera'!M77:M79)</f>
        <v>28839786.456750851</v>
      </c>
      <c r="T51" s="38">
        <f>SUM('DCF Guanacevi'!S76:S78)+SUM('DCF Bolanitos'!S76:S77)+SUM('DCF Terronera'!N77:N79)</f>
        <v>11831619</v>
      </c>
      <c r="U51" s="38">
        <f>SUM('DCF Guanacevi'!T76:T78)+SUM('DCF Bolanitos'!T76:T77)+SUM('DCF Terronera'!O77:O79)</f>
        <v>10982593</v>
      </c>
      <c r="V51" s="38">
        <f>SUM('DCF Guanacevi'!U76:U78)+SUM('DCF Bolanitos'!U76:U77)+SUM('DCF Terronera'!P77:P79)</f>
        <v>9314317</v>
      </c>
      <c r="W51" s="38">
        <f>SUM('DCF Guanacevi'!V76:V78)+SUM('DCF Bolanitos'!V76:V77)+SUM('DCF Terronera'!Q77:Q79)</f>
        <v>8570970.5</v>
      </c>
      <c r="X51" s="38">
        <f>SUM('DCF Guanacevi'!W76:W78)+SUM('DCF Bolanitos'!W76:W77)+SUM('DCF Terronera'!R77:R79)</f>
        <v>9110884.5</v>
      </c>
      <c r="Y51" s="38">
        <f>SUM('DCF Guanacevi'!X76:X78)+SUM('DCF Bolanitos'!X76:X77)+SUM('DCF Terronera'!S77:S79)</f>
        <v>8088349</v>
      </c>
      <c r="Z51" s="38">
        <f>SUM('DCF Guanacevi'!Y76:Y78)+SUM('DCF Bolanitos'!Y76:Y77)+SUM('DCF Terronera'!T77:T79)</f>
        <v>7630812.5</v>
      </c>
      <c r="AA51" s="38">
        <f>SUM('DCF Guanacevi'!Z76:Z78)+SUM('DCF Bolanitos'!Z76:Z77)+SUM('DCF Terronera'!U77:U79)</f>
        <v>7078452.5</v>
      </c>
      <c r="AB51" s="38">
        <f>SUM('DCF Guanacevi'!AA76:AA78)+SUM('DCF Bolanitos'!AA76:AA77)+SUM('DCF Terronera'!V77:V79)</f>
        <v>7173771.5</v>
      </c>
      <c r="AC51" s="38">
        <f>SUM('DCF Guanacevi'!AB76:AB78)+SUM('DCF Bolanitos'!AB76:AB77)+SUM('DCF Terronera'!W77:W79)</f>
        <v>4540253</v>
      </c>
      <c r="AD51" s="38">
        <f>SUM('DCF Guanacevi'!AC76:AC78)+SUM('DCF Bolanitos'!AC76:AC77)+SUM('DCF Terronera'!X77:X79)</f>
        <v>0</v>
      </c>
      <c r="AE51" s="38">
        <f>SUM('DCF Guanacevi'!AD76:AD78)+SUM('DCF Bolanitos'!AD76:AD77)+SUM('DCF Terronera'!Y77:Y79)</f>
        <v>0</v>
      </c>
      <c r="AF51" s="38">
        <f>SUM('DCF Guanacevi'!AE76:AE78)+SUM('DCF Bolanitos'!AE76:AE77)+SUM('DCF Terronera'!Z77:Z79)</f>
        <v>0</v>
      </c>
      <c r="AG51" s="38">
        <f>SUM('DCF Guanacevi'!AF76:AF78)+SUM('DCF Bolanitos'!AF76:AF77)+SUM('DCF Terronera'!AA77:AA79)</f>
        <v>0</v>
      </c>
      <c r="AH51" s="38">
        <f>SUM('DCF Guanacevi'!AG76:AG78)+SUM('DCF Bolanitos'!AG76:AG77)+SUM('DCF Terronera'!AB77:AB79)</f>
        <v>0</v>
      </c>
      <c r="AI51" s="38">
        <f>SUM('DCF Guanacevi'!AH76:AH78)+SUM('DCF Bolanitos'!AH76:AH77)+SUM('DCF Terronera'!AC77:AC79)</f>
        <v>0</v>
      </c>
      <c r="AJ51" s="38">
        <f>SUM('DCF Guanacevi'!AI76:AI78)+SUM('DCF Bolanitos'!AI76:AI77)+SUM('DCF Terronera'!AD77:AD79)</f>
        <v>0</v>
      </c>
      <c r="AK51" s="38">
        <f>SUM('DCF Guanacevi'!AJ76:AJ78)+SUM('DCF Bolanitos'!AJ76:AJ77)+SUM('DCF Terronera'!AE77:AE79)</f>
        <v>0</v>
      </c>
      <c r="AL51" s="38">
        <f>SUM('DCF Guanacevi'!AK76:AK78)+SUM('DCF Bolanitos'!AK76:AK77)+SUM('DCF Terronera'!AF77:AF79)</f>
        <v>0</v>
      </c>
      <c r="AM51" s="38">
        <f>SUM('DCF Guanacevi'!AL76:AL78)+SUM('DCF Bolanitos'!AL76:AL77)+SUM('DCF Terronera'!AG77:AG79)</f>
        <v>0</v>
      </c>
      <c r="AN51" s="37"/>
    </row>
    <row r="52" spans="2:40" x14ac:dyDescent="0.25">
      <c r="B52" s="24" t="s">
        <v>49</v>
      </c>
      <c r="C52" t="s">
        <v>44</v>
      </c>
      <c r="F52" s="10">
        <v>7887000</v>
      </c>
      <c r="G52" s="10">
        <v>-17711000</v>
      </c>
      <c r="H52" s="10">
        <v>-44004000</v>
      </c>
      <c r="I52" s="10">
        <v>-1054000</v>
      </c>
      <c r="J52" s="10">
        <v>29688000</v>
      </c>
      <c r="K52" s="10">
        <v>18899000</v>
      </c>
      <c r="L52" s="49">
        <f>SUM(M52:AM52)</f>
        <v>658909676.85885131</v>
      </c>
      <c r="M52" s="38">
        <f>M48-M51</f>
        <v>-3927260.0964769525</v>
      </c>
      <c r="N52" s="38">
        <f t="shared" ref="N52:AM52" si="41">N48-N51</f>
        <v>-4705679.3620187836</v>
      </c>
      <c r="O52" s="38">
        <f t="shared" si="41"/>
        <v>-3914133.868777358</v>
      </c>
      <c r="P52" s="38">
        <f t="shared" si="41"/>
        <v>2779770.9500267813</v>
      </c>
      <c r="Q52" s="38">
        <f t="shared" si="41"/>
        <v>60463093.837299958</v>
      </c>
      <c r="R52" s="38">
        <f t="shared" si="41"/>
        <v>89358723.69963409</v>
      </c>
      <c r="S52" s="38">
        <f t="shared" si="41"/>
        <v>66755284.199163452</v>
      </c>
      <c r="T52" s="38">
        <f t="shared" si="41"/>
        <v>64015847.666666672</v>
      </c>
      <c r="U52" s="38">
        <f t="shared" si="41"/>
        <v>64207540.333333343</v>
      </c>
      <c r="V52" s="38">
        <f t="shared" si="41"/>
        <v>47356549.666666672</v>
      </c>
      <c r="W52" s="38">
        <f t="shared" si="41"/>
        <v>42454929.5</v>
      </c>
      <c r="X52" s="38">
        <f t="shared" si="41"/>
        <v>49944348.833333336</v>
      </c>
      <c r="Y52" s="38">
        <f t="shared" si="41"/>
        <v>40838517.666666672</v>
      </c>
      <c r="Z52" s="38">
        <f t="shared" si="41"/>
        <v>36264087.5</v>
      </c>
      <c r="AA52" s="38">
        <f t="shared" si="41"/>
        <v>31582780.833333336</v>
      </c>
      <c r="AB52" s="38">
        <f t="shared" si="41"/>
        <v>48179728.5</v>
      </c>
      <c r="AC52" s="38">
        <f t="shared" si="41"/>
        <v>27255547</v>
      </c>
      <c r="AD52" s="38">
        <f t="shared" si="41"/>
        <v>0</v>
      </c>
      <c r="AE52" s="38">
        <f t="shared" si="41"/>
        <v>0</v>
      </c>
      <c r="AF52" s="38">
        <f t="shared" si="41"/>
        <v>0</v>
      </c>
      <c r="AG52" s="38">
        <f t="shared" si="41"/>
        <v>0</v>
      </c>
      <c r="AH52" s="38">
        <f t="shared" si="41"/>
        <v>0</v>
      </c>
      <c r="AI52" s="38">
        <f t="shared" si="41"/>
        <v>0</v>
      </c>
      <c r="AJ52" s="38">
        <f t="shared" si="41"/>
        <v>0</v>
      </c>
      <c r="AK52" s="38">
        <f t="shared" si="41"/>
        <v>0</v>
      </c>
      <c r="AL52" s="38">
        <f t="shared" si="41"/>
        <v>0</v>
      </c>
      <c r="AM52" s="38">
        <f t="shared" si="41"/>
        <v>0</v>
      </c>
      <c r="AN52" s="37"/>
    </row>
    <row r="53" spans="2:40" x14ac:dyDescent="0.25">
      <c r="B53" s="24" t="s">
        <v>145</v>
      </c>
      <c r="C53" t="s">
        <v>22</v>
      </c>
      <c r="F53" s="16"/>
      <c r="G53" s="16"/>
      <c r="H53" s="16"/>
      <c r="I53" s="16"/>
      <c r="J53" s="16">
        <f>(J52-J55)/J52</f>
        <v>0.52994475882511449</v>
      </c>
      <c r="K53" s="16">
        <f>(K52-K55)/K52</f>
        <v>0.38293031377321551</v>
      </c>
      <c r="L53" s="54">
        <f>AVERAGEIF(M53:AM53,"&gt;0")</f>
        <v>0.29999999999999993</v>
      </c>
      <c r="M53" s="45">
        <f>IF('DCF Guanacevi'!L81+'DCF Bolanitos'!L80+'DCF Terronera'!G82=0,0,IF(AND('DCF Guanacevi'!L81&gt;=0,'DCF Bolanitos'!L80&gt;=0,'DCF Terronera'!G82&gt;=0),('DCF Guanacevi'!L81*'DCF Guanacevi'!L82+'DCF Bolanitos'!L80*'DCF Bolanitos'!L81+'DCF Terronera'!G82*'DCF Terronera'!G84)/('DCF Guanacevi'!L81+'DCF Bolanitos'!L80+'DCF Terronera'!G82),IF(AND('DCF Guanacevi'!L81&gt;=0,'DCF Bolanitos'!L80&gt;=0),('DCF Guanacevi'!L81*'DCF Guanacevi'!L82+'DCF Bolanitos'!L80*'DCF Bolanitos'!L81)/('DCF Guanacevi'!L81+'DCF Bolanitos'!L80),IF(AND('DCF Bolanitos'!L80&gt;=0,'DCF Terronera'!G82&gt;=0),('DCF Bolanitos'!L80*'DCF Bolanitos'!L81+'DCF Terronera'!G82*'DCF Terronera'!G84)/('DCF Bolanitos'!L80+'DCF Terronera'!G82),IF(AND('DCF Guanacevi'!L81&gt;=0,'DCF Terronera'!G82&gt;=0),('DCF Guanacevi'!L81*'DCF Guanacevi'!L82+'DCF Terronera'!G82*'DCF Terronera'!G84)/('DCF Guanacevi'!L81+'DCF Terronera'!G82),IF('DCF Guanacevi'!L81&gt;=0,'DCF Guanacevi'!L82,IF('DCF Bolanitos'!L80&gt;=0,'DCF Bolanitos'!L81,IF('DCF Terronera'!G82&gt;=0,'DCF Terronera'!G84,0))))))))</f>
        <v>0.3</v>
      </c>
      <c r="N53" s="45">
        <f>IF('DCF Guanacevi'!M81+'DCF Bolanitos'!M80+'DCF Terronera'!H82=0,0,IF(AND('DCF Guanacevi'!M81&gt;=0,'DCF Bolanitos'!M80&gt;=0,'DCF Terronera'!H82&gt;=0),('DCF Guanacevi'!M81*'DCF Guanacevi'!M82+'DCF Bolanitos'!M80*'DCF Bolanitos'!M81+'DCF Terronera'!H82*'DCF Terronera'!H84)/('DCF Guanacevi'!M81+'DCF Bolanitos'!M80+'DCF Terronera'!H82),IF(AND('DCF Guanacevi'!M81&gt;=0,'DCF Bolanitos'!M80&gt;=0),('DCF Guanacevi'!M81*'DCF Guanacevi'!M82+'DCF Bolanitos'!M80*'DCF Bolanitos'!M81)/('DCF Guanacevi'!M81+'DCF Bolanitos'!M80),IF(AND('DCF Bolanitos'!M80&gt;=0,'DCF Terronera'!H82&gt;=0),('DCF Bolanitos'!M80*'DCF Bolanitos'!M81+'DCF Terronera'!H82*'DCF Terronera'!H84)/('DCF Bolanitos'!M80+'DCF Terronera'!H82),IF(AND('DCF Guanacevi'!M81&gt;=0,'DCF Terronera'!H82&gt;=0),('DCF Guanacevi'!M81*'DCF Guanacevi'!M82+'DCF Terronera'!H82*'DCF Terronera'!H84)/('DCF Guanacevi'!M81+'DCF Terronera'!H82),IF('DCF Guanacevi'!M81&gt;=0,'DCF Guanacevi'!M82,IF('DCF Bolanitos'!M80&gt;=0,'DCF Bolanitos'!M81,IF('DCF Terronera'!H82&gt;=0,'DCF Terronera'!H84,0))))))))</f>
        <v>0</v>
      </c>
      <c r="O53" s="45">
        <f>IF('DCF Guanacevi'!N81+'DCF Bolanitos'!N80+'DCF Terronera'!I82=0,0,IF(AND('DCF Guanacevi'!N81&gt;=0,'DCF Bolanitos'!N80&gt;=0,'DCF Terronera'!I82&gt;=0),('DCF Guanacevi'!N81*'DCF Guanacevi'!N82+'DCF Bolanitos'!N80*'DCF Bolanitos'!N81+'DCF Terronera'!I82*'DCF Terronera'!I84)/('DCF Guanacevi'!N81+'DCF Bolanitos'!N80+'DCF Terronera'!I82),IF(AND('DCF Guanacevi'!N81&gt;=0,'DCF Bolanitos'!N80&gt;=0),('DCF Guanacevi'!N81*'DCF Guanacevi'!N82+'DCF Bolanitos'!N80*'DCF Bolanitos'!N81)/('DCF Guanacevi'!N81+'DCF Bolanitos'!N80),IF(AND('DCF Bolanitos'!N80&gt;=0,'DCF Terronera'!I82&gt;=0),('DCF Bolanitos'!N80*'DCF Bolanitos'!N81+'DCF Terronera'!I82*'DCF Terronera'!I84)/('DCF Bolanitos'!N80+'DCF Terronera'!I82),IF(AND('DCF Guanacevi'!N81&gt;=0,'DCF Terronera'!I82&gt;=0),('DCF Guanacevi'!N81*'DCF Guanacevi'!N82+'DCF Terronera'!I82*'DCF Terronera'!I84)/('DCF Guanacevi'!N81+'DCF Terronera'!I82),IF('DCF Guanacevi'!N81&gt;=0,'DCF Guanacevi'!N82,IF('DCF Bolanitos'!N80&gt;=0,'DCF Bolanitos'!N81,IF('DCF Terronera'!I82&gt;=0,'DCF Terronera'!I84,0))))))))</f>
        <v>0.3</v>
      </c>
      <c r="P53" s="45">
        <f>IF('DCF Guanacevi'!O81+'DCF Bolanitos'!O80+'DCF Terronera'!J82=0,0,IF(AND('DCF Guanacevi'!O81&gt;=0,'DCF Bolanitos'!O80&gt;=0,'DCF Terronera'!J82&gt;=0),('DCF Guanacevi'!O81*'DCF Guanacevi'!O82+'DCF Bolanitos'!O80*'DCF Bolanitos'!O81+'DCF Terronera'!J82*'DCF Terronera'!J84)/('DCF Guanacevi'!O81+'DCF Bolanitos'!O80+'DCF Terronera'!J82),IF(AND('DCF Guanacevi'!O81&gt;=0,'DCF Bolanitos'!O80&gt;=0),('DCF Guanacevi'!O81*'DCF Guanacevi'!O82+'DCF Bolanitos'!O80*'DCF Bolanitos'!O81)/('DCF Guanacevi'!O81+'DCF Bolanitos'!O80),IF(AND('DCF Bolanitos'!O80&gt;=0,'DCF Terronera'!J82&gt;=0),('DCF Bolanitos'!O80*'DCF Bolanitos'!O81+'DCF Terronera'!J82*'DCF Terronera'!J84)/('DCF Bolanitos'!O80+'DCF Terronera'!J82),IF(AND('DCF Guanacevi'!O81&gt;=0,'DCF Terronera'!J82&gt;=0),('DCF Guanacevi'!O81*'DCF Guanacevi'!O82+'DCF Terronera'!J82*'DCF Terronera'!J84)/('DCF Guanacevi'!O81+'DCF Terronera'!J82),IF('DCF Guanacevi'!O81&gt;=0,'DCF Guanacevi'!O82,IF('DCF Bolanitos'!O80&gt;=0,'DCF Bolanitos'!O81,IF('DCF Terronera'!J82&gt;=0,'DCF Terronera'!J84,0))))))))</f>
        <v>0.3</v>
      </c>
      <c r="Q53" s="45">
        <f>IF('DCF Guanacevi'!P81+'DCF Bolanitos'!P80+'DCF Terronera'!K82=0,0,IF(AND('DCF Guanacevi'!P81&gt;=0,'DCF Bolanitos'!P80&gt;=0,'DCF Terronera'!K82&gt;=0),('DCF Guanacevi'!P81*'DCF Guanacevi'!P82+'DCF Bolanitos'!P80*'DCF Bolanitos'!P81+'DCF Terronera'!K82*'DCF Terronera'!K84)/('DCF Guanacevi'!P81+'DCF Bolanitos'!P80+'DCF Terronera'!K82),IF(AND('DCF Guanacevi'!P81&gt;=0,'DCF Bolanitos'!P80&gt;=0),('DCF Guanacevi'!P81*'DCF Guanacevi'!P82+'DCF Bolanitos'!P80*'DCF Bolanitos'!P81)/('DCF Guanacevi'!P81+'DCF Bolanitos'!P80),IF(AND('DCF Bolanitos'!P80&gt;=0,'DCF Terronera'!K82&gt;=0),('DCF Bolanitos'!P80*'DCF Bolanitos'!P81+'DCF Terronera'!K82*'DCF Terronera'!K84)/('DCF Bolanitos'!P80+'DCF Terronera'!K82),IF(AND('DCF Guanacevi'!P81&gt;=0,'DCF Terronera'!K82&gt;=0),('DCF Guanacevi'!P81*'DCF Guanacevi'!P82+'DCF Terronera'!K82*'DCF Terronera'!K84)/('DCF Guanacevi'!P81+'DCF Terronera'!K82),IF('DCF Guanacevi'!P81&gt;=0,'DCF Guanacevi'!P82,IF('DCF Bolanitos'!P80&gt;=0,'DCF Bolanitos'!P81,IF('DCF Terronera'!K82&gt;=0,'DCF Terronera'!K84,0))))))))</f>
        <v>0.3</v>
      </c>
      <c r="R53" s="45">
        <f>IF('DCF Guanacevi'!Q81+'DCF Bolanitos'!Q80+'DCF Terronera'!L82=0,0,IF(AND('DCF Guanacevi'!Q81&gt;=0,'DCF Bolanitos'!Q80&gt;=0,'DCF Terronera'!L82&gt;=0),('DCF Guanacevi'!Q81*'DCF Guanacevi'!Q82+'DCF Bolanitos'!Q80*'DCF Bolanitos'!Q81+'DCF Terronera'!L82*'DCF Terronera'!L84)/('DCF Guanacevi'!Q81+'DCF Bolanitos'!Q80+'DCF Terronera'!L82),IF(AND('DCF Guanacevi'!Q81&gt;=0,'DCF Bolanitos'!Q80&gt;=0),('DCF Guanacevi'!Q81*'DCF Guanacevi'!Q82+'DCF Bolanitos'!Q80*'DCF Bolanitos'!Q81)/('DCF Guanacevi'!Q81+'DCF Bolanitos'!Q80),IF(AND('DCF Bolanitos'!Q80&gt;=0,'DCF Terronera'!L82&gt;=0),('DCF Bolanitos'!Q80*'DCF Bolanitos'!Q81+'DCF Terronera'!L82*'DCF Terronera'!L84)/('DCF Bolanitos'!Q80+'DCF Terronera'!L82),IF(AND('DCF Guanacevi'!Q81&gt;=0,'DCF Terronera'!L82&gt;=0),('DCF Guanacevi'!Q81*'DCF Guanacevi'!Q82+'DCF Terronera'!L82*'DCF Terronera'!L84)/('DCF Guanacevi'!Q81+'DCF Terronera'!L82),IF('DCF Guanacevi'!Q81&gt;=0,'DCF Guanacevi'!Q82,IF('DCF Bolanitos'!Q80&gt;=0,'DCF Bolanitos'!Q81,IF('DCF Terronera'!L82&gt;=0,'DCF Terronera'!L84,0))))))))</f>
        <v>0.30000000000000004</v>
      </c>
      <c r="S53" s="45">
        <f>IF('DCF Guanacevi'!R81+'DCF Bolanitos'!R80+'DCF Terronera'!M82=0,0,IF(AND('DCF Guanacevi'!R81&gt;=0,'DCF Bolanitos'!R80&gt;=0,'DCF Terronera'!M82&gt;=0),('DCF Guanacevi'!R81*'DCF Guanacevi'!R82+'DCF Bolanitos'!R80*'DCF Bolanitos'!R81+'DCF Terronera'!M82*'DCF Terronera'!M84)/('DCF Guanacevi'!R81+'DCF Bolanitos'!R80+'DCF Terronera'!M82),IF(AND('DCF Guanacevi'!R81&gt;=0,'DCF Bolanitos'!R80&gt;=0),('DCF Guanacevi'!R81*'DCF Guanacevi'!R82+'DCF Bolanitos'!R80*'DCF Bolanitos'!R81)/('DCF Guanacevi'!R81+'DCF Bolanitos'!R80),IF(AND('DCF Bolanitos'!R80&gt;=0,'DCF Terronera'!M82&gt;=0),('DCF Bolanitos'!R80*'DCF Bolanitos'!R81+'DCF Terronera'!M82*'DCF Terronera'!M84)/('DCF Bolanitos'!R80+'DCF Terronera'!M82),IF(AND('DCF Guanacevi'!R81&gt;=0,'DCF Terronera'!M82&gt;=0),('DCF Guanacevi'!R81*'DCF Guanacevi'!R82+'DCF Terronera'!M82*'DCF Terronera'!M84)/('DCF Guanacevi'!R81+'DCF Terronera'!M82),IF('DCF Guanacevi'!R81&gt;=0,'DCF Guanacevi'!R82,IF('DCF Bolanitos'!R80&gt;=0,'DCF Bolanitos'!R81,IF('DCF Terronera'!M82&gt;=0,'DCF Terronera'!M84,0))))))))</f>
        <v>0.3</v>
      </c>
      <c r="T53" s="45">
        <f>IF('DCF Guanacevi'!S81+'DCF Bolanitos'!S80+'DCF Terronera'!N82=0,0,IF(AND('DCF Guanacevi'!S81&gt;=0,'DCF Bolanitos'!S80&gt;=0,'DCF Terronera'!N82&gt;=0),('DCF Guanacevi'!S81*'DCF Guanacevi'!S82+'DCF Bolanitos'!S80*'DCF Bolanitos'!S81+'DCF Terronera'!N82*'DCF Terronera'!N84)/('DCF Guanacevi'!S81+'DCF Bolanitos'!S80+'DCF Terronera'!N82),IF(AND('DCF Guanacevi'!S81&gt;=0,'DCF Bolanitos'!S80&gt;=0),('DCF Guanacevi'!S81*'DCF Guanacevi'!S82+'DCF Bolanitos'!S80*'DCF Bolanitos'!S81)/('DCF Guanacevi'!S81+'DCF Bolanitos'!S80),IF(AND('DCF Bolanitos'!S80&gt;=0,'DCF Terronera'!N82&gt;=0),('DCF Bolanitos'!S80*'DCF Bolanitos'!S81+'DCF Terronera'!N82*'DCF Terronera'!N84)/('DCF Bolanitos'!S80+'DCF Terronera'!N82),IF(AND('DCF Guanacevi'!S81&gt;=0,'DCF Terronera'!N82&gt;=0),('DCF Guanacevi'!S81*'DCF Guanacevi'!S82+'DCF Terronera'!N82*'DCF Terronera'!N84)/('DCF Guanacevi'!S81+'DCF Terronera'!N82),IF('DCF Guanacevi'!S81&gt;=0,'DCF Guanacevi'!S82,IF('DCF Bolanitos'!S80&gt;=0,'DCF Bolanitos'!S81,IF('DCF Terronera'!N82&gt;=0,'DCF Terronera'!N84,0))))))))</f>
        <v>0.3</v>
      </c>
      <c r="U53" s="45">
        <f>IF('DCF Guanacevi'!T81+'DCF Bolanitos'!T80+'DCF Terronera'!O82=0,0,IF(AND('DCF Guanacevi'!T81&gt;=0,'DCF Bolanitos'!T80&gt;=0,'DCF Terronera'!O82&gt;=0),('DCF Guanacevi'!T81*'DCF Guanacevi'!T82+'DCF Bolanitos'!T80*'DCF Bolanitos'!T81+'DCF Terronera'!O82*'DCF Terronera'!O84)/('DCF Guanacevi'!T81+'DCF Bolanitos'!T80+'DCF Terronera'!O82),IF(AND('DCF Guanacevi'!T81&gt;=0,'DCF Bolanitos'!T80&gt;=0),('DCF Guanacevi'!T81*'DCF Guanacevi'!T82+'DCF Bolanitos'!T80*'DCF Bolanitos'!T81)/('DCF Guanacevi'!T81+'DCF Bolanitos'!T80),IF(AND('DCF Bolanitos'!T80&gt;=0,'DCF Terronera'!O82&gt;=0),('DCF Bolanitos'!T80*'DCF Bolanitos'!T81+'DCF Terronera'!O82*'DCF Terronera'!O84)/('DCF Bolanitos'!T80+'DCF Terronera'!O82),IF(AND('DCF Guanacevi'!T81&gt;=0,'DCF Terronera'!O82&gt;=0),('DCF Guanacevi'!T81*'DCF Guanacevi'!T82+'DCF Terronera'!O82*'DCF Terronera'!O84)/('DCF Guanacevi'!T81+'DCF Terronera'!O82),IF('DCF Guanacevi'!T81&gt;=0,'DCF Guanacevi'!T82,IF('DCF Bolanitos'!T80&gt;=0,'DCF Bolanitos'!T81,IF('DCF Terronera'!O82&gt;=0,'DCF Terronera'!O84,0))))))))</f>
        <v>0.3</v>
      </c>
      <c r="V53" s="45">
        <f>IF('DCF Guanacevi'!U81+'DCF Bolanitos'!U80+'DCF Terronera'!P82=0,0,IF(AND('DCF Guanacevi'!U81&gt;=0,'DCF Bolanitos'!U80&gt;=0,'DCF Terronera'!P82&gt;=0),('DCF Guanacevi'!U81*'DCF Guanacevi'!U82+'DCF Bolanitos'!U80*'DCF Bolanitos'!U81+'DCF Terronera'!P82*'DCF Terronera'!P84)/('DCF Guanacevi'!U81+'DCF Bolanitos'!U80+'DCF Terronera'!P82),IF(AND('DCF Guanacevi'!U81&gt;=0,'DCF Bolanitos'!U80&gt;=0),('DCF Guanacevi'!U81*'DCF Guanacevi'!U82+'DCF Bolanitos'!U80*'DCF Bolanitos'!U81)/('DCF Guanacevi'!U81+'DCF Bolanitos'!U80),IF(AND('DCF Bolanitos'!U80&gt;=0,'DCF Terronera'!P82&gt;=0),('DCF Bolanitos'!U80*'DCF Bolanitos'!U81+'DCF Terronera'!P82*'DCF Terronera'!P84)/('DCF Bolanitos'!U80+'DCF Terronera'!P82),IF(AND('DCF Guanacevi'!U81&gt;=0,'DCF Terronera'!P82&gt;=0),('DCF Guanacevi'!U81*'DCF Guanacevi'!U82+'DCF Terronera'!P82*'DCF Terronera'!P84)/('DCF Guanacevi'!U81+'DCF Terronera'!P82),IF('DCF Guanacevi'!U81&gt;=0,'DCF Guanacevi'!U82,IF('DCF Bolanitos'!U80&gt;=0,'DCF Bolanitos'!U81,IF('DCF Terronera'!P82&gt;=0,'DCF Terronera'!P84,0))))))))</f>
        <v>0.3</v>
      </c>
      <c r="W53" s="45">
        <f>IF('DCF Guanacevi'!V81+'DCF Bolanitos'!V80+'DCF Terronera'!Q82=0,0,IF(AND('DCF Guanacevi'!V81&gt;=0,'DCF Bolanitos'!V80&gt;=0,'DCF Terronera'!Q82&gt;=0),('DCF Guanacevi'!V81*'DCF Guanacevi'!V82+'DCF Bolanitos'!V80*'DCF Bolanitos'!V81+'DCF Terronera'!Q82*'DCF Terronera'!Q84)/('DCF Guanacevi'!V81+'DCF Bolanitos'!V80+'DCF Terronera'!Q82),IF(AND('DCF Guanacevi'!V81&gt;=0,'DCF Bolanitos'!V80&gt;=0),('DCF Guanacevi'!V81*'DCF Guanacevi'!V82+'DCF Bolanitos'!V80*'DCF Bolanitos'!V81)/('DCF Guanacevi'!V81+'DCF Bolanitos'!V80),IF(AND('DCF Bolanitos'!V80&gt;=0,'DCF Terronera'!Q82&gt;=0),('DCF Bolanitos'!V80*'DCF Bolanitos'!V81+'DCF Terronera'!Q82*'DCF Terronera'!Q84)/('DCF Bolanitos'!V80+'DCF Terronera'!Q82),IF(AND('DCF Guanacevi'!V81&gt;=0,'DCF Terronera'!Q82&gt;=0),('DCF Guanacevi'!V81*'DCF Guanacevi'!V82+'DCF Terronera'!Q82*'DCF Terronera'!Q84)/('DCF Guanacevi'!V81+'DCF Terronera'!Q82),IF('DCF Guanacevi'!V81&gt;=0,'DCF Guanacevi'!V82,IF('DCF Bolanitos'!V80&gt;=0,'DCF Bolanitos'!V81,IF('DCF Terronera'!Q82&gt;=0,'DCF Terronera'!Q84,0))))))))</f>
        <v>0.3</v>
      </c>
      <c r="X53" s="45">
        <f>IF('DCF Guanacevi'!W81+'DCF Bolanitos'!W80+'DCF Terronera'!R82=0,0,IF(AND('DCF Guanacevi'!W81&gt;=0,'DCF Bolanitos'!W80&gt;=0,'DCF Terronera'!R82&gt;=0),('DCF Guanacevi'!W81*'DCF Guanacevi'!W82+'DCF Bolanitos'!W80*'DCF Bolanitos'!W81+'DCF Terronera'!R82*'DCF Terronera'!R84)/('DCF Guanacevi'!W81+'DCF Bolanitos'!W80+'DCF Terronera'!R82),IF(AND('DCF Guanacevi'!W81&gt;=0,'DCF Bolanitos'!W80&gt;=0),('DCF Guanacevi'!W81*'DCF Guanacevi'!W82+'DCF Bolanitos'!W80*'DCF Bolanitos'!W81)/('DCF Guanacevi'!W81+'DCF Bolanitos'!W80),IF(AND('DCF Bolanitos'!W80&gt;=0,'DCF Terronera'!R82&gt;=0),('DCF Bolanitos'!W80*'DCF Bolanitos'!W81+'DCF Terronera'!R82*'DCF Terronera'!R84)/('DCF Bolanitos'!W80+'DCF Terronera'!R82),IF(AND('DCF Guanacevi'!W81&gt;=0,'DCF Terronera'!R82&gt;=0),('DCF Guanacevi'!W81*'DCF Guanacevi'!W82+'DCF Terronera'!R82*'DCF Terronera'!R84)/('DCF Guanacevi'!W81+'DCF Terronera'!R82),IF('DCF Guanacevi'!W81&gt;=0,'DCF Guanacevi'!W82,IF('DCF Bolanitos'!W80&gt;=0,'DCF Bolanitos'!W81,IF('DCF Terronera'!R82&gt;=0,'DCF Terronera'!R84,0))))))))</f>
        <v>0.3</v>
      </c>
      <c r="Y53" s="45">
        <f>IF('DCF Guanacevi'!X81+'DCF Bolanitos'!X80+'DCF Terronera'!S82=0,0,IF(AND('DCF Guanacevi'!X81&gt;=0,'DCF Bolanitos'!X80&gt;=0,'DCF Terronera'!S82&gt;=0),('DCF Guanacevi'!X81*'DCF Guanacevi'!X82+'DCF Bolanitos'!X80*'DCF Bolanitos'!X81+'DCF Terronera'!S82*'DCF Terronera'!S84)/('DCF Guanacevi'!X81+'DCF Bolanitos'!X80+'DCF Terronera'!S82),IF(AND('DCF Guanacevi'!X81&gt;=0,'DCF Bolanitos'!X80&gt;=0),('DCF Guanacevi'!X81*'DCF Guanacevi'!X82+'DCF Bolanitos'!X80*'DCF Bolanitos'!X81)/('DCF Guanacevi'!X81+'DCF Bolanitos'!X80),IF(AND('DCF Bolanitos'!X80&gt;=0,'DCF Terronera'!S82&gt;=0),('DCF Bolanitos'!X80*'DCF Bolanitos'!X81+'DCF Terronera'!S82*'DCF Terronera'!S84)/('DCF Bolanitos'!X80+'DCF Terronera'!S82),IF(AND('DCF Guanacevi'!X81&gt;=0,'DCF Terronera'!S82&gt;=0),('DCF Guanacevi'!X81*'DCF Guanacevi'!X82+'DCF Terronera'!S82*'DCF Terronera'!S84)/('DCF Guanacevi'!X81+'DCF Terronera'!S82),IF('DCF Guanacevi'!X81&gt;=0,'DCF Guanacevi'!X82,IF('DCF Bolanitos'!X80&gt;=0,'DCF Bolanitos'!X81,IF('DCF Terronera'!S82&gt;=0,'DCF Terronera'!S84,0))))))))</f>
        <v>0.3</v>
      </c>
      <c r="Z53" s="45">
        <f>IF('DCF Guanacevi'!Y81+'DCF Bolanitos'!Y80+'DCF Terronera'!T82=0,0,IF(AND('DCF Guanacevi'!Y81&gt;=0,'DCF Bolanitos'!Y80&gt;=0,'DCF Terronera'!T82&gt;=0),('DCF Guanacevi'!Y81*'DCF Guanacevi'!Y82+'DCF Bolanitos'!Y80*'DCF Bolanitos'!Y81+'DCF Terronera'!T82*'DCF Terronera'!T84)/('DCF Guanacevi'!Y81+'DCF Bolanitos'!Y80+'DCF Terronera'!T82),IF(AND('DCF Guanacevi'!Y81&gt;=0,'DCF Bolanitos'!Y80&gt;=0),('DCF Guanacevi'!Y81*'DCF Guanacevi'!Y82+'DCF Bolanitos'!Y80*'DCF Bolanitos'!Y81)/('DCF Guanacevi'!Y81+'DCF Bolanitos'!Y80),IF(AND('DCF Bolanitos'!Y80&gt;=0,'DCF Terronera'!T82&gt;=0),('DCF Bolanitos'!Y80*'DCF Bolanitos'!Y81+'DCF Terronera'!T82*'DCF Terronera'!T84)/('DCF Bolanitos'!Y80+'DCF Terronera'!T82),IF(AND('DCF Guanacevi'!Y81&gt;=0,'DCF Terronera'!T82&gt;=0),('DCF Guanacevi'!Y81*'DCF Guanacevi'!Y82+'DCF Terronera'!T82*'DCF Terronera'!T84)/('DCF Guanacevi'!Y81+'DCF Terronera'!T82),IF('DCF Guanacevi'!Y81&gt;=0,'DCF Guanacevi'!Y82,IF('DCF Bolanitos'!Y80&gt;=0,'DCF Bolanitos'!Y81,IF('DCF Terronera'!T82&gt;=0,'DCF Terronera'!T84,0))))))))</f>
        <v>0.3</v>
      </c>
      <c r="AA53" s="45">
        <f>IF('DCF Guanacevi'!Z81+'DCF Bolanitos'!Z80+'DCF Terronera'!U82=0,0,IF(AND('DCF Guanacevi'!Z81&gt;=0,'DCF Bolanitos'!Z80&gt;=0,'DCF Terronera'!U82&gt;=0),('DCF Guanacevi'!Z81*'DCF Guanacevi'!Z82+'DCF Bolanitos'!Z80*'DCF Bolanitos'!Z81+'DCF Terronera'!U82*'DCF Terronera'!U84)/('DCF Guanacevi'!Z81+'DCF Bolanitos'!Z80+'DCF Terronera'!U82),IF(AND('DCF Guanacevi'!Z81&gt;=0,'DCF Bolanitos'!Z80&gt;=0),('DCF Guanacevi'!Z81*'DCF Guanacevi'!Z82+'DCF Bolanitos'!Z80*'DCF Bolanitos'!Z81)/('DCF Guanacevi'!Z81+'DCF Bolanitos'!Z80),IF(AND('DCF Bolanitos'!Z80&gt;=0,'DCF Terronera'!U82&gt;=0),('DCF Bolanitos'!Z80*'DCF Bolanitos'!Z81+'DCF Terronera'!U82*'DCF Terronera'!U84)/('DCF Bolanitos'!Z80+'DCF Terronera'!U82),IF(AND('DCF Guanacevi'!Z81&gt;=0,'DCF Terronera'!U82&gt;=0),('DCF Guanacevi'!Z81*'DCF Guanacevi'!Z82+'DCF Terronera'!U82*'DCF Terronera'!U84)/('DCF Guanacevi'!Z81+'DCF Terronera'!U82),IF('DCF Guanacevi'!Z81&gt;=0,'DCF Guanacevi'!Z82,IF('DCF Bolanitos'!Z80&gt;=0,'DCF Bolanitos'!Z81,IF('DCF Terronera'!U82&gt;=0,'DCF Terronera'!U84,0))))))))</f>
        <v>0.3</v>
      </c>
      <c r="AB53" s="45">
        <f>IF('DCF Guanacevi'!AA81+'DCF Bolanitos'!AA80+'DCF Terronera'!V82=0,0,IF(AND('DCF Guanacevi'!AA81&gt;=0,'DCF Bolanitos'!AA80&gt;=0,'DCF Terronera'!V82&gt;=0),('DCF Guanacevi'!AA81*'DCF Guanacevi'!AA82+'DCF Bolanitos'!AA80*'DCF Bolanitos'!AA81+'DCF Terronera'!V82*'DCF Terronera'!V84)/('DCF Guanacevi'!AA81+'DCF Bolanitos'!AA80+'DCF Terronera'!V82),IF(AND('DCF Guanacevi'!AA81&gt;=0,'DCF Bolanitos'!AA80&gt;=0),('DCF Guanacevi'!AA81*'DCF Guanacevi'!AA82+'DCF Bolanitos'!AA80*'DCF Bolanitos'!AA81)/('DCF Guanacevi'!AA81+'DCF Bolanitos'!AA80),IF(AND('DCF Bolanitos'!AA80&gt;=0,'DCF Terronera'!V82&gt;=0),('DCF Bolanitos'!AA80*'DCF Bolanitos'!AA81+'DCF Terronera'!V82*'DCF Terronera'!V84)/('DCF Bolanitos'!AA80+'DCF Terronera'!V82),IF(AND('DCF Guanacevi'!AA81&gt;=0,'DCF Terronera'!V82&gt;=0),('DCF Guanacevi'!AA81*'DCF Guanacevi'!AA82+'DCF Terronera'!V82*'DCF Terronera'!V84)/('DCF Guanacevi'!AA81+'DCF Terronera'!V82),IF('DCF Guanacevi'!AA81&gt;=0,'DCF Guanacevi'!AA82,IF('DCF Bolanitos'!AA80&gt;=0,'DCF Bolanitos'!AA81,IF('DCF Terronera'!V82&gt;=0,'DCF Terronera'!V84,0))))))))</f>
        <v>0.3</v>
      </c>
      <c r="AC53" s="45">
        <f>IF('DCF Guanacevi'!AB81+'DCF Bolanitos'!AB80+'DCF Terronera'!W82=0,0,IF(AND('DCF Guanacevi'!AB81&gt;=0,'DCF Bolanitos'!AB80&gt;=0,'DCF Terronera'!W82&gt;=0),('DCF Guanacevi'!AB81*'DCF Guanacevi'!AB82+'DCF Bolanitos'!AB80*'DCF Bolanitos'!AB81+'DCF Terronera'!W82*'DCF Terronera'!W84)/('DCF Guanacevi'!AB81+'DCF Bolanitos'!AB80+'DCF Terronera'!W82),IF(AND('DCF Guanacevi'!AB81&gt;=0,'DCF Bolanitos'!AB80&gt;=0),('DCF Guanacevi'!AB81*'DCF Guanacevi'!AB82+'DCF Bolanitos'!AB80*'DCF Bolanitos'!AB81)/('DCF Guanacevi'!AB81+'DCF Bolanitos'!AB80),IF(AND('DCF Bolanitos'!AB80&gt;=0,'DCF Terronera'!W82&gt;=0),('DCF Bolanitos'!AB80*'DCF Bolanitos'!AB81+'DCF Terronera'!W82*'DCF Terronera'!W84)/('DCF Bolanitos'!AB80+'DCF Terronera'!W82),IF(AND('DCF Guanacevi'!AB81&gt;=0,'DCF Terronera'!W82&gt;=0),('DCF Guanacevi'!AB81*'DCF Guanacevi'!AB82+'DCF Terronera'!W82*'DCF Terronera'!W84)/('DCF Guanacevi'!AB81+'DCF Terronera'!W82),IF('DCF Guanacevi'!AB81&gt;=0,'DCF Guanacevi'!AB82,IF('DCF Bolanitos'!AB80&gt;=0,'DCF Bolanitos'!AB81,IF('DCF Terronera'!W82&gt;=0,'DCF Terronera'!W84,0))))))))</f>
        <v>0.3</v>
      </c>
      <c r="AD53" s="45">
        <f>IF('DCF Guanacevi'!AC81+'DCF Bolanitos'!AC80+'DCF Terronera'!X82=0,0,IF(AND('DCF Guanacevi'!AC81&gt;=0,'DCF Bolanitos'!AC80&gt;=0,'DCF Terronera'!X82&gt;=0),('DCF Guanacevi'!AC81*'DCF Guanacevi'!AC82+'DCF Bolanitos'!AC80*'DCF Bolanitos'!AC81+'DCF Terronera'!X82*'DCF Terronera'!X84)/('DCF Guanacevi'!AC81+'DCF Bolanitos'!AC80+'DCF Terronera'!X82),IF(AND('DCF Guanacevi'!AC81&gt;=0,'DCF Bolanitos'!AC80&gt;=0),('DCF Guanacevi'!AC81*'DCF Guanacevi'!AC82+'DCF Bolanitos'!AC80*'DCF Bolanitos'!AC81)/('DCF Guanacevi'!AC81+'DCF Bolanitos'!AC80),IF(AND('DCF Bolanitos'!AC80&gt;=0,'DCF Terronera'!X82&gt;=0),('DCF Bolanitos'!AC80*'DCF Bolanitos'!AC81+'DCF Terronera'!X82*'DCF Terronera'!X84)/('DCF Bolanitos'!AC80+'DCF Terronera'!X82),IF(AND('DCF Guanacevi'!AC81&gt;=0,'DCF Terronera'!X82&gt;=0),('DCF Guanacevi'!AC81*'DCF Guanacevi'!AC82+'DCF Terronera'!X82*'DCF Terronera'!X84)/('DCF Guanacevi'!AC81+'DCF Terronera'!X82),IF('DCF Guanacevi'!AC81&gt;=0,'DCF Guanacevi'!AC82,IF('DCF Bolanitos'!AC80&gt;=0,'DCF Bolanitos'!AC81,IF('DCF Terronera'!X82&gt;=0,'DCF Terronera'!X84,0))))))))</f>
        <v>0</v>
      </c>
      <c r="AE53" s="45">
        <f>IF('DCF Guanacevi'!AD81+'DCF Bolanitos'!AD80+'DCF Terronera'!Y82=0,0,IF(AND('DCF Guanacevi'!AD81&gt;=0,'DCF Bolanitos'!AD80&gt;=0,'DCF Terronera'!Y82&gt;=0),('DCF Guanacevi'!AD81*'DCF Guanacevi'!AD82+'DCF Bolanitos'!AD80*'DCF Bolanitos'!AD81+'DCF Terronera'!Y82*'DCF Terronera'!Y84)/('DCF Guanacevi'!AD81+'DCF Bolanitos'!AD80+'DCF Terronera'!Y82),IF(AND('DCF Guanacevi'!AD81&gt;=0,'DCF Bolanitos'!AD80&gt;=0),('DCF Guanacevi'!AD81*'DCF Guanacevi'!AD82+'DCF Bolanitos'!AD80*'DCF Bolanitos'!AD81)/('DCF Guanacevi'!AD81+'DCF Bolanitos'!AD80),IF(AND('DCF Bolanitos'!AD80&gt;=0,'DCF Terronera'!Y82&gt;=0),('DCF Bolanitos'!AD80*'DCF Bolanitos'!AD81+'DCF Terronera'!Y82*'DCF Terronera'!Y84)/('DCF Bolanitos'!AD80+'DCF Terronera'!Y82),IF(AND('DCF Guanacevi'!AD81&gt;=0,'DCF Terronera'!Y82&gt;=0),('DCF Guanacevi'!AD81*'DCF Guanacevi'!AD82+'DCF Terronera'!Y82*'DCF Terronera'!Y84)/('DCF Guanacevi'!AD81+'DCF Terronera'!Y82),IF('DCF Guanacevi'!AD81&gt;=0,'DCF Guanacevi'!AD82,IF('DCF Bolanitos'!AD80&gt;=0,'DCF Bolanitos'!AD81,IF('DCF Terronera'!Y82&gt;=0,'DCF Terronera'!Y84,0))))))))</f>
        <v>0</v>
      </c>
      <c r="AF53" s="45">
        <f>IF('DCF Guanacevi'!AE81+'DCF Bolanitos'!AE80+'DCF Terronera'!Z82=0,0,IF(AND('DCF Guanacevi'!AE81&gt;=0,'DCF Bolanitos'!AE80&gt;=0,'DCF Terronera'!Z82&gt;=0),('DCF Guanacevi'!AE81*'DCF Guanacevi'!AE82+'DCF Bolanitos'!AE80*'DCF Bolanitos'!AE81+'DCF Terronera'!Z82*'DCF Terronera'!Z84)/('DCF Guanacevi'!AE81+'DCF Bolanitos'!AE80+'DCF Terronera'!Z82),IF(AND('DCF Guanacevi'!AE81&gt;=0,'DCF Bolanitos'!AE80&gt;=0),('DCF Guanacevi'!AE81*'DCF Guanacevi'!AE82+'DCF Bolanitos'!AE80*'DCF Bolanitos'!AE81)/('DCF Guanacevi'!AE81+'DCF Bolanitos'!AE80),IF(AND('DCF Bolanitos'!AE80&gt;=0,'DCF Terronera'!Z82&gt;=0),('DCF Bolanitos'!AE80*'DCF Bolanitos'!AE81+'DCF Terronera'!Z82*'DCF Terronera'!Z84)/('DCF Bolanitos'!AE80+'DCF Terronera'!Z82),IF(AND('DCF Guanacevi'!AE81&gt;=0,'DCF Terronera'!Z82&gt;=0),('DCF Guanacevi'!AE81*'DCF Guanacevi'!AE82+'DCF Terronera'!Z82*'DCF Terronera'!Z84)/('DCF Guanacevi'!AE81+'DCF Terronera'!Z82),IF('DCF Guanacevi'!AE81&gt;=0,'DCF Guanacevi'!AE82,IF('DCF Bolanitos'!AE80&gt;=0,'DCF Bolanitos'!AE81,IF('DCF Terronera'!Z82&gt;=0,'DCF Terronera'!Z84,0))))))))</f>
        <v>0</v>
      </c>
      <c r="AG53" s="45">
        <f>IF('DCF Guanacevi'!AF81+'DCF Bolanitos'!AF80+'DCF Terronera'!AA82=0,0,IF(AND('DCF Guanacevi'!AF81&gt;=0,'DCF Bolanitos'!AF80&gt;=0,'DCF Terronera'!AA82&gt;=0),('DCF Guanacevi'!AF81*'DCF Guanacevi'!AF82+'DCF Bolanitos'!AF80*'DCF Bolanitos'!AF81+'DCF Terronera'!AA82*'DCF Terronera'!AA84)/('DCF Guanacevi'!AF81+'DCF Bolanitos'!AF80+'DCF Terronera'!AA82),IF(AND('DCF Guanacevi'!AF81&gt;=0,'DCF Bolanitos'!AF80&gt;=0),('DCF Guanacevi'!AF81*'DCF Guanacevi'!AF82+'DCF Bolanitos'!AF80*'DCF Bolanitos'!AF81)/('DCF Guanacevi'!AF81+'DCF Bolanitos'!AF80),IF(AND('DCF Bolanitos'!AF80&gt;=0,'DCF Terronera'!AA82&gt;=0),('DCF Bolanitos'!AF80*'DCF Bolanitos'!AF81+'DCF Terronera'!AA82*'DCF Terronera'!AA84)/('DCF Bolanitos'!AF80+'DCF Terronera'!AA82),IF(AND('DCF Guanacevi'!AF81&gt;=0,'DCF Terronera'!AA82&gt;=0),('DCF Guanacevi'!AF81*'DCF Guanacevi'!AF82+'DCF Terronera'!AA82*'DCF Terronera'!AA84)/('DCF Guanacevi'!AF81+'DCF Terronera'!AA82),IF('DCF Guanacevi'!AF81&gt;=0,'DCF Guanacevi'!AF82,IF('DCF Bolanitos'!AF80&gt;=0,'DCF Bolanitos'!AF81,IF('DCF Terronera'!AA82&gt;=0,'DCF Terronera'!AA84,0))))))))</f>
        <v>0</v>
      </c>
      <c r="AH53" s="45">
        <f>IF('DCF Guanacevi'!AG81+'DCF Bolanitos'!AG80+'DCF Terronera'!AB82=0,0,IF(AND('DCF Guanacevi'!AG81&gt;=0,'DCF Bolanitos'!AG80&gt;=0,'DCF Terronera'!AB82&gt;=0),('DCF Guanacevi'!AG81*'DCF Guanacevi'!AG82+'DCF Bolanitos'!AG80*'DCF Bolanitos'!AG81+'DCF Terronera'!AB82*'DCF Terronera'!AB84)/('DCF Guanacevi'!AG81+'DCF Bolanitos'!AG80+'DCF Terronera'!AB82),IF(AND('DCF Guanacevi'!AG81&gt;=0,'DCF Bolanitos'!AG80&gt;=0),('DCF Guanacevi'!AG81*'DCF Guanacevi'!AG82+'DCF Bolanitos'!AG80*'DCF Bolanitos'!AG81)/('DCF Guanacevi'!AG81+'DCF Bolanitos'!AG80),IF(AND('DCF Bolanitos'!AG80&gt;=0,'DCF Terronera'!AB82&gt;=0),('DCF Bolanitos'!AG80*'DCF Bolanitos'!AG81+'DCF Terronera'!AB82*'DCF Terronera'!AB84)/('DCF Bolanitos'!AG80+'DCF Terronera'!AB82),IF(AND('DCF Guanacevi'!AG81&gt;=0,'DCF Terronera'!AB82&gt;=0),('DCF Guanacevi'!AG81*'DCF Guanacevi'!AG82+'DCF Terronera'!AB82*'DCF Terronera'!AB84)/('DCF Guanacevi'!AG81+'DCF Terronera'!AB82),IF('DCF Guanacevi'!AG81&gt;=0,'DCF Guanacevi'!AG82,IF('DCF Bolanitos'!AG80&gt;=0,'DCF Bolanitos'!AG81,IF('DCF Terronera'!AB82&gt;=0,'DCF Terronera'!AB84,0))))))))</f>
        <v>0</v>
      </c>
      <c r="AI53" s="45">
        <f>IF('DCF Guanacevi'!AH81+'DCF Bolanitos'!AH80+'DCF Terronera'!AC82=0,0,IF(AND('DCF Guanacevi'!AH81&gt;=0,'DCF Bolanitos'!AH80&gt;=0,'DCF Terronera'!AC82&gt;=0),('DCF Guanacevi'!AH81*'DCF Guanacevi'!AH82+'DCF Bolanitos'!AH80*'DCF Bolanitos'!AH81+'DCF Terronera'!AC82*'DCF Terronera'!AC84)/('DCF Guanacevi'!AH81+'DCF Bolanitos'!AH80+'DCF Terronera'!AC82),IF(AND('DCF Guanacevi'!AH81&gt;=0,'DCF Bolanitos'!AH80&gt;=0),('DCF Guanacevi'!AH81*'DCF Guanacevi'!AH82+'DCF Bolanitos'!AH80*'DCF Bolanitos'!AH81)/('DCF Guanacevi'!AH81+'DCF Bolanitos'!AH80),IF(AND('DCF Bolanitos'!AH80&gt;=0,'DCF Terronera'!AC82&gt;=0),('DCF Bolanitos'!AH80*'DCF Bolanitos'!AH81+'DCF Terronera'!AC82*'DCF Terronera'!AC84)/('DCF Bolanitos'!AH80+'DCF Terronera'!AC82),IF(AND('DCF Guanacevi'!AH81&gt;=0,'DCF Terronera'!AC82&gt;=0),('DCF Guanacevi'!AH81*'DCF Guanacevi'!AH82+'DCF Terronera'!AC82*'DCF Terronera'!AC84)/('DCF Guanacevi'!AH81+'DCF Terronera'!AC82),IF('DCF Guanacevi'!AH81&gt;=0,'DCF Guanacevi'!AH82,IF('DCF Bolanitos'!AH80&gt;=0,'DCF Bolanitos'!AH81,IF('DCF Terronera'!AC82&gt;=0,'DCF Terronera'!AC84,0))))))))</f>
        <v>0</v>
      </c>
      <c r="AJ53" s="45">
        <f>IF('DCF Guanacevi'!AI81+'DCF Bolanitos'!AI80+'DCF Terronera'!AD82=0,0,IF(AND('DCF Guanacevi'!AI81&gt;=0,'DCF Bolanitos'!AI80&gt;=0,'DCF Terronera'!AD82&gt;=0),('DCF Guanacevi'!AI81*'DCF Guanacevi'!AI82+'DCF Bolanitos'!AI80*'DCF Bolanitos'!AI81+'DCF Terronera'!AD82*'DCF Terronera'!AD84)/('DCF Guanacevi'!AI81+'DCF Bolanitos'!AI80+'DCF Terronera'!AD82),IF(AND('DCF Guanacevi'!AI81&gt;=0,'DCF Bolanitos'!AI80&gt;=0),('DCF Guanacevi'!AI81*'DCF Guanacevi'!AI82+'DCF Bolanitos'!AI80*'DCF Bolanitos'!AI81)/('DCF Guanacevi'!AI81+'DCF Bolanitos'!AI80),IF(AND('DCF Bolanitos'!AI80&gt;=0,'DCF Terronera'!AD82&gt;=0),('DCF Bolanitos'!AI80*'DCF Bolanitos'!AI81+'DCF Terronera'!AD82*'DCF Terronera'!AD84)/('DCF Bolanitos'!AI80+'DCF Terronera'!AD82),IF(AND('DCF Guanacevi'!AI81&gt;=0,'DCF Terronera'!AD82&gt;=0),('DCF Guanacevi'!AI81*'DCF Guanacevi'!AI82+'DCF Terronera'!AD82*'DCF Terronera'!AD84)/('DCF Guanacevi'!AI81+'DCF Terronera'!AD82),IF('DCF Guanacevi'!AI81&gt;=0,'DCF Guanacevi'!AI82,IF('DCF Bolanitos'!AI80&gt;=0,'DCF Bolanitos'!AI81,IF('DCF Terronera'!AD82&gt;=0,'DCF Terronera'!AD84,0))))))))</f>
        <v>0</v>
      </c>
      <c r="AK53" s="45">
        <f>IF('DCF Guanacevi'!AJ81+'DCF Bolanitos'!AJ80+'DCF Terronera'!AE82=0,0,IF(AND('DCF Guanacevi'!AJ81&gt;=0,'DCF Bolanitos'!AJ80&gt;=0,'DCF Terronera'!AE82&gt;=0),('DCF Guanacevi'!AJ81*'DCF Guanacevi'!AJ82+'DCF Bolanitos'!AJ80*'DCF Bolanitos'!AJ81+'DCF Terronera'!AE82*'DCF Terronera'!AE84)/('DCF Guanacevi'!AJ81+'DCF Bolanitos'!AJ80+'DCF Terronera'!AE82),IF(AND('DCF Guanacevi'!AJ81&gt;=0,'DCF Bolanitos'!AJ80&gt;=0),('DCF Guanacevi'!AJ81*'DCF Guanacevi'!AJ82+'DCF Bolanitos'!AJ80*'DCF Bolanitos'!AJ81)/('DCF Guanacevi'!AJ81+'DCF Bolanitos'!AJ80),IF(AND('DCF Bolanitos'!AJ80&gt;=0,'DCF Terronera'!AE82&gt;=0),('DCF Bolanitos'!AJ80*'DCF Bolanitos'!AJ81+'DCF Terronera'!AE82*'DCF Terronera'!AE84)/('DCF Bolanitos'!AJ80+'DCF Terronera'!AE82),IF(AND('DCF Guanacevi'!AJ81&gt;=0,'DCF Terronera'!AE82&gt;=0),('DCF Guanacevi'!AJ81*'DCF Guanacevi'!AJ82+'DCF Terronera'!AE82*'DCF Terronera'!AE84)/('DCF Guanacevi'!AJ81+'DCF Terronera'!AE82),IF('DCF Guanacevi'!AJ81&gt;=0,'DCF Guanacevi'!AJ82,IF('DCF Bolanitos'!AJ80&gt;=0,'DCF Bolanitos'!AJ81,IF('DCF Terronera'!AE82&gt;=0,'DCF Terronera'!AE84,0))))))))</f>
        <v>0</v>
      </c>
      <c r="AL53" s="45">
        <f>IF('DCF Guanacevi'!AK81+'DCF Bolanitos'!AK80+'DCF Terronera'!AF82=0,0,IF(AND('DCF Guanacevi'!AK81&gt;=0,'DCF Bolanitos'!AK80&gt;=0,'DCF Terronera'!AF82&gt;=0),('DCF Guanacevi'!AK81*'DCF Guanacevi'!AK82+'DCF Bolanitos'!AK80*'DCF Bolanitos'!AK81+'DCF Terronera'!AF82*'DCF Terronera'!AF84)/('DCF Guanacevi'!AK81+'DCF Bolanitos'!AK80+'DCF Terronera'!AF82),IF(AND('DCF Guanacevi'!AK81&gt;=0,'DCF Bolanitos'!AK80&gt;=0),('DCF Guanacevi'!AK81*'DCF Guanacevi'!AK82+'DCF Bolanitos'!AK80*'DCF Bolanitos'!AK81)/('DCF Guanacevi'!AK81+'DCF Bolanitos'!AK80),IF(AND('DCF Bolanitos'!AK80&gt;=0,'DCF Terronera'!AF82&gt;=0),('DCF Bolanitos'!AK80*'DCF Bolanitos'!AK81+'DCF Terronera'!AF82*'DCF Terronera'!AF84)/('DCF Bolanitos'!AK80+'DCF Terronera'!AF82),IF(AND('DCF Guanacevi'!AK81&gt;=0,'DCF Terronera'!AF82&gt;=0),('DCF Guanacevi'!AK81*'DCF Guanacevi'!AK82+'DCF Terronera'!AF82*'DCF Terronera'!AF84)/('DCF Guanacevi'!AK81+'DCF Terronera'!AF82),IF('DCF Guanacevi'!AK81&gt;=0,'DCF Guanacevi'!AK82,IF('DCF Bolanitos'!AK80&gt;=0,'DCF Bolanitos'!AK81,IF('DCF Terronera'!AF82&gt;=0,'DCF Terronera'!AF84,0))))))))</f>
        <v>0</v>
      </c>
      <c r="AM53" s="45">
        <f>IF('DCF Guanacevi'!AL81+'DCF Bolanitos'!AL80+'DCF Terronera'!AG82=0,0,IF(AND('DCF Guanacevi'!AL81&gt;=0,'DCF Bolanitos'!AL80&gt;=0,'DCF Terronera'!AG82&gt;=0),('DCF Guanacevi'!AL81*'DCF Guanacevi'!AL82+'DCF Bolanitos'!AL80*'DCF Bolanitos'!AL81+'DCF Terronera'!AG82*'DCF Terronera'!AG84)/('DCF Guanacevi'!AL81+'DCF Bolanitos'!AL80+'DCF Terronera'!AG82),IF(AND('DCF Guanacevi'!AL81&gt;=0,'DCF Bolanitos'!AL80&gt;=0),('DCF Guanacevi'!AL81*'DCF Guanacevi'!AL82+'DCF Bolanitos'!AL80*'DCF Bolanitos'!AL81)/('DCF Guanacevi'!AL81+'DCF Bolanitos'!AL80),IF(AND('DCF Bolanitos'!AL80&gt;=0,'DCF Terronera'!AG82&gt;=0),('DCF Bolanitos'!AL80*'DCF Bolanitos'!AL81+'DCF Terronera'!AG82*'DCF Terronera'!AG84)/('DCF Bolanitos'!AL80+'DCF Terronera'!AG82),IF(AND('DCF Guanacevi'!AL81&gt;=0,'DCF Terronera'!AG82&gt;=0),('DCF Guanacevi'!AL81*'DCF Guanacevi'!AL82+'DCF Terronera'!AG82*'DCF Terronera'!AG84)/('DCF Guanacevi'!AL81+'DCF Terronera'!AG82),IF('DCF Guanacevi'!AL81&gt;=0,'DCF Guanacevi'!AL82,IF('DCF Bolanitos'!AL80&gt;=0,'DCF Bolanitos'!AL81,IF('DCF Terronera'!AG82&gt;=0,'DCF Terronera'!AG84,0))))))))</f>
        <v>0</v>
      </c>
      <c r="AN53" s="37"/>
    </row>
    <row r="54" spans="2:40" x14ac:dyDescent="0.25">
      <c r="B54" s="24" t="s">
        <v>146</v>
      </c>
      <c r="C54" t="s">
        <v>44</v>
      </c>
      <c r="F54" s="10"/>
      <c r="G54" s="10"/>
      <c r="H54" s="10"/>
      <c r="I54" s="10"/>
      <c r="J54" s="10"/>
      <c r="K54" s="10"/>
      <c r="L54" s="49"/>
      <c r="M54" s="38">
        <f>IF(K52&lt;0,K54-K52+'DCF Terronera'!G83,IF(K52-K55=0,K54-K52+'DCF Terronera'!G83,IF(K52&gt;=K54,0+'DCF Terronera'!G83)))</f>
        <v>0</v>
      </c>
      <c r="N54" s="38">
        <f>IF(M52&lt;0,M54-M52+'DCF Terronera'!H83,IF(M52-M55=0,M54-M52+'DCF Terronera'!H83,IF(M52&gt;=M54,0+'DCF Terronera'!H83)))</f>
        <v>3927260.0964769525</v>
      </c>
      <c r="O54" s="38">
        <f>IF(N52&lt;0,N54-N52+'DCF Terronera'!I83,IF(N52-N55=0,N54-N52+'DCF Terronera'!I83,IF(N52&gt;=N54,0+'DCF Terronera'!I83)))</f>
        <v>8632939.4584957361</v>
      </c>
      <c r="P54" s="38">
        <f>IF(O52&lt;0,O54-O52+'DCF Terronera'!J83,IF(O52-O55=0,O54-O52+'DCF Terronera'!J83,IF(O52&gt;=O54,0+'DCF Terronera'!J83)))</f>
        <v>12547073.327273093</v>
      </c>
      <c r="Q54" s="38">
        <f>IF(P52&lt;0,P54-P52+'DCF Terronera'!K83,IF(P52-P55=0,P54-P52+'DCF Terronera'!K83,IF(P52&gt;=P54,0+'DCF Terronera'!K83)))</f>
        <v>29017302.377246313</v>
      </c>
      <c r="R54" s="38">
        <f>IF(Q52&lt;0,Q54-Q52+'DCF Terronera'!L83,IF(Q52-Q55=0,Q54-Q52+'DCF Terronera'!L83,IF(Q52&gt;=Q54,0+'DCF Terronera'!L83)))</f>
        <v>0</v>
      </c>
      <c r="S54" s="38">
        <f>IF(R52&lt;0,R54-R52+'DCF Terronera'!M83,IF(R52-R55=0,R54-R52+'DCF Terronera'!M83,IF(R52&gt;=R54,0+'DCF Terronera'!M83)))</f>
        <v>0</v>
      </c>
      <c r="T54" s="38">
        <f>IF(S52&lt;0,S54-S52+'DCF Terronera'!N83,IF(S52-S55=0,S54-S52+'DCF Terronera'!N83,IF(S52&gt;=S54,0+'DCF Terronera'!N83)))</f>
        <v>0</v>
      </c>
      <c r="U54" s="38">
        <f>IF(T52&lt;0,T54-T52+'DCF Terronera'!O83,IF(T52-T55=0,T54-T52+'DCF Terronera'!O83,IF(T52&gt;=T54,0+'DCF Terronera'!O83)))</f>
        <v>0</v>
      </c>
      <c r="V54" s="38">
        <f>IF(U52&lt;0,U54-U52+'DCF Terronera'!P83,IF(U52-U55=0,U54-U52+'DCF Terronera'!P83,IF(U52&gt;=U54,0+'DCF Terronera'!P83)))</f>
        <v>0</v>
      </c>
      <c r="W54" s="38">
        <f>IF(V52&lt;0,V54-V52+'DCF Terronera'!Q83,IF(V52-V55=0,V54-V52+'DCF Terronera'!Q83,IF(V52&gt;=V54,0+'DCF Terronera'!Q83)))</f>
        <v>0</v>
      </c>
      <c r="X54" s="38">
        <f>IF(W52&lt;0,W54-W52+'DCF Terronera'!R83,IF(W52-W55=0,W54-W52+'DCF Terronera'!R83,IF(W52&gt;=W54,0+'DCF Terronera'!R83)))</f>
        <v>0</v>
      </c>
      <c r="Y54" s="38">
        <f>IF(X52&lt;0,X54-X52+'DCF Terronera'!S83,IF(X52-X55=0,X54-X52+'DCF Terronera'!S83,IF(X52&gt;=X54,0+'DCF Terronera'!S83)))</f>
        <v>0</v>
      </c>
      <c r="Z54" s="38">
        <f>IF(Y52&lt;0,Y54-Y52+'DCF Terronera'!T83,IF(Y52-Y55=0,Y54-Y52+'DCF Terronera'!T83,IF(Y52&gt;=Y54,0+'DCF Terronera'!T83)))</f>
        <v>0</v>
      </c>
      <c r="AA54" s="38">
        <f>IF(Z52&lt;0,Z54-Z52+'DCF Terronera'!U83,IF(Z52-Z55=0,Z54-Z52+'DCF Terronera'!U83,IF(Z52&gt;=Z54,0+'DCF Terronera'!U83)))</f>
        <v>0</v>
      </c>
      <c r="AB54" s="38">
        <f>IF(AA52&lt;0,AA54-AA52+'DCF Terronera'!V83,IF(AA52-AA55=0,AA54-AA52+'DCF Terronera'!V83,IF(AA52&gt;=AA54,0+'DCF Terronera'!V83)))</f>
        <v>0</v>
      </c>
      <c r="AC54" s="38">
        <f>IF(AB52&lt;0,AB54-AB52+'DCF Terronera'!W83,IF(AB52-AB55=0,AB54-AB52+'DCF Terronera'!W83,IF(AB52&gt;=AB54,0+'DCF Terronera'!W83)))</f>
        <v>0</v>
      </c>
      <c r="AD54" s="38">
        <f>IF(AC52&lt;0,AC54-AC52+'DCF Terronera'!X83,IF(AC52-AC55=0,AC54-AC52+'DCF Terronera'!X83,IF(AC52&gt;=AC54,0+'DCF Terronera'!X83)))</f>
        <v>0</v>
      </c>
      <c r="AE54" s="38">
        <f>IF(AD52&lt;0,AD54-AD52+'DCF Terronera'!Y83,IF(AD52-AD55=0,AD54-AD52+'DCF Terronera'!Y83,IF(AD52&gt;=AD54,0+'DCF Terronera'!Y83)))</f>
        <v>0</v>
      </c>
      <c r="AF54" s="38">
        <f>IF(AE52&lt;0,AE54-AE52+'DCF Terronera'!Z83,IF(AE52-AE55=0,AE54-AE52+'DCF Terronera'!Z83,IF(AE52&gt;=AE54,0+'DCF Terronera'!Z83)))</f>
        <v>0</v>
      </c>
      <c r="AG54" s="38">
        <f>IF(AF52&lt;0,AF54-AF52+'DCF Terronera'!AA83,IF(AF52-AF55=0,AF54-AF52+'DCF Terronera'!AA83,IF(AF52&gt;=AF54,0+'DCF Terronera'!AA83)))</f>
        <v>0</v>
      </c>
      <c r="AH54" s="38">
        <f>IF(AG52&lt;0,AG54-AG52+'DCF Terronera'!AB83,IF(AG52-AG55=0,AG54-AG52+'DCF Terronera'!AB83,IF(AG52&gt;=AG54,0+'DCF Terronera'!AB83)))</f>
        <v>0</v>
      </c>
      <c r="AI54" s="38">
        <f>IF(AH52&lt;0,AH54-AH52+'DCF Terronera'!AC83,IF(AH52-AH55=0,AH54-AH52+'DCF Terronera'!AC83,IF(AH52&gt;=AH54,0+'DCF Terronera'!AC83)))</f>
        <v>0</v>
      </c>
      <c r="AJ54" s="38">
        <f>IF(AI52&lt;0,AI54-AI52+'DCF Terronera'!AD83,IF(AI52-AI55=0,AI54-AI52+'DCF Terronera'!AD83,IF(AI52&gt;=AI54,0+'DCF Terronera'!AD83)))</f>
        <v>0</v>
      </c>
      <c r="AK54" s="38">
        <f>IF(AJ52&lt;0,AJ54-AJ52+'DCF Terronera'!AE83,IF(AJ52-AJ55=0,AJ54-AJ52+'DCF Terronera'!AE83,IF(AJ52&gt;=AJ54,0+'DCF Terronera'!AE83)))</f>
        <v>0</v>
      </c>
      <c r="AL54" s="38">
        <f>IF(AK52&lt;0,AK54-AK52+'DCF Terronera'!AF83,IF(AK52-AK55=0,AK54-AK52+'DCF Terronera'!AF83,IF(AK52&gt;=AK54,0+'DCF Terronera'!AF83)))</f>
        <v>0</v>
      </c>
      <c r="AM54" s="38">
        <f>IF(AL52&lt;0,AL54-AL52+'DCF Terronera'!AG83,IF(AL52-AL55=0,AL54-AL52+'DCF Terronera'!AG83,IF(AL52&gt;=AL54,0+'DCF Terronera'!AG83)))</f>
        <v>0</v>
      </c>
      <c r="AN54" s="37"/>
    </row>
    <row r="55" spans="2:40" x14ac:dyDescent="0.25">
      <c r="B55" s="60" t="s">
        <v>176</v>
      </c>
      <c r="C55" s="3" t="s">
        <v>44</v>
      </c>
      <c r="D55" s="3"/>
      <c r="E55" s="3"/>
      <c r="F55" s="34">
        <v>9684000</v>
      </c>
      <c r="G55" s="34">
        <v>-12439000</v>
      </c>
      <c r="H55" s="34">
        <v>-48066000</v>
      </c>
      <c r="I55" s="34">
        <v>1159000</v>
      </c>
      <c r="J55" s="34">
        <v>13955000</v>
      </c>
      <c r="K55" s="34">
        <v>11662000</v>
      </c>
      <c r="L55" s="49">
        <f>SUM(M55:AM55)</f>
        <v>467011773.8011958</v>
      </c>
      <c r="M55" s="49">
        <f>IF(M52&lt;0,M52,IF(M54&gt;M52,M52,IF(M52&gt;=M54,M52-(M52-M54)*M53)))</f>
        <v>-3927260.0964769525</v>
      </c>
      <c r="N55" s="49">
        <f t="shared" ref="N55:AM55" si="42">IF(N52&lt;0,N52,IF(N54&gt;N52,N52,IF(N52&gt;=N54,N52-(N52-N54)*N53)))</f>
        <v>-4705679.3620187836</v>
      </c>
      <c r="O55" s="49">
        <f t="shared" si="42"/>
        <v>-3914133.868777358</v>
      </c>
      <c r="P55" s="49">
        <f t="shared" si="42"/>
        <v>2779770.9500267813</v>
      </c>
      <c r="Q55" s="49">
        <f t="shared" si="42"/>
        <v>51029356.399283864</v>
      </c>
      <c r="R55" s="49">
        <f t="shared" si="42"/>
        <v>62551106.58974386</v>
      </c>
      <c r="S55" s="49">
        <f t="shared" si="42"/>
        <v>46728698.939414412</v>
      </c>
      <c r="T55" s="49">
        <f t="shared" si="42"/>
        <v>44811093.366666675</v>
      </c>
      <c r="U55" s="49">
        <f t="shared" si="42"/>
        <v>44945278.233333342</v>
      </c>
      <c r="V55" s="49">
        <f t="shared" si="42"/>
        <v>33149584.766666673</v>
      </c>
      <c r="W55" s="49">
        <f t="shared" si="42"/>
        <v>29718450.649999999</v>
      </c>
      <c r="X55" s="49">
        <f t="shared" si="42"/>
        <v>34961044.183333337</v>
      </c>
      <c r="Y55" s="49">
        <f t="shared" si="42"/>
        <v>28586962.366666671</v>
      </c>
      <c r="Z55" s="49">
        <f t="shared" si="42"/>
        <v>25384861.25</v>
      </c>
      <c r="AA55" s="49">
        <f t="shared" si="42"/>
        <v>22107946.583333336</v>
      </c>
      <c r="AB55" s="49">
        <f t="shared" si="42"/>
        <v>33725809.950000003</v>
      </c>
      <c r="AC55" s="49">
        <f t="shared" si="42"/>
        <v>19078882.899999999</v>
      </c>
      <c r="AD55" s="49">
        <f t="shared" si="42"/>
        <v>0</v>
      </c>
      <c r="AE55" s="49">
        <f t="shared" si="42"/>
        <v>0</v>
      </c>
      <c r="AF55" s="49">
        <f t="shared" si="42"/>
        <v>0</v>
      </c>
      <c r="AG55" s="49">
        <f t="shared" si="42"/>
        <v>0</v>
      </c>
      <c r="AH55" s="49">
        <f t="shared" si="42"/>
        <v>0</v>
      </c>
      <c r="AI55" s="49">
        <f t="shared" si="42"/>
        <v>0</v>
      </c>
      <c r="AJ55" s="49">
        <f t="shared" si="42"/>
        <v>0</v>
      </c>
      <c r="AK55" s="49">
        <f t="shared" si="42"/>
        <v>0</v>
      </c>
      <c r="AL55" s="49">
        <f t="shared" si="42"/>
        <v>0</v>
      </c>
      <c r="AM55" s="49">
        <f t="shared" si="42"/>
        <v>0</v>
      </c>
      <c r="AN55" s="37"/>
    </row>
    <row r="56" spans="2:40" x14ac:dyDescent="0.25">
      <c r="L56" s="51"/>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row>
    <row r="57" spans="2:40" ht="15.75" thickBot="1" x14ac:dyDescent="0.3">
      <c r="B57" s="7" t="s">
        <v>47</v>
      </c>
      <c r="L57" s="51"/>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row>
    <row r="58" spans="2:40" x14ac:dyDescent="0.25">
      <c r="B58" t="s">
        <v>93</v>
      </c>
      <c r="C58" t="s">
        <v>44</v>
      </c>
      <c r="F58" s="10">
        <v>32636000</v>
      </c>
      <c r="G58" s="10">
        <v>29193000</v>
      </c>
      <c r="H58" s="10">
        <v>20810000</v>
      </c>
      <c r="I58" s="10">
        <v>23131000</v>
      </c>
      <c r="J58" s="10">
        <v>36114000</v>
      </c>
      <c r="K58" s="10">
        <v>8072000</v>
      </c>
      <c r="L58" s="49">
        <f>SUM(M58:AM58)</f>
        <v>197313241.59999999</v>
      </c>
      <c r="M58" s="38">
        <f>SUM('DCF Guanacevi'!L86:L87)+SUM('DCF Bolanitos'!L85:L86)+'DCF Terronera'!G89+'DCF Terronera'!G90</f>
        <v>8421900</v>
      </c>
      <c r="N58" s="38">
        <f>SUM('DCF Guanacevi'!M86:M87)+SUM('DCF Bolanitos'!M85:M86)+'DCF Terronera'!H89+'DCF Terronera'!H90</f>
        <v>8421900</v>
      </c>
      <c r="O58" s="38">
        <f>SUM('DCF Guanacevi'!N86:N87)+SUM('DCF Bolanitos'!N85:N86)+'DCF Terronera'!I89+'DCF Terronera'!I90</f>
        <v>8421900</v>
      </c>
      <c r="P58" s="38">
        <f>SUM('DCF Guanacevi'!O86:O87)+SUM('DCF Bolanitos'!O85:O86)+'DCF Terronera'!J89+'DCF Terronera'!J90</f>
        <v>7663900</v>
      </c>
      <c r="Q58" s="38">
        <f>SUM('DCF Guanacevi'!P86:P87)+SUM('DCF Bolanitos'!P85:P86)+'DCF Terronera'!K89+'DCF Terronera'!K90+1000000</f>
        <v>24515590</v>
      </c>
      <c r="R58" s="38">
        <f>SUM('DCF Guanacevi'!Q86:Q87)+SUM('DCF Bolanitos'!Q85:Q86)+'DCF Terronera'!L89+'DCF Terronera'!L90</f>
        <v>35240100</v>
      </c>
      <c r="S58" s="38">
        <f>SUM('DCF Guanacevi'!R86:R87)+SUM('DCF Bolanitos'!R85:R86)+'DCF Terronera'!M89+'DCF Terronera'!M90</f>
        <v>31706651.600000001</v>
      </c>
      <c r="T58" s="38">
        <f>SUM('DCF Guanacevi'!S86:S87)+SUM('DCF Bolanitos'!S85:S86)+'DCF Terronera'!N89+'DCF Terronera'!N90</f>
        <v>27148100.000000004</v>
      </c>
      <c r="U58" s="38">
        <f>SUM('DCF Guanacevi'!T86:T87)+SUM('DCF Bolanitos'!T85:T86)+'DCF Terronera'!O89+'DCF Terronera'!O90</f>
        <v>11345400</v>
      </c>
      <c r="V58" s="38">
        <f>SUM('DCF Guanacevi'!U86:U87)+SUM('DCF Bolanitos'!U85:U86)+'DCF Terronera'!P89+'DCF Terronera'!P90</f>
        <v>7230300.0000000009</v>
      </c>
      <c r="W58" s="38">
        <f>SUM('DCF Guanacevi'!V86:V87)+SUM('DCF Bolanitos'!V85:V86)+'DCF Terronera'!Q89+'DCF Terronera'!Q90</f>
        <v>5816800.0000000009</v>
      </c>
      <c r="X58" s="38">
        <f>SUM('DCF Guanacevi'!W86:W87)+SUM('DCF Bolanitos'!W85:W86)+'DCF Terronera'!R89+'DCF Terronera'!R90</f>
        <v>6681400.0000000009</v>
      </c>
      <c r="Y58" s="38">
        <f>SUM('DCF Guanacevi'!X86:X87)+SUM('DCF Bolanitos'!X85:X86)+'DCF Terronera'!S89+'DCF Terronera'!S90</f>
        <v>2674100</v>
      </c>
      <c r="Z58" s="38">
        <f>SUM('DCF Guanacevi'!Y86:Y87)+SUM('DCF Bolanitos'!Y85:Y86)+'DCF Terronera'!T89+'DCF Terronera'!T90</f>
        <v>4263600</v>
      </c>
      <c r="AA58" s="38">
        <f>SUM('DCF Guanacevi'!Z86:Z87)+SUM('DCF Bolanitos'!Z85:Z86)+'DCF Terronera'!U89+'DCF Terronera'!U90</f>
        <v>0</v>
      </c>
      <c r="AB58" s="38">
        <f>SUM('DCF Guanacevi'!AA86:AA87)+SUM('DCF Bolanitos'!AA85:AA86)+'DCF Terronera'!V89+'DCF Terronera'!V90</f>
        <v>0</v>
      </c>
      <c r="AC58" s="38">
        <f>SUM('DCF Guanacevi'!AB86:AB87)+SUM('DCF Bolanitos'!AB85:AB86)+'DCF Terronera'!W89+'DCF Terronera'!W90</f>
        <v>1745700.0000000002</v>
      </c>
      <c r="AD58" s="38">
        <f>SUM('DCF Guanacevi'!AC86:AC87)+SUM('DCF Bolanitos'!AC85:AC86)+'DCF Terronera'!X89+'DCF Terronera'!X90</f>
        <v>5276700</v>
      </c>
      <c r="AE58" s="38">
        <f>SUM('DCF Guanacevi'!AD86:AD87)+SUM('DCF Bolanitos'!AD85:AD86)+'DCF Terronera'!Y89+'DCF Terronera'!Y90</f>
        <v>38500</v>
      </c>
      <c r="AF58" s="38">
        <f>SUM('DCF Guanacevi'!AE86:AE87)+SUM('DCF Bolanitos'!AE85:AE86)+'DCF Terronera'!Z89+'DCF Terronera'!Z90</f>
        <v>38500</v>
      </c>
      <c r="AG58" s="38">
        <f>SUM('DCF Guanacevi'!AF86:AF87)+SUM('DCF Bolanitos'!AF85:AF86)+'DCF Terronera'!AA89+'DCF Terronera'!AA90</f>
        <v>94600.000000000015</v>
      </c>
      <c r="AH58" s="38">
        <f>SUM('DCF Guanacevi'!AG86:AG87)+SUM('DCF Bolanitos'!AG85:AG86)+'DCF Terronera'!AB89+'DCF Terronera'!AB90</f>
        <v>94600.000000000015</v>
      </c>
      <c r="AI58" s="38">
        <f>SUM('DCF Guanacevi'!AH86:AH87)+SUM('DCF Bolanitos'!AH85:AH86)+'DCF Terronera'!AC89+'DCF Terronera'!AC90</f>
        <v>94600.000000000015</v>
      </c>
      <c r="AJ58" s="38">
        <f>SUM('DCF Guanacevi'!AI86:AI87)+SUM('DCF Bolanitos'!AI85:AI86)+'DCF Terronera'!AD89+'DCF Terronera'!AD90</f>
        <v>94600.000000000015</v>
      </c>
      <c r="AK58" s="38">
        <f>SUM('DCF Guanacevi'!AJ86:AJ87)+SUM('DCF Bolanitos'!AJ85:AJ86)+'DCF Terronera'!AE89+'DCF Terronera'!AE90</f>
        <v>94600.000000000015</v>
      </c>
      <c r="AL58" s="38">
        <f>SUM('DCF Guanacevi'!AK86:AK87)+SUM('DCF Bolanitos'!AK85:AK86)+'DCF Terronera'!AF89+'DCF Terronera'!AF90</f>
        <v>94600.000000000015</v>
      </c>
      <c r="AM58" s="38">
        <f>SUM('DCF Guanacevi'!AL86:AL87)+SUM('DCF Bolanitos'!AL85:AL86)+'DCF Terronera'!AG89+'DCF Terronera'!AG90</f>
        <v>94600.000000000015</v>
      </c>
      <c r="AN58" s="37"/>
    </row>
    <row r="59" spans="2:40" x14ac:dyDescent="0.25">
      <c r="B59" t="s">
        <v>178</v>
      </c>
      <c r="F59">
        <v>1</v>
      </c>
      <c r="G59">
        <v>1</v>
      </c>
      <c r="H59">
        <v>1</v>
      </c>
      <c r="I59">
        <v>1</v>
      </c>
      <c r="J59">
        <v>1</v>
      </c>
      <c r="K59">
        <v>1</v>
      </c>
      <c r="L59" s="49"/>
      <c r="M59" s="38">
        <f>1</f>
        <v>1</v>
      </c>
      <c r="N59" s="38">
        <f>M59</f>
        <v>1</v>
      </c>
      <c r="O59" s="38">
        <f t="shared" ref="O59:AM59" si="43">N59</f>
        <v>1</v>
      </c>
      <c r="P59" s="38">
        <f t="shared" si="43"/>
        <v>1</v>
      </c>
      <c r="Q59" s="38">
        <f t="shared" si="43"/>
        <v>1</v>
      </c>
      <c r="R59" s="38">
        <f t="shared" si="43"/>
        <v>1</v>
      </c>
      <c r="S59" s="38">
        <f t="shared" si="43"/>
        <v>1</v>
      </c>
      <c r="T59" s="38">
        <f t="shared" si="43"/>
        <v>1</v>
      </c>
      <c r="U59" s="38">
        <f t="shared" si="43"/>
        <v>1</v>
      </c>
      <c r="V59" s="38">
        <f t="shared" si="43"/>
        <v>1</v>
      </c>
      <c r="W59" s="38">
        <f t="shared" si="43"/>
        <v>1</v>
      </c>
      <c r="X59" s="38">
        <f t="shared" si="43"/>
        <v>1</v>
      </c>
      <c r="Y59" s="38">
        <f t="shared" si="43"/>
        <v>1</v>
      </c>
      <c r="Z59" s="38">
        <f t="shared" si="43"/>
        <v>1</v>
      </c>
      <c r="AA59" s="38">
        <f t="shared" si="43"/>
        <v>1</v>
      </c>
      <c r="AB59" s="38">
        <f t="shared" si="43"/>
        <v>1</v>
      </c>
      <c r="AC59" s="38">
        <f t="shared" si="43"/>
        <v>1</v>
      </c>
      <c r="AD59" s="38">
        <f t="shared" si="43"/>
        <v>1</v>
      </c>
      <c r="AE59" s="38">
        <f t="shared" si="43"/>
        <v>1</v>
      </c>
      <c r="AF59" s="38">
        <f t="shared" si="43"/>
        <v>1</v>
      </c>
      <c r="AG59" s="38">
        <f t="shared" si="43"/>
        <v>1</v>
      </c>
      <c r="AH59" s="38">
        <f t="shared" si="43"/>
        <v>1</v>
      </c>
      <c r="AI59" s="38">
        <f t="shared" si="43"/>
        <v>1</v>
      </c>
      <c r="AJ59" s="38">
        <f t="shared" si="43"/>
        <v>1</v>
      </c>
      <c r="AK59" s="38">
        <f t="shared" si="43"/>
        <v>1</v>
      </c>
      <c r="AL59" s="38">
        <f t="shared" si="43"/>
        <v>1</v>
      </c>
      <c r="AM59" s="38">
        <f t="shared" si="43"/>
        <v>1</v>
      </c>
      <c r="AN59" s="37"/>
    </row>
    <row r="60" spans="2:40" x14ac:dyDescent="0.25">
      <c r="B60" t="s">
        <v>180</v>
      </c>
      <c r="C60" t="s">
        <v>44</v>
      </c>
      <c r="F60" s="10">
        <f>F58*F59</f>
        <v>32636000</v>
      </c>
      <c r="G60" s="10">
        <f t="shared" ref="G60:K60" si="44">G58*G59</f>
        <v>29193000</v>
      </c>
      <c r="H60" s="10">
        <f t="shared" si="44"/>
        <v>20810000</v>
      </c>
      <c r="I60" s="10">
        <f t="shared" si="44"/>
        <v>23131000</v>
      </c>
      <c r="J60" s="10">
        <f t="shared" si="44"/>
        <v>36114000</v>
      </c>
      <c r="K60" s="10">
        <f t="shared" si="44"/>
        <v>8072000</v>
      </c>
      <c r="L60" s="49">
        <f t="shared" ref="L60" si="45">SUM(M60:AM60)</f>
        <v>197313241.59999999</v>
      </c>
      <c r="M60" s="38">
        <f>M58*M59</f>
        <v>8421900</v>
      </c>
      <c r="N60" s="38">
        <f t="shared" ref="N60:AM60" si="46">N58*N59</f>
        <v>8421900</v>
      </c>
      <c r="O60" s="38">
        <f t="shared" si="46"/>
        <v>8421900</v>
      </c>
      <c r="P60" s="38">
        <f t="shared" si="46"/>
        <v>7663900</v>
      </c>
      <c r="Q60" s="38">
        <f t="shared" si="46"/>
        <v>24515590</v>
      </c>
      <c r="R60" s="38">
        <f t="shared" si="46"/>
        <v>35240100</v>
      </c>
      <c r="S60" s="38">
        <f t="shared" si="46"/>
        <v>31706651.600000001</v>
      </c>
      <c r="T60" s="38">
        <f t="shared" si="46"/>
        <v>27148100.000000004</v>
      </c>
      <c r="U60" s="38">
        <f t="shared" si="46"/>
        <v>11345400</v>
      </c>
      <c r="V60" s="38">
        <f t="shared" si="46"/>
        <v>7230300.0000000009</v>
      </c>
      <c r="W60" s="38">
        <f t="shared" si="46"/>
        <v>5816800.0000000009</v>
      </c>
      <c r="X60" s="38">
        <f t="shared" si="46"/>
        <v>6681400.0000000009</v>
      </c>
      <c r="Y60" s="38">
        <f t="shared" si="46"/>
        <v>2674100</v>
      </c>
      <c r="Z60" s="38">
        <f t="shared" si="46"/>
        <v>4263600</v>
      </c>
      <c r="AA60" s="38">
        <f t="shared" si="46"/>
        <v>0</v>
      </c>
      <c r="AB60" s="38">
        <f t="shared" si="46"/>
        <v>0</v>
      </c>
      <c r="AC60" s="38">
        <f t="shared" si="46"/>
        <v>1745700.0000000002</v>
      </c>
      <c r="AD60" s="38">
        <f t="shared" si="46"/>
        <v>5276700</v>
      </c>
      <c r="AE60" s="38">
        <f t="shared" si="46"/>
        <v>38500</v>
      </c>
      <c r="AF60" s="38">
        <f t="shared" si="46"/>
        <v>38500</v>
      </c>
      <c r="AG60" s="38">
        <f t="shared" si="46"/>
        <v>94600.000000000015</v>
      </c>
      <c r="AH60" s="38">
        <f t="shared" si="46"/>
        <v>94600.000000000015</v>
      </c>
      <c r="AI60" s="38">
        <f t="shared" si="46"/>
        <v>94600.000000000015</v>
      </c>
      <c r="AJ60" s="38">
        <f t="shared" si="46"/>
        <v>94600.000000000015</v>
      </c>
      <c r="AK60" s="38">
        <f t="shared" si="46"/>
        <v>94600.000000000015</v>
      </c>
      <c r="AL60" s="38">
        <f t="shared" si="46"/>
        <v>94600.000000000015</v>
      </c>
      <c r="AM60" s="38">
        <f t="shared" si="46"/>
        <v>94600.000000000015</v>
      </c>
      <c r="AN60" s="37"/>
    </row>
    <row r="61" spans="2:40" x14ac:dyDescent="0.25">
      <c r="B61" t="s">
        <v>181</v>
      </c>
      <c r="C61" t="s">
        <v>44</v>
      </c>
      <c r="F61" s="10">
        <v>7199000</v>
      </c>
      <c r="G61" s="10">
        <v>11205000</v>
      </c>
      <c r="H61" s="10">
        <v>989000</v>
      </c>
      <c r="I61" s="10">
        <v>6600000</v>
      </c>
      <c r="J61" s="10">
        <v>7872000</v>
      </c>
      <c r="K61" s="10">
        <v>9500000</v>
      </c>
      <c r="L61" s="49">
        <f>SUM(M61:AM61)</f>
        <v>181048300</v>
      </c>
      <c r="M61" s="38">
        <f>'DCF Terronera'!G88</f>
        <v>9500000</v>
      </c>
      <c r="N61" s="38">
        <f>'DCF Terronera'!H88</f>
        <v>46632850.000000007</v>
      </c>
      <c r="O61" s="38">
        <f>'DCF Terronera'!I88</f>
        <v>46632850.000000007</v>
      </c>
      <c r="P61" s="38">
        <f>'DCF Terronera'!J88</f>
        <v>31313040</v>
      </c>
      <c r="Q61" s="38">
        <f>'DCF Terronera'!K88</f>
        <v>46969560</v>
      </c>
      <c r="R61" s="38">
        <f>'DCF Terronera'!L88</f>
        <v>0</v>
      </c>
      <c r="S61" s="38">
        <f>'DCF Terronera'!M88</f>
        <v>0</v>
      </c>
      <c r="T61" s="38">
        <f>'DCF Terronera'!N88</f>
        <v>0</v>
      </c>
      <c r="U61" s="38">
        <f>'DCF Terronera'!O88</f>
        <v>0</v>
      </c>
      <c r="V61" s="38">
        <f>'DCF Terronera'!P88</f>
        <v>0</v>
      </c>
      <c r="W61" s="38">
        <f>'DCF Terronera'!Q88</f>
        <v>0</v>
      </c>
      <c r="X61" s="38">
        <f>'DCF Terronera'!R88</f>
        <v>0</v>
      </c>
      <c r="Y61" s="38">
        <f>'DCF Terronera'!S88</f>
        <v>0</v>
      </c>
      <c r="Z61" s="38">
        <f>'DCF Terronera'!T88</f>
        <v>0</v>
      </c>
      <c r="AA61" s="38">
        <f>'DCF Terronera'!U88</f>
        <v>0</v>
      </c>
      <c r="AB61" s="38">
        <f>'DCF Terronera'!V88</f>
        <v>0</v>
      </c>
      <c r="AC61" s="38">
        <f>'DCF Terronera'!W88</f>
        <v>0</v>
      </c>
      <c r="AD61" s="38">
        <f>'DCF Terronera'!X88</f>
        <v>0</v>
      </c>
      <c r="AE61" s="38">
        <f>'DCF Terronera'!Y88</f>
        <v>0</v>
      </c>
      <c r="AF61" s="38">
        <f>'DCF Terronera'!Z88</f>
        <v>0</v>
      </c>
      <c r="AG61" s="38">
        <f>'DCF Terronera'!AA88</f>
        <v>0</v>
      </c>
      <c r="AH61" s="38">
        <f>'DCF Terronera'!AB88</f>
        <v>0</v>
      </c>
      <c r="AI61" s="38">
        <f>'DCF Terronera'!AC88</f>
        <v>0</v>
      </c>
      <c r="AJ61" s="38">
        <f>'DCF Terronera'!AD88</f>
        <v>0</v>
      </c>
      <c r="AK61" s="38">
        <f>'DCF Terronera'!AE88</f>
        <v>0</v>
      </c>
      <c r="AL61" s="38">
        <f>'DCF Terronera'!AF88</f>
        <v>0</v>
      </c>
      <c r="AM61" s="38">
        <f>'DCF Terronera'!AG88</f>
        <v>0</v>
      </c>
      <c r="AN61" s="37"/>
    </row>
    <row r="62" spans="2:40" x14ac:dyDescent="0.25">
      <c r="B62" t="s">
        <v>232</v>
      </c>
      <c r="C62" t="s">
        <v>44</v>
      </c>
      <c r="F62" s="10"/>
      <c r="G62" s="10"/>
      <c r="H62" s="10"/>
      <c r="I62" s="10"/>
      <c r="J62" s="10"/>
      <c r="K62" s="10"/>
      <c r="L62" s="49"/>
      <c r="M62" s="38">
        <v>35000000</v>
      </c>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7"/>
    </row>
    <row r="63" spans="2:40" x14ac:dyDescent="0.25">
      <c r="B63" t="s">
        <v>95</v>
      </c>
      <c r="C63" t="s">
        <v>20</v>
      </c>
      <c r="F63" s="14">
        <f>(F42+SUM(F44:F46)+F51+F58)/(F30+F31*F15/F14)</f>
        <v>18.310017242192806</v>
      </c>
      <c r="G63" s="14">
        <f t="shared" ref="G63:K63" si="47">(G42+SUM(G44:G46)+G51+G58)/(G30+G31*G15/G14)</f>
        <v>16.561489574045172</v>
      </c>
      <c r="H63" s="14">
        <f t="shared" si="47"/>
        <v>20.961818813431087</v>
      </c>
      <c r="I63" s="14">
        <f t="shared" si="47"/>
        <v>21.379610948813966</v>
      </c>
      <c r="J63" s="14">
        <f t="shared" si="47"/>
        <v>24.283833777415154</v>
      </c>
      <c r="K63" s="14">
        <f t="shared" si="47"/>
        <v>23.683609128764438</v>
      </c>
      <c r="L63" s="47">
        <f>AVERAGE(M63:AM63)</f>
        <v>16.65926405979846</v>
      </c>
      <c r="M63" s="43">
        <f>IF(OR(M30&gt;0,M31&gt;0),(M42+SUM(M44:M46)+M51+M60)/(M30+M31*M15/M14),"")</f>
        <v>24.253545223393129</v>
      </c>
      <c r="N63" s="43">
        <f t="shared" ref="N63:AM63" si="48">IF(OR(N30&gt;0,N31&gt;0),(N42+SUM(N44:N46)+N51+N60)/(N30+N31*N15/N14),"")</f>
        <v>24.470259587148085</v>
      </c>
      <c r="O63" s="43">
        <f t="shared" si="48"/>
        <v>25.092927548043487</v>
      </c>
      <c r="P63" s="43">
        <f t="shared" si="48"/>
        <v>23.211803430546784</v>
      </c>
      <c r="Q63" s="43">
        <f t="shared" si="48"/>
        <v>17.927527099448273</v>
      </c>
      <c r="R63" s="43">
        <f t="shared" si="48"/>
        <v>16.417907188582234</v>
      </c>
      <c r="S63" s="43">
        <f t="shared" si="48"/>
        <v>18.998023093739299</v>
      </c>
      <c r="T63" s="43">
        <f t="shared" si="48"/>
        <v>14.855570236650486</v>
      </c>
      <c r="U63" s="43">
        <f t="shared" si="48"/>
        <v>13.450703570310052</v>
      </c>
      <c r="V63" s="43">
        <f t="shared" si="48"/>
        <v>14.066064420391061</v>
      </c>
      <c r="W63" s="43">
        <f t="shared" si="48"/>
        <v>14.359983459619293</v>
      </c>
      <c r="X63" s="43">
        <f t="shared" si="48"/>
        <v>12.711344706329594</v>
      </c>
      <c r="Y63" s="43">
        <f t="shared" si="48"/>
        <v>12.344183634833824</v>
      </c>
      <c r="Z63" s="43">
        <f t="shared" si="48"/>
        <v>13.183553921568627</v>
      </c>
      <c r="AA63" s="43">
        <f t="shared" si="48"/>
        <v>12.334708528037384</v>
      </c>
      <c r="AB63" s="43">
        <f t="shared" si="48"/>
        <v>12.236514937471052</v>
      </c>
      <c r="AC63" s="43">
        <f t="shared" si="48"/>
        <v>13.292868430461208</v>
      </c>
      <c r="AD63" s="43" t="str">
        <f t="shared" si="48"/>
        <v/>
      </c>
      <c r="AE63" s="43" t="str">
        <f t="shared" si="48"/>
        <v/>
      </c>
      <c r="AF63" s="43" t="str">
        <f t="shared" si="48"/>
        <v/>
      </c>
      <c r="AG63" s="43" t="str">
        <f t="shared" si="48"/>
        <v/>
      </c>
      <c r="AH63" s="43" t="str">
        <f t="shared" si="48"/>
        <v/>
      </c>
      <c r="AI63" s="43" t="str">
        <f t="shared" si="48"/>
        <v/>
      </c>
      <c r="AJ63" s="43" t="str">
        <f t="shared" si="48"/>
        <v/>
      </c>
      <c r="AK63" s="43" t="str">
        <f t="shared" si="48"/>
        <v/>
      </c>
      <c r="AL63" s="43" t="str">
        <f t="shared" si="48"/>
        <v/>
      </c>
      <c r="AM63" s="43" t="str">
        <f t="shared" si="48"/>
        <v/>
      </c>
      <c r="AN63" s="37"/>
    </row>
    <row r="64" spans="2:40" x14ac:dyDescent="0.25">
      <c r="L64" s="51"/>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row>
    <row r="65" spans="2:40" ht="15.75" thickBot="1" x14ac:dyDescent="0.3">
      <c r="B65" s="7" t="s">
        <v>48</v>
      </c>
      <c r="L65" s="51"/>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row>
    <row r="66" spans="2:40" x14ac:dyDescent="0.25">
      <c r="B66" s="22" t="s">
        <v>48</v>
      </c>
      <c r="C66" s="22" t="s">
        <v>44</v>
      </c>
      <c r="F66" s="10">
        <f>F55+F47-SUM(F60:F61)</f>
        <v>-13161000</v>
      </c>
      <c r="G66" s="10">
        <f t="shared" ref="G66:K66" si="49">G55+G47-SUM(G60:G61)</f>
        <v>-14060000</v>
      </c>
      <c r="H66" s="10">
        <f t="shared" si="49"/>
        <v>-37815000</v>
      </c>
      <c r="I66" s="10">
        <f t="shared" si="49"/>
        <v>291000</v>
      </c>
      <c r="J66" s="10">
        <f t="shared" si="49"/>
        <v>-5504000</v>
      </c>
      <c r="K66" s="10">
        <f t="shared" si="49"/>
        <v>552000</v>
      </c>
      <c r="L66" s="49">
        <f>SUM(M66:AM66)</f>
        <v>429559453.04871517</v>
      </c>
      <c r="M66" s="38">
        <f>M55+M47-SUM(M60:M62)</f>
        <v>-48832163.051263765</v>
      </c>
      <c r="N66" s="38">
        <f t="shared" ref="N66:AM66" si="50">N55+N47-SUM(N60:N62)</f>
        <v>-51406157.316805601</v>
      </c>
      <c r="O66" s="38">
        <f t="shared" si="50"/>
        <v>-50614611.823564179</v>
      </c>
      <c r="P66" s="38">
        <f t="shared" si="50"/>
        <v>-27842897.004760031</v>
      </c>
      <c r="Q66" s="38">
        <f t="shared" si="50"/>
        <v>3476947.3992838562</v>
      </c>
      <c r="R66" s="38">
        <f t="shared" si="50"/>
        <v>118733339.9230772</v>
      </c>
      <c r="S66" s="38">
        <f t="shared" si="50"/>
        <v>45743380.672747739</v>
      </c>
      <c r="T66" s="38">
        <f t="shared" si="50"/>
        <v>47667326.700000003</v>
      </c>
      <c r="U66" s="38">
        <f t="shared" si="50"/>
        <v>54491544.900000006</v>
      </c>
      <c r="V66" s="38">
        <f t="shared" si="50"/>
        <v>48422618.100000001</v>
      </c>
      <c r="W66" s="38">
        <f t="shared" si="50"/>
        <v>44836650.649999999</v>
      </c>
      <c r="X66" s="38">
        <f t="shared" si="50"/>
        <v>49667310.850000001</v>
      </c>
      <c r="Y66" s="38">
        <f t="shared" si="50"/>
        <v>47914195.700000003</v>
      </c>
      <c r="Z66" s="38">
        <f t="shared" si="50"/>
        <v>43358261.25</v>
      </c>
      <c r="AA66" s="38">
        <f t="shared" si="50"/>
        <v>44732613.25</v>
      </c>
      <c r="AB66" s="38">
        <f t="shared" si="50"/>
        <v>40658809.950000003</v>
      </c>
      <c r="AC66" s="38">
        <f t="shared" si="50"/>
        <v>24568182.899999999</v>
      </c>
      <c r="AD66" s="38">
        <f t="shared" si="50"/>
        <v>-5276700</v>
      </c>
      <c r="AE66" s="38">
        <f t="shared" si="50"/>
        <v>-38500</v>
      </c>
      <c r="AF66" s="38">
        <f t="shared" si="50"/>
        <v>-38500</v>
      </c>
      <c r="AG66" s="38">
        <f t="shared" si="50"/>
        <v>-94600.000000000015</v>
      </c>
      <c r="AH66" s="38">
        <f t="shared" si="50"/>
        <v>-94600.000000000015</v>
      </c>
      <c r="AI66" s="38">
        <f t="shared" si="50"/>
        <v>-94600.000000000015</v>
      </c>
      <c r="AJ66" s="38">
        <f t="shared" si="50"/>
        <v>-94600.000000000015</v>
      </c>
      <c r="AK66" s="38">
        <f t="shared" si="50"/>
        <v>-94600.000000000015</v>
      </c>
      <c r="AL66" s="38">
        <f t="shared" si="50"/>
        <v>-94600.000000000015</v>
      </c>
      <c r="AM66" s="38">
        <f t="shared" si="50"/>
        <v>-94600.000000000015</v>
      </c>
      <c r="AN66" s="38"/>
    </row>
    <row r="67" spans="2:40" x14ac:dyDescent="0.25">
      <c r="B67" s="3" t="s">
        <v>50</v>
      </c>
      <c r="C67" s="3" t="s">
        <v>44</v>
      </c>
      <c r="L67" s="49">
        <f>SUM(M67:AM67)</f>
        <v>173617040.50365549</v>
      </c>
      <c r="M67" s="49">
        <f>M66</f>
        <v>-48832163.051263765</v>
      </c>
      <c r="N67" s="49">
        <f>N66/(1+$C$9)^(0.25)</f>
        <v>-50195663.111893214</v>
      </c>
      <c r="O67" s="49">
        <f>O66/(1+$C$9)^(0.5)</f>
        <v>-48258966.874815099</v>
      </c>
      <c r="P67" s="49">
        <f>P66/(1+$C$9)^(0.75)</f>
        <v>-25921945.04853154</v>
      </c>
      <c r="Q67" s="49">
        <f>Q66/(1+$C$9)^(1)</f>
        <v>3160838.7450904064</v>
      </c>
      <c r="R67" s="49">
        <f>R66/(1+$C$9)^(2)</f>
        <v>98125328.545103505</v>
      </c>
      <c r="S67" s="49">
        <f>S66/(1+$C$9)^(3)</f>
        <v>34366944.148014881</v>
      </c>
      <c r="T67" s="49">
        <f>T66/(1+$C$9)^(4)</f>
        <v>32556497.399683621</v>
      </c>
      <c r="U67" s="49">
        <f>U66/(1+$C$9)^(5)</f>
        <v>33833756.488441184</v>
      </c>
      <c r="V67" s="49">
        <f>V66/(1+$C$9)^(6)</f>
        <v>27332136.760926444</v>
      </c>
      <c r="W67" s="49">
        <f>W66/(1+$C$9)^(7)</f>
        <v>23007143.4632929</v>
      </c>
      <c r="X67" s="49">
        <f>X66/(1+$C$9)^(8)</f>
        <v>23168846.057108395</v>
      </c>
      <c r="Y67" s="49">
        <f>Y66/(1+$C$9)^(9)</f>
        <v>20318992.942329813</v>
      </c>
      <c r="Z67" s="49">
        <f>Z66/(1+$C$9)^(10)</f>
        <v>16715295.345458891</v>
      </c>
      <c r="AA67" s="49">
        <f>AA66/(1+$C$9)^(11)</f>
        <v>15677278.973566132</v>
      </c>
      <c r="AB67" s="49">
        <f>AB66/(1+$C$9)^(12)</f>
        <v>12954041.951927064</v>
      </c>
      <c r="AC67" s="49">
        <f>AC66/(1+$C$9)^(13)</f>
        <v>7115868.1496219393</v>
      </c>
      <c r="AD67" s="49">
        <f>AD66/(1+$C$9)^(14)</f>
        <v>-1389381.3953973767</v>
      </c>
      <c r="AE67" s="49">
        <f>AE66/(1+$C$9)^(15)</f>
        <v>-9215.6086705582256</v>
      </c>
      <c r="AF67" s="49">
        <f>AF66/(1+$C$9)^(16)</f>
        <v>-8377.7663566297306</v>
      </c>
      <c r="AG67" s="49">
        <f>AG66/(1+$C$9)^(17)</f>
        <v>-18713.838230143865</v>
      </c>
      <c r="AH67" s="49">
        <f>AH66/(1+$C$9)^(18)</f>
        <v>-17012.458963105448</v>
      </c>
      <c r="AI67" s="49">
        <f>AI66/(1+$C$9)^(19)</f>
        <v>-15465.761561684818</v>
      </c>
      <c r="AJ67" s="49">
        <f>AJ66/(1+$C$9)^(20)</f>
        <v>-14059.683035921698</v>
      </c>
      <c r="AK67" s="49">
        <f>AK66/(1+$C$9)^(21)</f>
        <v>-12781.438940602025</v>
      </c>
      <c r="AL67" s="49">
        <f>AL66/(1+$C$9)^(22)</f>
        <v>-11619.407135633784</v>
      </c>
      <c r="AM67" s="49">
        <f>AM66/(1+$C$9)^(23)</f>
        <v>-10563.022114414458</v>
      </c>
      <c r="AN67" s="37"/>
    </row>
  </sheetData>
  <pageMargins left="0.7" right="0.7" top="0.75" bottom="0.75" header="0.3" footer="0.3"/>
  <pageSetup orientation="portrait" r:id="rId1"/>
  <ignoredErrors>
    <ignoredError sqref="L42:L43 L48 L36 L66 L60" formula="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3365-8251-487B-9CA0-20AC17B881A8}">
  <dimension ref="A1:BX92"/>
  <sheetViews>
    <sheetView showGridLines="0" topLeftCell="A49" zoomScale="115" zoomScaleNormal="115" workbookViewId="0">
      <selection activeCell="H77" sqref="H77"/>
    </sheetView>
  </sheetViews>
  <sheetFormatPr defaultRowHeight="15" x14ac:dyDescent="0.25"/>
  <cols>
    <col min="1" max="1" width="10.42578125" customWidth="1"/>
    <col min="2" max="2" width="39.85546875" bestFit="1" customWidth="1"/>
    <col min="3" max="3" width="10" bestFit="1" customWidth="1"/>
    <col min="4" max="4" width="10.42578125" customWidth="1"/>
    <col min="5" max="5" width="12" bestFit="1" customWidth="1"/>
    <col min="6" max="6" width="16.140625" bestFit="1" customWidth="1"/>
    <col min="7" max="7" width="15.28515625" bestFit="1" customWidth="1"/>
    <col min="8" max="8" width="19.7109375" bestFit="1" customWidth="1"/>
    <col min="9" max="9" width="18.7109375" bestFit="1" customWidth="1"/>
    <col min="10" max="10" width="17.7109375" bestFit="1" customWidth="1"/>
    <col min="11" max="11" width="14.42578125" bestFit="1" customWidth="1"/>
    <col min="12" max="12" width="12.7109375" bestFit="1" customWidth="1"/>
    <col min="13" max="13" width="10.85546875" bestFit="1" customWidth="1"/>
    <col min="14" max="14" width="16" bestFit="1" customWidth="1"/>
    <col min="15" max="15" width="18.28515625" bestFit="1" customWidth="1"/>
    <col min="16" max="16" width="19.5703125" bestFit="1" customWidth="1"/>
    <col min="17" max="17" width="18.5703125" bestFit="1" customWidth="1"/>
    <col min="18" max="18" width="12.85546875" bestFit="1" customWidth="1"/>
    <col min="19" max="20" width="12.7109375" bestFit="1" customWidth="1"/>
    <col min="21" max="21" width="16" bestFit="1" customWidth="1"/>
    <col min="22" max="22" width="15.28515625" bestFit="1" customWidth="1"/>
    <col min="23" max="24" width="19.5703125" bestFit="1" customWidth="1"/>
    <col min="25" max="26" width="8.7109375" customWidth="1"/>
  </cols>
  <sheetData>
    <row r="1" spans="1:26" ht="23.25" x14ac:dyDescent="0.35">
      <c r="A1" s="1" t="s">
        <v>73</v>
      </c>
      <c r="B1" s="2"/>
      <c r="C1" s="2"/>
      <c r="D1" s="2"/>
      <c r="E1" s="2"/>
      <c r="F1" s="2"/>
      <c r="G1" s="2"/>
      <c r="H1" s="2"/>
      <c r="I1" s="2"/>
      <c r="J1" s="2"/>
      <c r="K1" s="2"/>
      <c r="L1" s="2"/>
      <c r="M1" s="2"/>
      <c r="N1" s="2"/>
      <c r="O1" s="2"/>
      <c r="P1" s="2"/>
      <c r="Q1" s="2"/>
      <c r="R1" s="2"/>
      <c r="S1" s="2"/>
      <c r="T1" s="2"/>
      <c r="U1" s="2"/>
      <c r="V1" s="2"/>
      <c r="W1" s="2"/>
      <c r="X1" s="2"/>
      <c r="Y1" s="2"/>
      <c r="Z1" s="2"/>
    </row>
    <row r="2" spans="1:26" x14ac:dyDescent="0.25">
      <c r="A2" s="3" t="s">
        <v>0</v>
      </c>
    </row>
    <row r="3" spans="1:26" x14ac:dyDescent="0.25">
      <c r="A3" t="s">
        <v>108</v>
      </c>
    </row>
    <row r="4" spans="1:26" x14ac:dyDescent="0.25">
      <c r="A4" t="s">
        <v>1</v>
      </c>
      <c r="C4" s="3" t="s">
        <v>2</v>
      </c>
      <c r="D4" s="31">
        <f>WACC!C22</f>
        <v>0.1000078395914526</v>
      </c>
    </row>
    <row r="5" spans="1:26" x14ac:dyDescent="0.25">
      <c r="J5" s="19"/>
      <c r="K5" s="19"/>
      <c r="L5" s="17"/>
    </row>
    <row r="6" spans="1:26" x14ac:dyDescent="0.25">
      <c r="B6" s="3" t="s">
        <v>64</v>
      </c>
      <c r="E6" s="3" t="s">
        <v>68</v>
      </c>
      <c r="F6" s="3" t="s">
        <v>24</v>
      </c>
      <c r="G6" s="3" t="s">
        <v>69</v>
      </c>
      <c r="H6" s="3" t="s">
        <v>70</v>
      </c>
      <c r="I6" s="3" t="s">
        <v>71</v>
      </c>
      <c r="J6" s="3" t="s">
        <v>72</v>
      </c>
      <c r="K6" s="17"/>
      <c r="L6" s="3" t="s">
        <v>68</v>
      </c>
      <c r="M6" s="3" t="s">
        <v>24</v>
      </c>
      <c r="N6" s="3" t="s">
        <v>69</v>
      </c>
      <c r="O6" s="3" t="s">
        <v>70</v>
      </c>
      <c r="P6" s="3" t="s">
        <v>71</v>
      </c>
      <c r="Q6" s="3" t="s">
        <v>72</v>
      </c>
      <c r="S6" s="3" t="s">
        <v>68</v>
      </c>
      <c r="T6" s="3" t="s">
        <v>24</v>
      </c>
      <c r="U6" s="3" t="s">
        <v>69</v>
      </c>
      <c r="V6" s="3" t="s">
        <v>70</v>
      </c>
      <c r="W6" s="3" t="s">
        <v>71</v>
      </c>
      <c r="X6" s="3" t="s">
        <v>72</v>
      </c>
    </row>
    <row r="7" spans="1:26" x14ac:dyDescent="0.25">
      <c r="B7" t="s">
        <v>65</v>
      </c>
      <c r="C7" s="9">
        <v>1</v>
      </c>
      <c r="E7" t="s">
        <v>25</v>
      </c>
      <c r="F7" s="10">
        <f>25747</f>
        <v>25747</v>
      </c>
      <c r="G7">
        <f>344</f>
        <v>344</v>
      </c>
      <c r="H7">
        <f>0.91</f>
        <v>0.91</v>
      </c>
      <c r="I7" s="10">
        <f>F7*G7/Auxiliary!$C$4</f>
        <v>284758.13353444781</v>
      </c>
      <c r="J7" s="10">
        <f>F7*H7/Auxiliary!$C$4</f>
        <v>753.28459743124279</v>
      </c>
      <c r="K7" s="17"/>
      <c r="L7" s="18" t="s">
        <v>28</v>
      </c>
      <c r="M7" s="10">
        <f>149000</f>
        <v>149000</v>
      </c>
      <c r="N7" s="10">
        <f>485</f>
        <v>485</v>
      </c>
      <c r="O7">
        <f>1.09</f>
        <v>1.0900000000000001</v>
      </c>
      <c r="P7" s="10">
        <f>M7*N7/Auxiliary!$C$4</f>
        <v>2323373.7007819009</v>
      </c>
      <c r="Q7" s="10">
        <f>M7*O7/Auxiliary!$C$4</f>
        <v>5221.60275021087</v>
      </c>
      <c r="S7" t="s">
        <v>30</v>
      </c>
      <c r="T7" s="10">
        <f>806000</f>
        <v>806000</v>
      </c>
      <c r="U7">
        <f>417</f>
        <v>417</v>
      </c>
      <c r="V7">
        <f>0.93</f>
        <v>0.93</v>
      </c>
      <c r="W7" s="10">
        <f>T7*U7/Auxiliary!$C$4</f>
        <v>10805930.223209001</v>
      </c>
      <c r="X7" s="10">
        <f>T7*V7/Auxiliary!$C$4</f>
        <v>24099.556612912162</v>
      </c>
    </row>
    <row r="8" spans="1:26" x14ac:dyDescent="0.25">
      <c r="B8" t="s">
        <v>66</v>
      </c>
      <c r="C8" s="9">
        <v>0.8</v>
      </c>
      <c r="E8" t="s">
        <v>26</v>
      </c>
      <c r="F8" s="11">
        <f>1008000</f>
        <v>1008000</v>
      </c>
      <c r="G8" s="5">
        <f>400</f>
        <v>400</v>
      </c>
      <c r="H8" s="5">
        <f>1.02</f>
        <v>1.02</v>
      </c>
      <c r="I8" s="11">
        <f>F8*G8/Auxiliary!$C$4</f>
        <v>12963181.016470803</v>
      </c>
      <c r="J8" s="11">
        <f>F8*H8/Auxiliary!$C$4</f>
        <v>33056.111592000547</v>
      </c>
      <c r="K8" s="17"/>
      <c r="L8" s="17" t="s">
        <v>29</v>
      </c>
      <c r="M8" s="11">
        <f>476000</f>
        <v>476000</v>
      </c>
      <c r="N8" s="11">
        <f>324</f>
        <v>324</v>
      </c>
      <c r="O8" s="12">
        <f>0.7</f>
        <v>0.7</v>
      </c>
      <c r="P8" s="11">
        <f>M8*N8/Auxiliary!$C$4</f>
        <v>4958416.7388000814</v>
      </c>
      <c r="Q8" s="11">
        <f>M8*O8/Auxiliary!$C$4</f>
        <v>10712.628756666843</v>
      </c>
    </row>
    <row r="9" spans="1:26" x14ac:dyDescent="0.25">
      <c r="B9" t="s">
        <v>67</v>
      </c>
      <c r="C9" s="9">
        <v>0</v>
      </c>
      <c r="E9" t="s">
        <v>27</v>
      </c>
      <c r="F9" s="10">
        <f>SUM(F7:F8)</f>
        <v>1033747</v>
      </c>
      <c r="G9" s="13">
        <f>(G7*F7+G8*F8)/F9</f>
        <v>398.60523706477505</v>
      </c>
      <c r="H9" s="14">
        <f>(F7*H7+F8*H8)/F9</f>
        <v>1.0172602870915224</v>
      </c>
      <c r="I9" s="10">
        <f>SUM(I7:I8)</f>
        <v>13247939.150005251</v>
      </c>
      <c r="J9" s="10">
        <f>SUM(J7:J8)</f>
        <v>33809.396189431791</v>
      </c>
      <c r="L9" s="20" t="s">
        <v>27</v>
      </c>
      <c r="M9" s="10">
        <f>SUM(M7:M8)</f>
        <v>625000</v>
      </c>
      <c r="N9" s="21">
        <f>(N7*M7+N8*M8)/M9</f>
        <v>362.38240000000002</v>
      </c>
      <c r="O9" s="14">
        <f>(O7*M7+O8*M8)/M9</f>
        <v>0.79297600000000001</v>
      </c>
      <c r="P9" s="10">
        <f>SUM(P7:P8)</f>
        <v>7281790.4395819828</v>
      </c>
      <c r="Q9" s="10">
        <f>SUM(Q7:Q8)</f>
        <v>15934.231506877713</v>
      </c>
    </row>
    <row r="10" spans="1:26" x14ac:dyDescent="0.25">
      <c r="B10" s="19"/>
      <c r="C10" s="17"/>
      <c r="D10" s="17"/>
    </row>
    <row r="11" spans="1:26" x14ac:dyDescent="0.25">
      <c r="B11" s="6" t="s">
        <v>7</v>
      </c>
      <c r="C11" s="6" t="s">
        <v>8</v>
      </c>
      <c r="D11" s="6"/>
      <c r="E11" s="6" t="s">
        <v>63</v>
      </c>
      <c r="F11" s="6" t="s">
        <v>10</v>
      </c>
      <c r="G11" s="6" t="s">
        <v>11</v>
      </c>
      <c r="H11" s="6" t="s">
        <v>12</v>
      </c>
      <c r="I11" s="6" t="s">
        <v>13</v>
      </c>
      <c r="J11" s="6" t="s">
        <v>55</v>
      </c>
      <c r="K11" s="6" t="s">
        <v>9</v>
      </c>
      <c r="L11" s="6" t="s">
        <v>56</v>
      </c>
      <c r="M11" s="6" t="s">
        <v>60</v>
      </c>
      <c r="N11" s="6" t="s">
        <v>61</v>
      </c>
      <c r="O11" s="6" t="s">
        <v>62</v>
      </c>
      <c r="P11" s="6" t="s">
        <v>57</v>
      </c>
      <c r="Q11" s="6" t="s">
        <v>14</v>
      </c>
      <c r="R11" s="6" t="s">
        <v>15</v>
      </c>
      <c r="S11" s="6" t="s">
        <v>16</v>
      </c>
      <c r="T11" s="6" t="s">
        <v>17</v>
      </c>
      <c r="U11" s="6" t="s">
        <v>18</v>
      </c>
      <c r="V11" s="6" t="s">
        <v>58</v>
      </c>
      <c r="W11" s="6" t="s">
        <v>59</v>
      </c>
      <c r="X11" s="6" t="s">
        <v>115</v>
      </c>
      <c r="Y11" s="6"/>
      <c r="Z11" s="6"/>
    </row>
    <row r="12" spans="1:26" x14ac:dyDescent="0.25">
      <c r="K12" s="37"/>
      <c r="L12" s="37"/>
      <c r="M12" s="37"/>
      <c r="N12" s="37"/>
      <c r="O12" s="37"/>
      <c r="P12" s="37"/>
      <c r="Q12" s="37"/>
      <c r="R12" s="37"/>
      <c r="S12" s="37"/>
      <c r="T12" s="37"/>
      <c r="U12" s="37"/>
      <c r="V12" s="37"/>
      <c r="W12" s="37"/>
      <c r="X12" s="37"/>
    </row>
    <row r="13" spans="1:26" ht="15.75" thickBot="1" x14ac:dyDescent="0.3">
      <c r="B13" s="7" t="s">
        <v>19</v>
      </c>
      <c r="K13" s="37"/>
      <c r="L13" s="37"/>
      <c r="M13" s="37"/>
      <c r="N13" s="37"/>
      <c r="O13" s="37"/>
      <c r="P13" s="37"/>
      <c r="Q13" s="37"/>
      <c r="R13" s="37"/>
      <c r="S13" s="37"/>
      <c r="T13" s="37"/>
      <c r="U13" s="37"/>
      <c r="V13" s="37"/>
      <c r="W13" s="37"/>
      <c r="X13" s="37"/>
    </row>
    <row r="14" spans="1:26" x14ac:dyDescent="0.25">
      <c r="B14" t="s">
        <v>53</v>
      </c>
      <c r="C14" t="s">
        <v>20</v>
      </c>
      <c r="E14">
        <v>17.239999999999998</v>
      </c>
      <c r="F14">
        <v>15.65</v>
      </c>
      <c r="G14">
        <v>16.29</v>
      </c>
      <c r="H14" s="14">
        <v>21.6</v>
      </c>
      <c r="I14">
        <v>25.22</v>
      </c>
      <c r="J14">
        <v>24.38</v>
      </c>
      <c r="K14" s="47">
        <f>AVERAGE(L14:W14)</f>
        <v>24.333333333333332</v>
      </c>
      <c r="L14" s="37">
        <f>'Central sheet '!M14</f>
        <v>22</v>
      </c>
      <c r="M14" s="37">
        <f>'Central sheet '!N14</f>
        <v>22</v>
      </c>
      <c r="N14" s="37">
        <f>'Central sheet '!O14</f>
        <v>23</v>
      </c>
      <c r="O14" s="37">
        <f>'Central sheet '!P14</f>
        <v>25</v>
      </c>
      <c r="P14" s="37">
        <f>'Central sheet '!Q14</f>
        <v>25</v>
      </c>
      <c r="Q14" s="37">
        <f>'Central sheet '!R14</f>
        <v>25</v>
      </c>
      <c r="R14" s="37">
        <f>'Central sheet '!S14</f>
        <v>25</v>
      </c>
      <c r="S14" s="37">
        <f>'Central sheet '!T14</f>
        <v>25</v>
      </c>
      <c r="T14" s="37">
        <f>'Central sheet '!U14</f>
        <v>25</v>
      </c>
      <c r="U14" s="37">
        <f>'Central sheet '!V14</f>
        <v>25</v>
      </c>
      <c r="V14" s="37">
        <f>'Central sheet '!W14</f>
        <v>25</v>
      </c>
      <c r="W14" s="37">
        <f>'Central sheet '!X14</f>
        <v>25</v>
      </c>
      <c r="X14" s="37"/>
    </row>
    <row r="15" spans="1:26" x14ac:dyDescent="0.25">
      <c r="B15" t="s">
        <v>54</v>
      </c>
      <c r="C15" t="s">
        <v>20</v>
      </c>
      <c r="E15" s="10">
        <v>1285</v>
      </c>
      <c r="F15" s="10">
        <v>1267</v>
      </c>
      <c r="G15" s="10">
        <v>1422</v>
      </c>
      <c r="H15" s="10">
        <v>1846</v>
      </c>
      <c r="I15" s="10">
        <v>1790</v>
      </c>
      <c r="J15" s="10">
        <v>1970</v>
      </c>
      <c r="K15" s="49">
        <f>AVERAGE(L15:W15)</f>
        <v>1772.5</v>
      </c>
      <c r="L15" s="38">
        <f>'Central sheet '!M15</f>
        <v>1870</v>
      </c>
      <c r="M15" s="38">
        <f>'Central sheet '!N15</f>
        <v>1850</v>
      </c>
      <c r="N15" s="38">
        <f>'Central sheet '!O15</f>
        <v>1800</v>
      </c>
      <c r="O15" s="38">
        <f>'Central sheet '!P15</f>
        <v>1750</v>
      </c>
      <c r="P15" s="38">
        <f>'Central sheet '!Q15</f>
        <v>1750</v>
      </c>
      <c r="Q15" s="38">
        <f>'Central sheet '!R15</f>
        <v>1750</v>
      </c>
      <c r="R15" s="38">
        <f>'Central sheet '!S15</f>
        <v>1750</v>
      </c>
      <c r="S15" s="38">
        <f>'Central sheet '!T15</f>
        <v>1750</v>
      </c>
      <c r="T15" s="38">
        <f>'Central sheet '!U15</f>
        <v>1750</v>
      </c>
      <c r="U15" s="38">
        <f>'Central sheet '!V15</f>
        <v>1750</v>
      </c>
      <c r="V15" s="38">
        <f>'Central sheet '!W15</f>
        <v>1750</v>
      </c>
      <c r="W15" s="38">
        <f>'Central sheet '!X15</f>
        <v>1750</v>
      </c>
      <c r="X15" s="37"/>
    </row>
    <row r="16" spans="1:26" x14ac:dyDescent="0.25">
      <c r="E16" s="10"/>
      <c r="F16" s="10"/>
      <c r="G16" s="10"/>
      <c r="H16" s="10"/>
      <c r="I16" s="10"/>
      <c r="J16" s="10"/>
      <c r="K16" s="49"/>
      <c r="L16" s="38"/>
      <c r="M16" s="38"/>
      <c r="N16" s="38"/>
      <c r="O16" s="38"/>
      <c r="P16" s="38"/>
      <c r="Q16" s="38"/>
      <c r="R16" s="38"/>
      <c r="S16" s="38"/>
      <c r="T16" s="38"/>
      <c r="U16" s="38"/>
      <c r="V16" s="38"/>
      <c r="W16" s="37"/>
      <c r="X16" s="37"/>
    </row>
    <row r="17" spans="2:76" ht="15.75" thickBot="1" x14ac:dyDescent="0.3">
      <c r="B17" s="7" t="s">
        <v>74</v>
      </c>
      <c r="E17" s="10"/>
      <c r="F17" s="10"/>
      <c r="G17" s="10"/>
      <c r="H17" s="10"/>
      <c r="I17" s="10"/>
      <c r="J17" s="10"/>
      <c r="K17" s="49"/>
      <c r="L17" s="38"/>
      <c r="M17" s="38"/>
      <c r="N17" s="38"/>
      <c r="O17" s="38"/>
      <c r="P17" s="38"/>
      <c r="Q17" s="38"/>
      <c r="R17" s="38"/>
      <c r="S17" s="38"/>
      <c r="T17" s="38"/>
      <c r="U17" s="38"/>
      <c r="V17" s="38"/>
      <c r="W17" s="37"/>
      <c r="X17" s="37"/>
    </row>
    <row r="18" spans="2:76" x14ac:dyDescent="0.25">
      <c r="B18" t="s">
        <v>25</v>
      </c>
      <c r="C18" t="s">
        <v>35</v>
      </c>
      <c r="E18" s="10"/>
      <c r="F18" s="10"/>
      <c r="G18" s="10"/>
      <c r="H18" s="10"/>
      <c r="I18" s="10"/>
      <c r="J18" s="10">
        <v>127000</v>
      </c>
      <c r="K18" s="49">
        <f>F7</f>
        <v>25747</v>
      </c>
      <c r="L18" s="38">
        <f>J18-J30</f>
        <v>25747</v>
      </c>
      <c r="M18" s="38">
        <f>IF(L18-L29*91&gt;=0,L18-L29*91,0)</f>
        <v>0</v>
      </c>
      <c r="N18" s="38">
        <f>IF(M18-M29*92&gt;=0,M18-M29*92,0)</f>
        <v>0</v>
      </c>
      <c r="O18" s="38">
        <f>IF(N18-N29*92&gt;=0,N18-N29*92,0)</f>
        <v>0</v>
      </c>
      <c r="P18" s="38">
        <f>IF(O18-O29*90&gt;=0,O18-O29*90,0)</f>
        <v>0</v>
      </c>
      <c r="Q18" s="38">
        <f>IF(P18-P29*275&gt;=0,P18-P29*275,0)</f>
        <v>0</v>
      </c>
      <c r="R18" s="38">
        <f>IF(Q18-Q29*366&gt;=0,Q18-Q29*366,0)</f>
        <v>0</v>
      </c>
      <c r="S18" s="38">
        <f>IF(R18-R29*365&gt;=0,R18-R29*365,0)</f>
        <v>0</v>
      </c>
      <c r="T18" s="38">
        <f t="shared" ref="T18:U18" si="0">IF(S18-S29*365&gt;=0,S18-S29*365,0)</f>
        <v>0</v>
      </c>
      <c r="U18" s="38">
        <f t="shared" si="0"/>
        <v>0</v>
      </c>
      <c r="V18" s="38">
        <f>IF(U18-U29*366&gt;=0,U18-U29*366,0)</f>
        <v>0</v>
      </c>
      <c r="W18" s="38">
        <f>IF(V18-V29*366&gt;=0,V18-V29*366,0)</f>
        <v>0</v>
      </c>
      <c r="X18" s="37"/>
    </row>
    <row r="19" spans="2:76" x14ac:dyDescent="0.25">
      <c r="B19" t="s">
        <v>26</v>
      </c>
      <c r="C19" t="s">
        <v>35</v>
      </c>
      <c r="E19" s="10"/>
      <c r="F19" s="10"/>
      <c r="G19" s="10"/>
      <c r="H19" s="10"/>
      <c r="I19" s="10"/>
      <c r="J19" s="18">
        <v>1008000</v>
      </c>
      <c r="K19" s="50">
        <f>F8</f>
        <v>1008000</v>
      </c>
      <c r="L19" s="38">
        <f>J19</f>
        <v>1008000</v>
      </c>
      <c r="M19" s="38">
        <f>IF(L18-L29*91&gt;=0,L19,IF(L19+L18-L29*91&gt;=0,L19+L18-L29*91,0))</f>
        <v>929097</v>
      </c>
      <c r="N19" s="38">
        <f>IF(M18-M29*92&gt;=0,M19,IF(M19+M18-M29*92&gt;=0,M19+M18-M29*92,0))</f>
        <v>823297</v>
      </c>
      <c r="O19" s="38">
        <f>IF(N18-N29*92=0,N19,IF(N19+N18-N29*92&gt;=0,N19+N18-N29*92,0))</f>
        <v>717497</v>
      </c>
      <c r="P19" s="38">
        <f>IF(O18-O29*90&gt;=0,O19,IF(O19+O18-O29*90&gt;=0,O19+O18-O29*90,0))</f>
        <v>613997</v>
      </c>
      <c r="Q19" s="38">
        <f>IF(P18-P29*275&gt;=0,P19,IF(P19+P18-P29*275&gt;=0,P19+P18-P29*275,0))</f>
        <v>297747</v>
      </c>
      <c r="R19" s="38">
        <f>IF(Q18-Q29*366&gt;=0,Q19,IF(Q19+Q18-Q29*366&gt;=0,Q19+Q18-Q29*366,0))</f>
        <v>0</v>
      </c>
      <c r="S19" s="38">
        <f>IF(R18-R29*365&gt;=0,R19,IF(R19+R18-R29*365&gt;=0,R19+R18-R29*365,0))</f>
        <v>0</v>
      </c>
      <c r="T19" s="38">
        <f>IF(S18-S29*365&gt;=0,S19,IF(S19+S18-S29*365&gt;=0,S19+S18-S29*365,0))</f>
        <v>0</v>
      </c>
      <c r="U19" s="38">
        <f>IF(T18-T29*365&gt;=0,T19,IF(T19+T18-T29*365&gt;=0,T19+T18-T29*365,0))</f>
        <v>0</v>
      </c>
      <c r="V19" s="38">
        <f>IF(U18-U29*366&gt;=0,U19,IF(U19+U18-U29*366&gt;=0,U19+U18-U29*366,0))</f>
        <v>0</v>
      </c>
      <c r="W19" s="38">
        <f>IF(V18-V29*366&gt;=0,V19,IF(V19+V18-V29*366&gt;=0,V19+V18-V29*366,0))</f>
        <v>0</v>
      </c>
      <c r="X19" s="37"/>
    </row>
    <row r="20" spans="2:76" x14ac:dyDescent="0.25">
      <c r="E20" s="10"/>
      <c r="F20" s="10"/>
      <c r="G20" s="10"/>
      <c r="H20" s="10"/>
      <c r="I20" s="10"/>
      <c r="J20" s="10"/>
      <c r="K20" s="49"/>
      <c r="L20" s="38"/>
      <c r="M20" s="38"/>
      <c r="N20" s="38"/>
      <c r="O20" s="38"/>
      <c r="P20" s="38"/>
      <c r="Q20" s="38"/>
      <c r="R20" s="38"/>
      <c r="S20" s="38"/>
      <c r="T20" s="38"/>
      <c r="U20" s="38"/>
      <c r="V20" s="38"/>
      <c r="W20" s="37"/>
      <c r="X20" s="37"/>
    </row>
    <row r="21" spans="2:76" ht="15.75" thickBot="1" x14ac:dyDescent="0.3">
      <c r="B21" s="7" t="s">
        <v>75</v>
      </c>
      <c r="E21" s="10"/>
      <c r="F21" s="10"/>
      <c r="G21" s="10"/>
      <c r="H21" s="10"/>
      <c r="I21" s="10"/>
      <c r="J21" s="10"/>
      <c r="K21" s="49"/>
      <c r="L21" s="38"/>
      <c r="M21" s="38"/>
      <c r="N21" s="38"/>
      <c r="O21" s="38"/>
      <c r="P21" s="38"/>
      <c r="Q21" s="38"/>
      <c r="R21" s="38"/>
      <c r="S21" s="38"/>
      <c r="T21" s="38"/>
      <c r="U21" s="38"/>
      <c r="V21" s="38"/>
      <c r="W21" s="37"/>
      <c r="X21" s="37"/>
    </row>
    <row r="22" spans="2:76" x14ac:dyDescent="0.25">
      <c r="B22" s="23" t="s">
        <v>28</v>
      </c>
      <c r="C22" t="s">
        <v>35</v>
      </c>
      <c r="E22" s="10"/>
      <c r="F22" s="10"/>
      <c r="G22" s="10"/>
      <c r="H22" s="10"/>
      <c r="I22" s="10"/>
      <c r="J22" s="10">
        <f>M7*C7</f>
        <v>149000</v>
      </c>
      <c r="K22" s="50">
        <f>J22</f>
        <v>149000</v>
      </c>
      <c r="L22" s="38">
        <f>J22</f>
        <v>149000</v>
      </c>
      <c r="M22" s="38">
        <f>IF(SUM(L18:L19)-L29*91&gt;=0,L22,IF(SUM(L18:L19)+L22-L29*91&gt;=0,SUM(L18:L19)+L22-L29*91,0))</f>
        <v>149000</v>
      </c>
      <c r="N22" s="38">
        <f>IF(SUM(M18:M19)-M29*92&gt;=0,M22,IF(SUM(M18:M19)+M22-M29*92&gt;=0,SUM(M18:M19)+M22-M29*92,0))</f>
        <v>149000</v>
      </c>
      <c r="O22" s="38">
        <f>IF(SUM(N18:N19)-N29*92&gt;=0,N22,IF(SUM(N18:N19)+N22-N29*92&gt;=0,SUM(N18:N19)+N22-N29*92,0))</f>
        <v>149000</v>
      </c>
      <c r="P22" s="38">
        <f>IF(SUM(O18:O19)-O29*90&gt;=0,O22,IF(SUM(O18:O19)+O22-O29*90&gt;=0,SUM(O18:O19)+O22-O29*90,0))</f>
        <v>149000</v>
      </c>
      <c r="Q22" s="38">
        <f>IF(SUM(P18:P19)-P29*275&gt;=0,P22,IF(SUM(P18:P19)+P22-P29*275&gt;=0,SUM(P18:P19)+P22-P29*275,0))</f>
        <v>149000</v>
      </c>
      <c r="R22" s="38">
        <f>IF(SUM(Q18:Q19)-Q29*366&gt;=0,Q22,IF(SUM(Q18:Q19)+Q22-Q29*366&gt;=0,SUM(Q18:Q19)+Q22-Q29*366,0))</f>
        <v>25847</v>
      </c>
      <c r="S22" s="38">
        <f>IF(SUM(R18:R19)-R29*365&gt;=0,R22,IF(SUM(R18:R19)+R22-R29*365&gt;=0,SUM(R18:R19)+R22-R29*365,0))</f>
        <v>0</v>
      </c>
      <c r="T22" s="38">
        <f>IF(SUM(S18:S19)-S29*365&gt;=0,S22,IF(SUM(S18:S19)+S22-S29*365&gt;=0,SUM(S18:S19)+S22-S29*365,0))</f>
        <v>0</v>
      </c>
      <c r="U22" s="38">
        <f>IF(SUM(T18:T19)-T29*365&gt;=0,T22,IF(SUM(T18:T19)+T22-T29*365&gt;=0,SUM(T18:T19)+T22-T29*365,0))</f>
        <v>0</v>
      </c>
      <c r="V22" s="38">
        <f>IF(SUM(U18:U19)-U29*366&gt;=0,U22,IF(SUM(U18:U19)+U22-U29*366&gt;=0,SUM(U18:U19)+U22-U29*366,0))</f>
        <v>0</v>
      </c>
      <c r="W22" s="38">
        <f>IF(SUM(V18:V19)-V29*366&gt;=0,V22,IF(SUM(V18:V19)+V22-V29*366&gt;=0,SUM(V18:V19)+V22-V29*366,0))</f>
        <v>0</v>
      </c>
      <c r="X22" s="37"/>
    </row>
    <row r="23" spans="2:76" x14ac:dyDescent="0.25">
      <c r="B23" s="24" t="s">
        <v>29</v>
      </c>
      <c r="C23" t="s">
        <v>35</v>
      </c>
      <c r="J23" s="18">
        <f>M8*C8</f>
        <v>380800</v>
      </c>
      <c r="K23" s="50">
        <f>J23</f>
        <v>380800</v>
      </c>
      <c r="L23" s="39">
        <f>J23</f>
        <v>380800</v>
      </c>
      <c r="M23" s="39">
        <f>IF(SUM(L18:L19)+L22-L29*91&gt;=0,L23,IF(SUM(L18:L19)+SUM(L22:L23)-L29*91&gt;=0,SUM(L18:L19)+SUM(L22:L23)-L29*91,0))</f>
        <v>380800</v>
      </c>
      <c r="N23" s="39">
        <f>IF(SUM(M18:M19)+M22-M29*92&gt;=0,M23,IF(SUM(M18:M19)+SUM(M22:M23)-M29*92&gt;=0,SUM(M18:M19)+SUM(M22:M23)-M29*92,0))</f>
        <v>380800</v>
      </c>
      <c r="O23" s="39">
        <f>IF(SUM(N18:N19)+N22-N29*92&gt;=0,N23,IF(SUM(N18:N19)+SUM(N22:N23)-N29*92&gt;=0,SUM(N18:N19)+SUM(N22:N23)-N29*92,0))</f>
        <v>380800</v>
      </c>
      <c r="P23" s="39">
        <f>IF(SUM(O18:O19)+O22-O29*90&gt;=0,O23,IF(SUM(O18:O19)+SUM(O22:O23)-O29*90&gt;=0,SUM(O18:O19)+SUM(O22:O23)-O29*90,0))</f>
        <v>380800</v>
      </c>
      <c r="Q23" s="39">
        <f>IF(SUM(P18:P19)+P22-P29*275&gt;=0,P23,IF(SUM(P18:P19)+SUM(P22:P23)-P29*275&gt;=0,SUM(P18:P19)+SUM(P22:P23)-P29*275,0))</f>
        <v>380800</v>
      </c>
      <c r="R23" s="39">
        <f>IF(SUM(Q18:Q19)+Q22-Q29*366&gt;=0,Q23,IF(SUM(Q18:Q19)+SUM(Q22:Q23)-Q29*366&gt;=0,SUM(Q18:Q19)+SUM(Q22:Q23)-Q29*366,0))</f>
        <v>380800</v>
      </c>
      <c r="S23" s="39">
        <f>IF(SUM(R18:R19)+R22-R29*365&gt;=0,R23,IF(SUM(R18:R19)+SUM(R22:R23)-R29*365&gt;=0,SUM(R18:R19)+SUM(R22:R23)-R29*365,0))</f>
        <v>0</v>
      </c>
      <c r="T23" s="39">
        <f>IF(SUM(S18:S19)+S22-S29*365&gt;=0,S23,IF(SUM(S18:S19)+SUM(S22:S23)-S29*365&gt;=0,SUM(S18:S19)+SUM(S22:S23)-S29*365,0))</f>
        <v>0</v>
      </c>
      <c r="U23" s="39">
        <f>IF(SUM(T18:T19)+T22-T29*365&gt;=0,T23,IF(SUM(T18:T19)+SUM(T22:T23)-T29*365&gt;=0,SUM(T18:T19)+SUM(T22:T23)-T29*365,0))</f>
        <v>0</v>
      </c>
      <c r="V23" s="39">
        <f>IF(SUM(U18:U19)+U22-U29*366&gt;=0,U23,IF(SUM(U18:U19)+SUM(U22:U23)-U29*366&gt;=0,SUM(U18:U19)+SUM(U22:U23)-U29*366,0))</f>
        <v>0</v>
      </c>
      <c r="W23" s="39">
        <f>IF(SUM(V18:V19)+V22-V29*366&gt;=0,V23,IF(SUM(V18:V19)+SUM(V22:V23)-V29*366&gt;=0,SUM(V18:V19)+SUM(V22:V23)-V29*366,0))</f>
        <v>0</v>
      </c>
      <c r="X23" s="37"/>
      <c r="BX23" t="s">
        <v>78</v>
      </c>
    </row>
    <row r="24" spans="2:76" x14ac:dyDescent="0.25">
      <c r="B24" s="24"/>
      <c r="K24" s="51"/>
      <c r="L24" s="40"/>
      <c r="M24" s="40"/>
      <c r="N24" s="40"/>
      <c r="O24" s="40"/>
      <c r="P24" s="40"/>
      <c r="Q24" s="40"/>
      <c r="R24" s="37"/>
      <c r="S24" s="37"/>
      <c r="T24" s="37"/>
      <c r="U24" s="37"/>
      <c r="V24" s="37"/>
      <c r="W24" s="37"/>
      <c r="X24" s="37"/>
    </row>
    <row r="25" spans="2:76" ht="15.75" thickBot="1" x14ac:dyDescent="0.3">
      <c r="B25" s="7" t="s">
        <v>76</v>
      </c>
      <c r="K25" s="51"/>
      <c r="L25" s="40"/>
      <c r="M25" s="40"/>
      <c r="N25" s="40"/>
      <c r="O25" s="40"/>
      <c r="P25" s="40"/>
      <c r="Q25" s="40"/>
      <c r="R25" s="37"/>
      <c r="S25" s="37"/>
      <c r="T25" s="37"/>
      <c r="U25" s="37"/>
      <c r="V25" s="37"/>
      <c r="W25" s="37"/>
      <c r="X25" s="37"/>
    </row>
    <row r="26" spans="2:76" x14ac:dyDescent="0.25">
      <c r="B26" s="24" t="s">
        <v>77</v>
      </c>
      <c r="C26" t="s">
        <v>35</v>
      </c>
      <c r="J26" s="10">
        <f>T7*C9</f>
        <v>0</v>
      </c>
      <c r="K26" s="49">
        <f>J26</f>
        <v>0</v>
      </c>
      <c r="L26" s="39">
        <f>J26</f>
        <v>0</v>
      </c>
      <c r="M26" s="39">
        <f>IF(SUM(L18:L19)+SUM(L22:L23)-L29*91&gt;=0,L26,IF(SUM(L18:L19)+SUM(L22:L23)+L26-L29*91&gt;=0,SUM(L18:L19)+SUM(L22:L23)+L26-L29*91,0))</f>
        <v>0</v>
      </c>
      <c r="N26" s="39">
        <f>IF(SUM(M18:M19)+SUM(M22:M23)-M29*92&gt;=0,M26,IF(SUM(M18:M19)+SUM(M22:M23)+M26-M29*92&gt;=0,SUM(M18:M19)+SUM(M22:M23)+M26-M29*92,0))</f>
        <v>0</v>
      </c>
      <c r="O26" s="39">
        <f>IF(SUM(N18:N19)+SUM(N22:N23)-N29*92&gt;=0,N26,IF(SUM(N18:N19)+SUM(N22:N23)+N26-N29*92&gt;=0,SUM(N18:N19)+SUM(N22:N23)+N26-N29*92,0))</f>
        <v>0</v>
      </c>
      <c r="P26" s="39">
        <f>IF(SUM(O18:O19)+SUM(O22:O23)-O29*90&gt;=0,O26,IF(SUM(O18:O19)+SUM(O22:O23)+O26-O29*90&gt;=0,SUM(O18:O19)+SUM(O22:O23)+O26-O29*90,0))</f>
        <v>0</v>
      </c>
      <c r="Q26" s="39">
        <f>IF(SUM(P18:P19)+SUM(P22:P23)-P29*275&gt;=0,P26,IF(SUM(P18:P19)+SUM(P22:P23)+P26-P29*275&gt;=0,SUM(P18:P19)+SUM(P22:P23)+P26-P29*275,0))</f>
        <v>0</v>
      </c>
      <c r="R26" s="39">
        <f>IF(SUM(Q18:Q19)+SUM(Q22:Q23)-Q29*366&gt;=0,Q26,IF(SUM(Q18:Q19)+SUM(Q22:Q23)+Q26-Q29*366&gt;=0,SUM(Q18:Q19)+SUM(Q22:Q23)+Q26-Q29*366,0))</f>
        <v>0</v>
      </c>
      <c r="S26" s="39">
        <f>IF(SUM(R18:R19)+SUM(R22:R23)-R29*365&gt;=0,R26,IF(SUM(R18:R19)+SUM(R22:R23)+R26-R29*365&gt;=0,SUM(R18:R19)+SUM(R22:R23)+R26-R29*365,0))</f>
        <v>0</v>
      </c>
      <c r="T26" s="39">
        <f>IF(SUM(S18:S19)+SUM(S22:S23)-S29*365&gt;=0,S26,IF(SUM(S18:S19)+SUM(S22:S23)+S26-S29*365&gt;=0,SUM(S18:S19)+SUM(S22:S23)+S26-S29*365,0))</f>
        <v>0</v>
      </c>
      <c r="U26" s="39">
        <f>IF(SUM(T18:T19)+SUM(T22:T23)-T29*365&gt;=0,T26,IF(SUM(T18:T19)+SUM(T22:T23)+T26-T29*365&gt;=0,SUM(T18:T19)+SUM(T22:T23)+T26-T29*365,0))</f>
        <v>0</v>
      </c>
      <c r="V26" s="39">
        <f>IF(SUM(U18:U19)+SUM(U22:U23)-U29*366&gt;=0,U26,IF(SUM(U18:U19)+SUM(U22:U23)+U26-U29*366&gt;=0,SUM(U18:U19)+SUM(U22:U23)+U26-U29*366,0))</f>
        <v>0</v>
      </c>
      <c r="W26" s="39">
        <f>IF(SUM(V18:V19)+SUM(V22:V23)-V29*366&gt;=0,V26,IF(SUM(V18:V19)+SUM(V22:V23)+V26-V29*366&gt;=0,SUM(V18:V19)+SUM(V22:V23)+V26-V29*366,0))</f>
        <v>0</v>
      </c>
      <c r="X26" s="37"/>
    </row>
    <row r="27" spans="2:76" x14ac:dyDescent="0.25">
      <c r="B27" s="24"/>
      <c r="K27" s="51"/>
      <c r="L27" s="41"/>
      <c r="M27" s="41"/>
      <c r="N27" s="41"/>
      <c r="O27" s="41"/>
      <c r="P27" s="41"/>
      <c r="Q27" s="41"/>
      <c r="R27" s="41"/>
      <c r="S27" s="41"/>
      <c r="T27" s="41"/>
      <c r="U27" s="41"/>
      <c r="V27" s="37"/>
      <c r="W27" s="37"/>
      <c r="X27" s="37"/>
    </row>
    <row r="28" spans="2:76" ht="15.75" thickBot="1" x14ac:dyDescent="0.3">
      <c r="B28" s="7" t="s">
        <v>31</v>
      </c>
      <c r="K28" s="51"/>
      <c r="L28" s="37"/>
      <c r="M28" s="37"/>
      <c r="N28" s="37"/>
      <c r="O28" s="37"/>
      <c r="P28" s="37"/>
      <c r="Q28" s="37"/>
      <c r="R28" s="37"/>
      <c r="S28" s="37"/>
      <c r="T28" s="37"/>
      <c r="U28" s="37"/>
      <c r="V28" s="37"/>
      <c r="W28" s="37"/>
      <c r="X28" s="37"/>
    </row>
    <row r="29" spans="2:76" x14ac:dyDescent="0.25">
      <c r="B29" t="s">
        <v>32</v>
      </c>
      <c r="C29" t="s">
        <v>33</v>
      </c>
      <c r="E29" s="10">
        <v>880</v>
      </c>
      <c r="F29" s="10">
        <v>841</v>
      </c>
      <c r="G29" s="10">
        <v>885</v>
      </c>
      <c r="H29" s="10">
        <v>947</v>
      </c>
      <c r="I29" s="10">
        <v>1135</v>
      </c>
      <c r="J29" s="10">
        <v>1125</v>
      </c>
      <c r="K29" s="49">
        <f>AVERAGE(L29:W29)</f>
        <v>1150</v>
      </c>
      <c r="L29" s="38">
        <v>1150</v>
      </c>
      <c r="M29" s="38">
        <f>L29</f>
        <v>1150</v>
      </c>
      <c r="N29" s="38">
        <f t="shared" ref="N29:U29" si="1">M29</f>
        <v>1150</v>
      </c>
      <c r="O29" s="38">
        <f t="shared" si="1"/>
        <v>1150</v>
      </c>
      <c r="P29" s="38">
        <f>1150</f>
        <v>1150</v>
      </c>
      <c r="Q29" s="38">
        <f>P29</f>
        <v>1150</v>
      </c>
      <c r="R29" s="38">
        <f t="shared" si="1"/>
        <v>1150</v>
      </c>
      <c r="S29" s="38">
        <f t="shared" si="1"/>
        <v>1150</v>
      </c>
      <c r="T29" s="38">
        <f t="shared" si="1"/>
        <v>1150</v>
      </c>
      <c r="U29" s="38">
        <f t="shared" si="1"/>
        <v>1150</v>
      </c>
      <c r="V29" s="38">
        <f>U29</f>
        <v>1150</v>
      </c>
      <c r="W29" s="38">
        <f>V29</f>
        <v>1150</v>
      </c>
      <c r="X29" s="37"/>
    </row>
    <row r="30" spans="2:76" x14ac:dyDescent="0.25">
      <c r="B30" t="s">
        <v>34</v>
      </c>
      <c r="C30" t="s">
        <v>35</v>
      </c>
      <c r="E30" s="10">
        <v>321113</v>
      </c>
      <c r="F30" s="10">
        <v>307042</v>
      </c>
      <c r="G30" s="10">
        <v>322988</v>
      </c>
      <c r="H30" s="10">
        <v>346679</v>
      </c>
      <c r="I30" s="10">
        <v>414355</v>
      </c>
      <c r="J30" s="10">
        <v>101253</v>
      </c>
      <c r="K30" s="49">
        <f>SUM(L30:W30)</f>
        <v>1563547</v>
      </c>
      <c r="L30" s="38">
        <f>L29*91</f>
        <v>104650</v>
      </c>
      <c r="M30" s="38">
        <f>IF(M29*92&gt;=M26+SUM(M22:M23)+SUM(M18:M19),M26+SUM(M22:M23)+SUM(M18:M19),M29*92)</f>
        <v>105800</v>
      </c>
      <c r="N30" s="38">
        <f>IF(N29*92&gt;=N26+SUM(N22:N23)+SUM(N18:N19),N26+SUM(N22:N23)+SUM(N18:N19),N29*92)</f>
        <v>105800</v>
      </c>
      <c r="O30" s="38">
        <f>IF(O29*90&gt;=O26+SUM(O22:O23)+SUM(O18:O19),O26+SUM(O22:O23)+SUM(O18:O19),O29*90)</f>
        <v>103500</v>
      </c>
      <c r="P30" s="38">
        <f>IF(P29*275&gt;=P26+SUM(P22:P23)+SUM(P18:P19),P26+SUM(P22:P23)+SUM(P18:P19),P29*275)</f>
        <v>316250</v>
      </c>
      <c r="Q30" s="38">
        <f>IF(Q29*366&gt;=Q26+SUM(Q22:Q23)+SUM(Q18:Q19),Q26+SUM(Q22:Q23)+SUM(Q18:Q19),Q29*366)</f>
        <v>420900</v>
      </c>
      <c r="R30" s="38">
        <f>IF(R29*365&gt;=R26+SUM(R22:R23)+SUM(R18:R19),R26+SUM(R22:R23)+SUM(R18:R19),R29*365)</f>
        <v>406647</v>
      </c>
      <c r="S30" s="38">
        <f t="shared" ref="S30:T30" si="2">IF(S29*365&gt;=S26+SUM(S22:S23)+SUM(S18:S19),S26+SUM(S22:S23)+SUM(S18:S19),S29*365)</f>
        <v>0</v>
      </c>
      <c r="T30" s="38">
        <f t="shared" si="2"/>
        <v>0</v>
      </c>
      <c r="U30" s="38">
        <f>IF(U29*366&gt;=U26+SUM(U22:U23)+SUM(U18:U19),U26+SUM(U22:U23)+SUM(U18:U19),U29*366)</f>
        <v>0</v>
      </c>
      <c r="V30" s="38">
        <f t="shared" ref="V30:W30" si="3">IF(V29*365&gt;=V26+SUM(V22:V23)+SUM(V18:V19),V26+SUM(V22:V23)+SUM(V18:V19),V29*365)</f>
        <v>0</v>
      </c>
      <c r="W30" s="38">
        <f t="shared" si="3"/>
        <v>0</v>
      </c>
      <c r="X30" s="37"/>
    </row>
    <row r="31" spans="2:76" x14ac:dyDescent="0.25">
      <c r="B31" t="s">
        <v>36</v>
      </c>
      <c r="C31" t="s">
        <v>37</v>
      </c>
      <c r="E31">
        <v>230</v>
      </c>
      <c r="F31">
        <v>222</v>
      </c>
      <c r="G31">
        <v>234</v>
      </c>
      <c r="H31">
        <v>314</v>
      </c>
      <c r="I31">
        <v>370</v>
      </c>
      <c r="J31" s="10">
        <v>407</v>
      </c>
      <c r="K31" s="49">
        <f>AVERAGEIF(L31:W31,"&gt;0")</f>
        <v>378.44341314364982</v>
      </c>
      <c r="L31" s="37">
        <v>370</v>
      </c>
      <c r="M31" s="38">
        <v>360</v>
      </c>
      <c r="N31" s="42">
        <v>360</v>
      </c>
      <c r="O31" s="38">
        <v>400</v>
      </c>
      <c r="P31" s="42">
        <f>IF(P18&gt;=P29*275,$G$7,IF(AND(P18=0,P19&gt;=P29*275),$G$8,IF(AND(P18+P19=0,P22&gt;=P29*275),$N$7,IF(AND(SUM(P18:P19)+P22=0,P23&gt;=P29*275),$N$8,IF(AND(SUM(P18:P19)+SUM(P22:P23)=0,P26&gt;=P29*275),$U$7,IF(SUM(P18:P19)+SUM(P22:P23)+P26=0,0,IF(AND(P29*275&gt;SUM(P18:P19),SUM(P18:P19)+P22&gt;=P29*275),(P18*$G$7+P19*$G$8+(P22-Q22)*$N$7)/(P29*275),IF(AND(P29*275&gt;P19+P22,P19+SUM(P22:P23)&gt;=P29*275),(P19*$G$8+P22*$N$7+(P23-Q23)*$N$8)/(P29*275),IF(AND(P29*275&gt;SUM(P22:P23),SUM(P22:P23)+P26&gt;=P29*275),(P22*$N$7+P23*$N$8+(P26-Q26)*$U$7)/(P29*275),IF(AND(P29*275&gt;P18,P18+P19&gt;=P29*275),(P18*$G$7+(P19-Q19)*$G$8)/(P29*275),IF(AND(P29*275&gt;P19,P19+P22&gt;=P29*275),(P19*$G$8+(P22-Q22)*$N$7)/(P29*275),IF(AND(P29*275&gt;P22,SUM(P22:P23)&gt;=P29*275),(P22*$N$7+(P23-Q23)*$N$8)/(P29*275),IF(AND(P29*275&gt;P23,P23+P26&gt;=P29*275),(P23*$N$8+(P26-Q26)*$U$7)/(P29*275),IF(AND(P18&gt;0,P19&gt;0,P29*275&gt;SUM(P18:P19)),(P18*$G$7+P19*$G$8)/SUM(P18:P19),IF(AND(P19&gt;0,P22&gt;0,P29*275&gt;SUM(P19:P22)),(P19*$G$8+P22*$N$7)/SUM(P19:P22),IF(AND(P22&gt;0,P23&gt;0,P29*275&gt;SUM(P22:P23)),(P22*$N$7+P23*$N$8)/SUM(P22:P23),IF(AND(P23&gt;0,P26&gt;0,P29*275&gt;SUM(P23:P26)),(P23*$N$8+P26*$U$7)/SUM(P23:P26),IF(AND(P19&gt;0,P29*275&gt;P19),$G$8,IF(AND(P22&gt;0,P29*275&gt;P22),$N$7,IF(AND(P23&gt;0,P29*275&gt;P23),$N$8,IF(AND(P26&gt;0,P29*275&gt;P26),$U$7)))))))))))))))))))))</f>
        <v>400</v>
      </c>
      <c r="Q31" s="42">
        <f>IF(Q18&gt;=Q29*366,$G$7,IF(AND(Q18=0,Q19&gt;=Q29*366),$G$8,IF(AND(Q18+Q19=0,Q22&gt;=Q29*366),$N$7,IF(AND(SUM(Q18:Q19)+Q22=0,Q23&gt;=Q29*366),$N$8,IF(AND(SUM(Q18:Q19)+SUM(Q22:Q23)=0,Q26&gt;=Q29*366),$U$7,IF(SUM(Q18:Q19)+SUM(Q22:Q23)+Q26=0,0,IF(AND(Q29*366&gt;SUM(Q18:Q19),SUM(Q18:Q19)+Q22&gt;=Q29*366),(Q18*$G$7+Q19*$G$8+(Q22-R22)*$N$7)/(Q29*366),IF(AND(Q29*366&gt;Q19+Q22,Q19+SUM(Q22:Q23)&gt;=Q29*366),(Q19*$G$8+Q22*$N$7+(Q23-R23)*$N$8)/(Q29*366),IF(AND(Q29*366&gt;SUM(Q22:Q23),SUM(Q22:Q23)+Q26&gt;=Q29*366),(Q22*$N$7+Q23*$N$8+(Q26-R26)*$U$7)/(Q29*366),IF(AND(Q29*366&gt;Q18,Q18+Q19&gt;=Q29*366),(Q18*$G$7+(Q19-R19)*$G$8)/(Q29*366),IF(AND(Q29*366&gt;Q19,Q19+Q22&gt;=Q29*366),(Q19*$G$8+(Q22-R22)*$N$7)/(Q29*366),IF(AND(Q29*366&gt;Q22,SUM(Q22:Q23)&gt;=Q29*366),(Q22*$N$7+(Q23-R23)*$N$8)/(Q29*366),IF(AND(Q29*366&gt;Q23,Q23+Q26&gt;=Q29*366),(Q23*$N$8+(Q26-R26)*$U$7)/(Q29*366),IF(AND(Q18&gt;0,Q19&gt;0,Q29*366&gt;SUM(Q18:Q19)),(Q18*$G$7+Q19*$G$8)/SUM(Q18:Q19),IF(AND(Q19&gt;0,Q22&gt;0,Q29*366&gt;SUM(Q19:Q22)),(Q19*$G$8+Q22*$N$7)/SUM(Q19:Q22),IF(AND(Q22&gt;0,Q23&gt;0,Q29*366&gt;SUM(Q22:Q23)),(Q22*$N$7+Q23*$N$8)/SUM(Q22:Q23),IF(AND(Q23&gt;0,Q26&gt;0,Q29*366&gt;SUM(Q23:Q26)),(Q23*$N$8+Q26*$U$7)/SUM(Q23:Q26),IF(AND(Q19&gt;0,Q29*366&gt;Q19),$G$8,IF(AND(Q22&gt;0,Q29*366&gt;Q22),$N$7,IF(AND(Q23&gt;0,Q29*366&gt;Q23),$N$8,IF(AND(Q26&gt;0,Q29*366&gt;Q26),$U$7)))))))))))))))))))))</f>
        <v>424.87052744119745</v>
      </c>
      <c r="R31" s="42">
        <f>IF(R18&gt;=R29*365,$G$7,IF(AND(R18=0,R19&gt;=R29*365),$G$8,IF(AND(R18+R19=0,R22&gt;=R29*365),$N$7,IF(AND(SUM(R18:R19)+R22=0,R23&gt;=R29*365),$N$8,IF(AND(SUM(R18:R19)+SUM(R22:R23)=0,R26&gt;=R29*365),$U$7,IF(SUM(R18:R19)+SUM(R22:R23)+R26=0,0,IF(AND(R29*365&gt;SUM(R18:R19),SUM(R18:R19)+R22&gt;=R29*365),(R18*$G$7+R19*$G$8+(R22-S22)*$N$7)/(R29*365),IF(AND(R29*365&gt;R19+R22,R19+SUM(R22:R23)&gt;=R29*365),(R19*$G$8+R22*$N$7+(R23-S23)*$N$8)/(R29*365),IF(AND(R29*365&gt;SUM(R22:R23),SUM(R22:R23)+R26&gt;=R29*365),(R22*$N$7+R23*$N$8+(R26-S26)*$U$7)/(R29*365),IF(AND(R29*365&gt;R18,R18+R19&gt;=R29*365),(R18*$G$7+(R19-S19)*$G$8)/(R29*365),IF(AND(R29*365&gt;R19,R19+R22&gt;=R29*365),(R19*$G$8+(R22-S22)*$N$7)/(R29*365),IF(AND(R29*365&gt;R22,SUM(R22:R23)&gt;=R29*365),(R22*$N$7+(R23-S23)*$N$8)/(R29*365),IF(AND(R29*365&gt;R23,R23+R26&gt;=R29*365),(R23*$N$8+(R26-S26)*$U$7)/(R29*365),IF(AND(R18&gt;0,R19&gt;0,R29*365&gt;SUM(R18:R19)),(R18*$G$7+R19*$G$8)/SUM(R18:R19),IF(AND(R19&gt;0,R22&gt;0,R29*365&gt;SUM(R19:R22)),(R19*$G$8+R22*$N$7)/SUM(R19:R22),IF(AND(R22&gt;0,R23&gt;0,R29*365&gt;SUM(R22:R23)),(R22*$N$7+R23*$N$8)/SUM(R22:R23),IF(AND(R23&gt;0,R26&gt;0,R29*365&gt;SUM(R23:R26)),(R23*$N$8+R26*$U$7)/SUM(R23:R26),IF(AND(R19&gt;0,R29*365&gt;R19),$G$8,IF(AND(R22&gt;0,R29*365&gt;R22),$N$7,IF(AND(R23&gt;0,R29*365&gt;R23),$N$8,IF(AND(R26&gt;0,R29*365&gt;R26),$U$7)))))))))))))))))))))</f>
        <v>334.23336456435186</v>
      </c>
      <c r="S31" s="42">
        <f>IF(S18&gt;=S29*365,$G$7,IF(AND(S18=0,S19&gt;=S29*365),$G$8,IF(AND(S18+S19=0,S22&gt;=S29*365),$N$7,IF(AND(SUM(S18:S19)+S22=0,S23&gt;=S29*365),$N$8,IF(AND(SUM(S18:S19)+SUM(S22:S23)=0,S26&gt;=S29*365),$U$7,IF(SUM(S18:S19)+SUM(S22:S23)+S26=0,0,IF(AND(S29*365&gt;SUM(S18:S19),SUM(S18:S19)+S22&gt;=S29*365),(S18*$G$7+S19*$G$8+(S22-T22)*$N$7)/(S29*365),IF(AND(S29*365&gt;S19+S22,S19+SUM(S22:S23)&gt;=S29*365),(S19*$G$8+S22*$N$7+(S23-T23)*$N$8)/(S29*365),IF(AND(S29*365&gt;SUM(S22:S23),SUM(S22:S23)+S26&gt;=S29*365),(S22*$N$7+S23*$N$8+(S26-T26)*$U$7)/(S29*365),IF(AND(S29*365&gt;S18,S18+S19&gt;=S29*365),(S18*$G$7+(S19-T19)*$G$8)/(S29*365),IF(AND(S29*365&gt;S19,S19+S22&gt;=S29*365),(S19*$G$8+(S22-T22)*$N$7)/(S29*365),IF(AND(S29*365&gt;S22,SUM(S22:S23)&gt;=S29*365),(S22*$N$7+(S23-T23)*$N$8)/(S29*365),IF(AND(S29*365&gt;S23,S23+S26&gt;=S29*365),(S23*$N$8+(S26-T26)*$U$7)/(S29*365),IF(AND(S18&gt;0,S19&gt;0,S29*365&gt;SUM(S18:S19)),(S18*$G$7+S19*$G$8)/SUM(S18:S19),IF(AND(S19&gt;0,S22&gt;0,S29*365&gt;SUM(S19:S22)),(S19*$G$8+S22*$N$7)/SUM(S19:S22),IF(AND(S22&gt;0,S23&gt;0,S29*365&gt;SUM(S22:S23)),(S22*$N$7+S23*$N$8)/SUM(S22:S23),IF(AND(S23&gt;0,S26&gt;0,S29*365&gt;SUM(S23:S26)),(S23*$N$8+S26*$U$7)/SUM(S23:S26),IF(AND(S19&gt;0,S29*365&gt;S19),$G$8,IF(AND(S22&gt;0,S29*365&gt;S22),$N$7,IF(AND(S23&gt;0,S29*365&gt;S23),$N$8,IF(AND(S26&gt;0,S29*365&gt;S26),$U$7)))))))))))))))))))))</f>
        <v>0</v>
      </c>
      <c r="T31" s="42">
        <f>IF(T18&gt;=T29*365,$G$7,IF(AND(T18=0,T19&gt;=T29*365),$G$8,IF(AND(T18+T19=0,T22&gt;=T29*365),$N$7,IF(AND(SUM(T18:T19)+T22=0,T23&gt;=T29*365),$N$8,IF(AND(SUM(T18:T19)+SUM(T22:T23)=0,T26&gt;=T29*365),$U$7,IF(SUM(T18:T19)+SUM(T22:T23)+T26=0,0,IF(AND(T29*365&gt;SUM(T18:T19),SUM(T18:T19)+T22&gt;=T29*365),(T18*$G$7+T19*$G$8+(T22-U22)*$N$7)/(T29*365),IF(AND(T29*365&gt;T19+T22,T19+SUM(T22:T23)&gt;=T29*365),(T19*$G$8+T22*$N$7+(T23-U23)*$N$8)/(T29*365),IF(AND(T29*365&gt;SUM(T22:T23),SUM(T22:T23)+T26&gt;=T29*365),(T22*$N$7+T23*$N$8+(T26-U26)*$U$7)/(T29*365),IF(AND(T29*365&gt;T18,T18+T19&gt;=T29*365),(T18*$G$7+(T19-U19)*$G$8)/(T29*365),IF(AND(T29*365&gt;T19,T19+T22&gt;=T29*365),(T19*$G$8+(T22-U22)*$N$7)/(T29*365),IF(AND(T29*365&gt;T22,SUM(T22:T23)&gt;=T29*365),(T22*$N$7+(T23-U23)*$N$8)/(T29*365),IF(AND(T29*365&gt;T23,T23+T26&gt;=T29*365),(T23*$N$8+(T26-U26)*$U$7)/(T29*365),IF(AND(T18&gt;0,T19&gt;0,T29*365&gt;SUM(T18:T19)),(T18*$G$7+T19*$G$8)/SUM(T18:T19),IF(AND(T19&gt;0,T22&gt;0,T29*365&gt;SUM(T19:T22)),(T19*$G$8+T22*$N$7)/SUM(T19:T22),IF(AND(T22&gt;0,T23&gt;0,T29*365&gt;SUM(T22:T23)),(T22*$N$7+T23*$N$8)/SUM(T22:T23),IF(AND(T23&gt;0,T26&gt;0,T29*365&gt;SUM(T23:T26)),(T23*$N$8+T26*$U$7)/SUM(T23:T26),IF(AND(T19&gt;0,T29*365&gt;T19),$G$8,IF(AND(T22&gt;0,T29*365&gt;T22),$N$7,IF(AND(T23&gt;0,T29*365&gt;T23),$N$8,IF(AND(T26&gt;0,T29*365&gt;T26),$U$7)))))))))))))))))))))</f>
        <v>0</v>
      </c>
      <c r="U31" s="42">
        <f>IF(U18&gt;=U29*366,$G$7,IF(AND(U18=0,U19&gt;=U29*366),$G$8,IF(AND(U18+U19=0,U22&gt;=U29*366),$N$7,IF(AND(SUM(U18:U19)+U22=0,U23&gt;=U29*366),$N$8,IF(AND(SUM(U18:U19)+SUM(U22:U23)=0,U26&gt;=U29*366),$U$7,IF(SUM(U18:U19)+SUM(U22:U23)+U26=0,0,IF(AND(U29*366&gt;SUM(U18:U19),SUM(U18:U19)+U22&gt;=U29*366),(U18*$G$7+U19*$G$8+(U22-V22)*$N$7)/(U29*366),IF(AND(U29*366&gt;U19+U22,U19+SUM(U22:U23)&gt;=U29*366),(U19*$G$8+U22*$N$7+(U23-V23)*$N$8)/(U29*366),IF(AND(U29*366&gt;SUM(U22:U23),SUM(U22:U23)+U26&gt;=U29*366),(U22*$N$7+U23*$N$8+(U26-V26)*$U$7)/(U29*366),IF(AND(U29*366&gt;U18,U18+U19&gt;=U29*366),(U18*$G$7+(U19-V19)*$G$8)/(U29*366),IF(AND(U29*366&gt;U19,U19+U22&gt;=U29*366),(U19*$G$8+(U22-V22)*$N$7)/(U29*366),IF(AND(U29*366&gt;U22,SUM(U22:U23)&gt;=U29*366),(U22*$N$7+(U23-V23)*$N$8)/(U29*366),IF(AND(U29*366&gt;U23,U23+U26&gt;=U29*366),(U23*$N$8+(U26-V26)*$U$7)/(U29*366),IF(AND(U18&gt;0,U19&gt;0,U29*366&gt;SUM(U18:U19)),(U18*$G$7+U19*$G$8)/SUM(U18:U19),IF(AND(U19&gt;0,U22&gt;0,U29*366&gt;SUM(U19:U22)),(U19*$G$8+U22*$N$7)/SUM(U19:U22),IF(AND(U22&gt;0,U23&gt;0,U29*366&gt;SUM(U22:U23)),(U22*$N$7+U23*$N$8)/SUM(U22:U23),IF(AND(U23&gt;0,U26&gt;0,U29*366&gt;SUM(U23:U26)),(U23*$N$8+U26*$U$7)/SUM(U23:U26),IF(AND(U19&gt;0,U29*366&gt;U19),$G$8,IF(AND(U22&gt;0,U29*366&gt;U22),$N$7,IF(AND(U23&gt;0,U29*366&gt;U23),$N$8,IF(AND(U26&gt;0,U29*366&gt;U26),$U$7)))))))))))))))))))))</f>
        <v>0</v>
      </c>
      <c r="V31" s="42">
        <f>IF(V18&gt;=V29*365,$G$7,IF(AND(V18=0,V19&gt;=V29*365),$G$8,IF(AND(V18+V19=0,V22&gt;=V29*365),$N$7,IF(AND(SUM(V18:V19)+V22=0,V23&gt;=V29*365),$N$8,IF(AND(SUM(V18:V19)+SUM(V22:V23)=0,V26&gt;=V29*365),$U$7,IF(SUM(V18:V19)+SUM(V22:V23)+V26=0,0,IF(AND(V29*365&gt;SUM(V18:V19),SUM(V18:V19)+V22&gt;=V29*365),(V18*$G$7+V19*$G$8+(V22-W22)*$N$7)/(V29*365),IF(AND(V29*365&gt;V19+V22,V19+SUM(V22:V23)&gt;=V29*365),(V19*$G$8+V22*$N$7+(V23-W23)*$N$8)/(V29*365),IF(AND(V29*365&gt;SUM(V22:V23),SUM(V22:V23)+V26&gt;=V29*365),(V22*$N$7+V23*$N$8+(V26-W26)*$U$7)/(V29*365),IF(AND(V29*365&gt;V18,V18+V19&gt;=V29*365),(V18*$G$7+(V19-W19)*$G$8)/(V29*365),IF(AND(V29*365&gt;V19,V19+V22&gt;=V29*365),(V19*$G$8+(V22-W22)*$N$7)/(V29*365),IF(AND(V29*365&gt;V22,SUM(V22:V23)&gt;=V29*365),(V22*$N$7+(V23-W23)*$N$8)/(V29*365),IF(AND(V29*365&gt;V23,V23+V26&gt;=V29*365),(V23*$N$8+(V26-W26)*$U$7)/(V29*365),IF(AND(V18&gt;0,V19&gt;0,V29*365&gt;SUM(V18:V19)),(V18*$G$7+V19*$G$8)/SUM(V18:V19),IF(AND(V19&gt;0,V22&gt;0,V29*365&gt;SUM(V19:V22)),(V19*$G$8+V22*$N$7)/SUM(V19:V22),IF(AND(V22&gt;0,V23&gt;0,V29*365&gt;SUM(V22:V23)),(V22*$N$7+V23*$N$8)/SUM(V22:V23),IF(AND(V23&gt;0,V26&gt;0,V29*365&gt;SUM(V23:V26)),(V23*$N$8+V26*$U$7)/SUM(V23:V26),IF(AND(V19&gt;0,V29*365&gt;V19),$G$8,IF(AND(V22&gt;0,V29*365&gt;V22),$N$7,IF(AND(V23&gt;0,V29*365&gt;V23),$N$8,IF(AND(V26&gt;0,V29*365&gt;V26),$U$7)))))))))))))))))))))</f>
        <v>0</v>
      </c>
      <c r="W31" s="42">
        <f>IF(W18&gt;=W29*365,$G$7,IF(AND(W18=0,W19&gt;=W29*365),$G$8,IF(AND(W18+W19=0,W22&gt;=W29*365),$N$7,IF(AND(SUM(W18:W19)+W22=0,W23&gt;=W29*365),$N$8,IF(AND(SUM(W18:W19)+SUM(W22:W23)=0,W26&gt;=W29*365),$U$7,IF(SUM(W18:W19)+SUM(W22:W23)+W26=0,0,IF(AND(W29*365&gt;SUM(W18:W19),SUM(W18:W19)+W22&gt;=W29*365),(W18*$G$7+W19*$G$8+(W22-X22)*$N$7)/(W29*365),IF(AND(W29*365&gt;W19+W22,W19+SUM(W22:W23)&gt;=W29*365),(W19*$G$8+W22*$N$7+(W23-X23)*$N$8)/(W29*365),IF(AND(W29*365&gt;SUM(W22:W23),SUM(W22:W23)+W26&gt;=W29*365),(W22*$N$7+W23*$N$8+(W26-X26)*$U$7)/(W29*365),IF(AND(W29*365&gt;W18,W18+W19&gt;=W29*365),(W18*$G$7+(W19-X19)*$G$8)/(W29*365),IF(AND(W29*365&gt;W19,W19+W22&gt;=W29*365),(W19*$G$8+(W22-X22)*$N$7)/(W29*365),IF(AND(W29*365&gt;W22,SUM(W22:W23)&gt;=W29*365),(W22*$N$7+(W23-X23)*$N$8)/(W29*365),IF(AND(W29*365&gt;W23,W23+W26&gt;=W29*365),(W23*$N$8+(W26-X26)*$U$7)/(W29*365),IF(AND(W18&gt;0,W19&gt;0,W29*365&gt;SUM(W18:W19)),(W18*$G$7+W19*$G$8)/SUM(W18:W19),IF(AND(W19&gt;0,W22&gt;0,W29*365&gt;SUM(W19:W22)),(W19*$G$8+W22*$N$7)/SUM(W19:W22),IF(AND(W22&gt;0,W23&gt;0,W29*365&gt;SUM(W22:W23)),(W22*$N$7+W23*$N$8)/SUM(W22:W23),IF(AND(W23&gt;0,W26&gt;0,W29*365&gt;SUM(W23:W26)),(W23*$N$8+W26*$U$7)/SUM(W23:W26),IF(AND(W19&gt;0,W29*365&gt;W19),$G$8,IF(AND(W22&gt;0,W29*365&gt;W22),$N$7,IF(AND(W23&gt;0,W29*365&gt;W23),$N$8,IF(AND(W26&gt;0,W29*365&gt;W26),$U$7)))))))))))))))))))))</f>
        <v>0</v>
      </c>
      <c r="X31" s="37"/>
    </row>
    <row r="32" spans="2:76" x14ac:dyDescent="0.25">
      <c r="B32" t="s">
        <v>38</v>
      </c>
      <c r="C32" t="s">
        <v>37</v>
      </c>
      <c r="E32">
        <v>0.53</v>
      </c>
      <c r="F32">
        <v>0.59</v>
      </c>
      <c r="G32">
        <v>0.65</v>
      </c>
      <c r="H32">
        <v>0.96</v>
      </c>
      <c r="I32">
        <v>1.0900000000000001</v>
      </c>
      <c r="J32" s="25">
        <v>1.19</v>
      </c>
      <c r="K32" s="52">
        <f>AVERAGEIF(L32:W32,"&gt;0")</f>
        <v>0.96789578662321163</v>
      </c>
      <c r="L32" s="37">
        <v>0.98</v>
      </c>
      <c r="M32" s="37">
        <v>0.97</v>
      </c>
      <c r="N32" s="43">
        <v>1.02</v>
      </c>
      <c r="O32" s="37">
        <v>1.02</v>
      </c>
      <c r="P32" s="43">
        <f>IF(P18&gt;=P29*275,$H$7,IF(AND(P18=0,P19&gt;=P29*275),$H$8,IF(AND(P18+P19=0,P22&gt;=P29*275),$O$7,IF(AND(SUM(P18:P19)+P22=0,P23&gt;=P29*275),$O$8,IF(AND(SUM(P18:P19)+SUM(P22:P23)=0,P26&gt;=P29*275),$V$7,IF(SUM(P18:P19)+SUM(P22:P23)+P26=0,0,IF(AND(P29*275&gt;SUM(P18:P19),SUM(P18:P19)+P22&gt;=P29*275),(P18*$G$7+P19*$H$8+(P22-Q22)*$O$7)/(P29*275),IF(AND(P29*275&gt;P19+P22,P19+SUM(P22:P23)&gt;=P29*275),(P19*$H$8+P22*$O$7+(P23-Q23)*$O$8)/(P29*275),IF(AND(P29*275&gt;SUM(P22:P23),SUM(P22:P23)+P26&gt;=P29*275),(P22*$O$7+P23*$O$8+(P26-Q26)*$V$7)/(P29*275),IF(AND(P29*275&gt;P18,P18+P19&gt;=P29*275),(P18*$G$7+(P19-Q19)*$H$8)/(P29*275),IF(AND(P29*275&gt;P19,P19+P22&gt;=P29*275),(P19*$H$8+(P22-Q22)*$O$7)/(P29*275),IF(AND(P29*275&gt;P22,SUM(P22:P23)&gt;=P29*275),(P22*$O$7+(P23-Q23)*$O$8)/(P29*275),IF(AND(P29*275&gt;P23,P23+P26&gt;=P29*275),(P23*$O$8+(P26-Q26)*$V$7)/(P29*275),IF(AND(P18&gt;0,P19&gt;0,P29*275&gt;SUM(P18:P19)),(P18*$H$7+P19*$H$8)/SUM(P18:P19),IF(AND(P19&gt;0,P22&gt;0,P29*275&gt;SUM(P19:P22)),(P19*$H$8+P22*$O$7)/SUM(P19:P22),IF(AND(P22&gt;0,P23&gt;0,P29*275&gt;SUM(P22:P23)),(P22*$O$7+P23*$O$8)/SUM(P22:P23),IF(AND(P23&gt;0,P26&gt;0,P29*275&gt;SUM(P23:P26)),(P23*$O$8+P26*$V$7)/SUM(P23:P26),IF(AND(P19&gt;0,P29*275&gt;P19),$H$8,IF(AND(P22&gt;0,P29*275&gt;P22),$O$7,IF(AND(P23&gt;0,P29*275&gt;P23),$O$8,IF(AND(P26&gt;0,P29*275&gt;P26),$V$7)))))))))))))))))))))</f>
        <v>1.02</v>
      </c>
      <c r="Q32" s="43">
        <f>IF(Q18&gt;=Q29*366,$H$7,IF(AND(Q18=0,Q19&gt;=Q29*366),$H$8,IF(AND(Q18+Q19=0,Q22&gt;=Q29*366),$O$7,IF(AND(SUM(Q18:Q19)+Q22=0,Q23&gt;=Q29*366),$O$8,IF(AND(SUM(Q18:Q19)+SUM(Q22:Q23)=0,Q26&gt;=Q29*366),$V$7,IF(SUM(Q18:Q19)+SUM(Q22:Q23)+Q26=0,0,IF(AND(Q29*366&gt;SUM(Q18:Q19),SUM(Q18:Q19)+Q22&gt;=Q29*366),(Q18*$G$7+Q19*$H$8+(Q22-R22)*$O$7)/(Q29*366),IF(AND(Q29*366&gt;Q19+Q22,Q19+SUM(Q22:Q23)&gt;=Q29*366),(Q19*$H$8+Q22*$O$7+(Q23-R23)*$O$8)/(Q29*366),IF(AND(Q29*366&gt;SUM(Q22:Q23),SUM(Q22:Q23)+Q26&gt;=Q29*366),(Q22*$O$7+Q23*$O$8+(Q26-R26)*$V$7)/(Q29*366),IF(AND(Q29*366&gt;Q18,Q18+Q19&gt;=Q29*366),(Q18*$G$7+(Q19-R19)*$H$8)/(Q29*366),IF(AND(Q29*366&gt;Q19,Q19+Q22&gt;=Q29*366),(Q19*$H$8+(Q22-R22)*$O$7)/(Q29*366),IF(AND(Q29*366&gt;Q22,SUM(Q22:Q23)&gt;=Q29*366),(Q22*$O$7+(Q23-R23)*$O$8)/(Q29*366),IF(AND(Q29*366&gt;Q23,Q23+Q26&gt;=Q29*366),(Q23*$O$8+(Q26-R26)*$V$7)/(Q29*366),IF(AND(Q18&gt;0,Q19&gt;0,Q29*366&gt;SUM(Q18:Q19)),(Q18*$H$7+Q19*$H$8)/SUM(Q18:Q19),IF(AND(Q19&gt;0,Q22&gt;0,Q29*366&gt;SUM(Q19:Q22)),(Q19*$H$8+Q22*$O$7)/SUM(Q19:Q22),IF(AND(Q22&gt;0,Q23&gt;0,Q29*366&gt;SUM(Q22:Q23)),(Q22*$O$7+Q23*$O$8)/SUM(Q22:Q23),IF(AND(Q23&gt;0,Q26&gt;0,Q29*366&gt;SUM(Q23:Q26)),(Q23*$O$8+Q26*$V$7)/SUM(Q23:Q26),IF(AND(Q19&gt;0,Q29*366&gt;Q19),$H$8,IF(AND(Q22&gt;0,Q29*366&gt;Q22),$O$7,IF(AND(Q23&gt;0,Q29*366&gt;Q23),$O$8,IF(AND(Q26&gt;0,Q29*366&gt;Q26),$V$7)))))))))))))))))))))</f>
        <v>1.0404816108339274</v>
      </c>
      <c r="R32" s="43">
        <f>IF(R18&gt;=R29*365,$H$7,IF(AND(R18=0,R19&gt;=R29*365),$H$8,IF(AND(R18+R19=0,R22&gt;=R29*365),$O$7,IF(AND(SUM(R18:R19)+R22=0,R23&gt;=R29*365),$O$8,IF(AND(SUM(R18:R19)+SUM(R22:R23)=0,R26&gt;=R29*365),$V$7,IF(SUM(R18:R19)+SUM(R22:R23)+R26=0,0,IF(AND(R29*365&gt;SUM(R18:R19),SUM(R18:R19)+R22&gt;=R29*365),(R18*$G$7+R19*$H$8+(R22-S22)*$O$7)/(R29*365),IF(AND(R29*365&gt;R19+R22,R19+SUM(R22:R23)&gt;=R29*365),(R19*$H$8+R22*$O$7+(R23-S23)*$O$8)/(R29*365),IF(AND(R29*365&gt;SUM(R22:R23),SUM(R22:R23)+R26&gt;=R29*365),(R22*$O$7+R23*$O$8+(R26-S26)*$V$7)/(R29*365),IF(AND(R29*365&gt;R18,R18+R19&gt;=R29*365),(R18*$G$7+(R19-S19)*$H$8)/(R29*365),IF(AND(R29*365&gt;R19,R19+R22&gt;=R29*365),(R19*$H$8+(R22-S22)*$O$7)/(R29*365),IF(AND(R29*365&gt;R22,SUM(R22:R23)&gt;=R29*365),(R22*$O$7+(R23-S23)*$O$8)/(R29*365),IF(AND(R29*365&gt;R23,R23+R26&gt;=R29*365),(R23*$O$8+(R26-S26)*$V$7)/(R29*365),IF(AND(R18&gt;0,R19&gt;0,R29*365&gt;SUM(R18:R19)),(R18*$H$7+R19*$H$8)/SUM(R18:R19),IF(AND(R19&gt;0,R22&gt;0,R29*365&gt;SUM(R19:R22)),(R19*$H$8+R22*$O$7)/SUM(R19:R22),IF(AND(R22&gt;0,R23&gt;0,R29*365&gt;SUM(R22:R23)),(R22*$O$7+R23*$O$8)/SUM(R22:R23),IF(AND(R23&gt;0,R26&gt;0,R29*365&gt;SUM(R23:R26)),(R23*$O$8+R26*$V$7)/SUM(R23:R26),IF(AND(R19&gt;0,R29*365&gt;R19),$H$8,IF(AND(R22&gt;0,R29*365&gt;R22),$O$7,IF(AND(R23&gt;0,R29*365&gt;R23),$O$8,IF(AND(R26&gt;0,R29*365&gt;R26),$V$7)))))))))))))))))))))</f>
        <v>0.72478889552855419</v>
      </c>
      <c r="S32" s="43">
        <f>IF(S18&gt;=S29*365,$H$7,IF(AND(S18=0,S19&gt;=S29*365),$H$8,IF(AND(S18+S19=0,S22&gt;=S29*365),$O$7,IF(AND(SUM(S18:S19)+S22=0,S23&gt;=S29*365),$O$8,IF(AND(SUM(S18:S19)+SUM(S22:S23)=0,S26&gt;=S29*365),$V$7,IF(SUM(S18:S19)+SUM(S22:S23)+S26=0,0,IF(AND(S29*365&gt;SUM(S18:S19),SUM(S18:S19)+S22&gt;=S29*365),(S18*$G$7+S19*$H$8+(S22-T22)*$O$7)/(S29*365),IF(AND(S29*365&gt;S19+S22,S19+SUM(S22:S23)&gt;=S29*365),(S19*$H$8+S22*$O$7+(S23-T23)*$O$8)/(S29*365),IF(AND(S29*365&gt;SUM(S22:S23),SUM(S22:S23)+S26&gt;=S29*365),(S22*$O$7+S23*$O$8+(S26-T26)*$V$7)/(S29*365),IF(AND(S29*365&gt;S18,S18+S19&gt;=S29*365),(S18*$G$7+(S19-T19)*$H$8)/(S29*365),IF(AND(S29*365&gt;S19,S19+S22&gt;=S29*365),(S19*$H$8+(S22-T22)*$O$7)/(S29*365),IF(AND(S29*365&gt;S22,SUM(S22:S23)&gt;=S29*365),(S22*$O$7+(S23-T23)*$O$8)/(S29*365),IF(AND(S29*365&gt;S23,S23+S26&gt;=S29*365),(S23*$O$8+(S26-T26)*$V$7)/(S29*365),IF(AND(S18&gt;0,S19&gt;0,S29*365&gt;SUM(S18:S19)),(S18*$H$7+S19*$H$8)/SUM(S18:S19),IF(AND(S19&gt;0,S22&gt;0,S29*365&gt;SUM(S19:S22)),(S19*$H$8+S22*$O$7)/SUM(S19:S22),IF(AND(S22&gt;0,S23&gt;0,S29*365&gt;SUM(S22:S23)),(S22*$O$7+S23*$O$8)/SUM(S22:S23),IF(AND(S23&gt;0,S26&gt;0,S29*365&gt;SUM(S23:S26)),(S23*$O$8+S26*$V$7)/SUM(S23:S26),IF(AND(S19&gt;0,S29*365&gt;S19),$H$8,IF(AND(S22&gt;0,S29*365&gt;S22),$O$7,IF(AND(S23&gt;0,S29*365&gt;S23),$O$8,IF(AND(S26&gt;0,S29*365&gt;S26),$V$7)))))))))))))))))))))</f>
        <v>0</v>
      </c>
      <c r="T32" s="43">
        <f>IF(T18&gt;=T29*365,$H$7,IF(AND(T18=0,T19&gt;=T29*365),$H$8,IF(AND(T18+T19=0,T22&gt;=T29*365),$O$7,IF(AND(SUM(T18:T19)+T22=0,T23&gt;=T29*365),$O$8,IF(AND(SUM(T18:T19)+SUM(T22:T23)=0,T26&gt;=T29*365),$V$7,IF(SUM(T18:T19)+SUM(T22:T23)+T26=0,0,IF(AND(T29*365&gt;SUM(T18:T19),SUM(T18:T19)+T22&gt;=T29*365),(T18*$G$7+T19*$H$8+(T22-U22)*$O$7)/(T29*365),IF(AND(T29*365&gt;T19+T22,T19+SUM(T22:T23)&gt;=T29*365),(T19*$H$8+T22*$O$7+(T23-U23)*$O$8)/(T29*365),IF(AND(T29*365&gt;SUM(T22:T23),SUM(T22:T23)+T26&gt;=T29*365),(T22*$O$7+T23*$O$8+(T26-U26)*$V$7)/(T29*365),IF(AND(T29*365&gt;T18,T18+T19&gt;=T29*365),(T18*$G$7+(T19-U19)*$H$8)/(T29*365),IF(AND(T29*365&gt;T19,T19+T22&gt;=T29*365),(T19*$H$8+(T22-U22)*$O$7)/(T29*365),IF(AND(T29*365&gt;T22,SUM(T22:T23)&gt;=T29*365),(T22*$O$7+(T23-U23)*$O$8)/(T29*365),IF(AND(T29*365&gt;T23,T23+T26&gt;=T29*365),(T23*$O$8+(T26-U26)*$V$7)/(T29*365),IF(AND(T18&gt;0,T19&gt;0,T29*365&gt;SUM(T18:T19)),(T18*$H$7+T19*$H$8)/SUM(T18:T19),IF(AND(T19&gt;0,T22&gt;0,T29*365&gt;SUM(T19:T22)),(T19*$H$8+T22*$O$7)/SUM(T19:T22),IF(AND(T22&gt;0,T23&gt;0,T29*365&gt;SUM(T22:T23)),(T22*$O$7+T23*$O$8)/SUM(T22:T23),IF(AND(T23&gt;0,T26&gt;0,T29*365&gt;SUM(T23:T26)),(T23*$O$8+T26*$V$7)/SUM(T23:T26),IF(AND(T19&gt;0,T29*365&gt;T19),$H$8,IF(AND(T22&gt;0,T29*365&gt;T22),$O$7,IF(AND(T23&gt;0,T29*365&gt;T23),$O$8,IF(AND(T26&gt;0,T29*365&gt;T26),$V$7)))))))))))))))))))))</f>
        <v>0</v>
      </c>
      <c r="U32" s="43">
        <f>IF(U18&gt;=U29*366,$H$7,IF(AND(U18=0,U19&gt;=U29*366),$H$8,IF(AND(U18+U19=0,U22&gt;=U29*366),$O$7,IF(AND(SUM(U18:U19)+U22=0,U23&gt;=U29*366),$O$8,IF(AND(SUM(U18:U19)+SUM(U22:U23)=0,U26&gt;=U29*366),$V$7,IF(SUM(U18:U19)+SUM(U22:U23)+U26=0,0,IF(AND(U29*366&gt;SUM(U18:U19),SUM(U18:U19)+U22&gt;=U29*366),(U18*$G$7+U19*$H$8+(U22-V22)*$O$7)/(U29*366),IF(AND(U29*366&gt;U19+U22,U19+SUM(U22:U23)&gt;=U29*366),(U19*$H$8+U22*$O$7+(U23-V23)*$O$8)/(U29*366),IF(AND(U29*366&gt;SUM(U22:U23),SUM(U22:U23)+U26&gt;=U29*366),(U22*$O$7+U23*$O$8+(U26-V26)*$V$7)/(U29*366),IF(AND(U29*366&gt;U18,U18+U19&gt;=U29*366),(U18*$G$7+(U19-V19)*$H$8)/(U29*366),IF(AND(U29*366&gt;U19,U19+U22&gt;=U29*366),(U19*$H$8+(U22-V22)*$O$7)/(U29*366),IF(AND(U29*366&gt;U22,SUM(U22:U23)&gt;=U29*366),(U22*$O$7+(U23-V23)*$O$8)/(U29*366),IF(AND(U29*366&gt;U23,U23+U26&gt;=U29*366),(U23*$O$8+(U26-V26)*$V$7)/(U29*366),IF(AND(U18&gt;0,U19&gt;0,U29*366&gt;SUM(U18:U19)),(U18*$H$7+U19*$H$8)/SUM(U18:U19),IF(AND(U19&gt;0,U22&gt;0,U29*366&gt;SUM(U19:U22)),(U19*$H$8+U22*$O$7)/SUM(U19:U22),IF(AND(U22&gt;0,U23&gt;0,U29*366&gt;SUM(U22:U23)),(U22*$O$7+U23*$O$8)/SUM(U22:U23),IF(AND(U23&gt;0,U26&gt;0,U29*366&gt;SUM(U23:U26)),(U23*$O$8+U26*$V$7)/SUM(U23:U26),IF(AND(U19&gt;0,U29*366&gt;U19),$H$8,IF(AND(U22&gt;0,U29*366&gt;U22),$O$7,IF(AND(U23&gt;0,U29*366&gt;U23),$O$8,IF(AND(U26&gt;0,U29*366&gt;U26),$V$7)))))))))))))))))))))</f>
        <v>0</v>
      </c>
      <c r="V32" s="43">
        <f>IF(V18&gt;=V29*365,$H$7,IF(AND(V18=0,V19&gt;=V29*365),$H$8,IF(AND(V18+V19=0,V22&gt;=V29*365),$O$7,IF(AND(SUM(V18:V19)+V22=0,V23&gt;=V29*365),$O$8,IF(AND(SUM(V18:V19)+SUM(V22:V23)=0,V26&gt;=V29*365),$V$7,IF(SUM(V18:V19)+SUM(V22:V23)+V26=0,0,IF(AND(V29*365&gt;SUM(V18:V19),SUM(V18:V19)+V22&gt;=V29*365),(V18*$G$7+V19*$H$8+(V22-W22)*$O$7)/(V29*365),IF(AND(V29*365&gt;V19+V22,V19+SUM(V22:V23)&gt;=V29*365),(V19*$H$8+V22*$O$7+(V23-W23)*$O$8)/(V29*365),IF(AND(V29*365&gt;SUM(V22:V23),SUM(V22:V23)+V26&gt;=V29*365),(V22*$O$7+V23*$O$8+(V26-W26)*$V$7)/(V29*365),IF(AND(V29*365&gt;V18,V18+V19&gt;=V29*365),(V18*$G$7+(V19-W19)*$H$8)/(V29*365),IF(AND(V29*365&gt;V19,V19+V22&gt;=V29*365),(V19*$H$8+(V22-W22)*$O$7)/(V29*365),IF(AND(V29*365&gt;V22,SUM(V22:V23)&gt;=V29*365),(V22*$O$7+(V23-W23)*$O$8)/(V29*365),IF(AND(V29*365&gt;V23,V23+V26&gt;=V29*365),(V23*$O$8+(V26-W26)*$V$7)/(V29*365),IF(AND(V18&gt;0,V19&gt;0,V29*365&gt;SUM(V18:V19)),(V18*$H$7+V19*$H$8)/SUM(V18:V19),IF(AND(V19&gt;0,V22&gt;0,V29*365&gt;SUM(V19:V22)),(V19*$H$8+V22*$O$7)/SUM(V19:V22),IF(AND(V22&gt;0,V23&gt;0,V29*365&gt;SUM(V22:V23)),(V22*$O$7+V23*$O$8)/SUM(V22:V23),IF(AND(V23&gt;0,V26&gt;0,V29*365&gt;SUM(V23:V26)),(V23*$O$8+V26*$V$7)/SUM(V23:V26),IF(AND(V19&gt;0,V29*365&gt;V19),$H$8,IF(AND(V22&gt;0,V29*365&gt;V22),$O$7,IF(AND(V23&gt;0,V29*365&gt;V23),$O$8,IF(AND(V26&gt;0,V29*365&gt;V26),$V$7)))))))))))))))))))))</f>
        <v>0</v>
      </c>
      <c r="W32" s="43">
        <f>IF(W18&gt;=W29*365,$H$7,IF(AND(W18=0,W19&gt;=W29*365),$H$8,IF(AND(W18+W19=0,W22&gt;=W29*365),$O$7,IF(AND(SUM(W18:W19)+W22=0,W23&gt;=W29*365),$O$8,IF(AND(SUM(W18:W19)+SUM(W22:W23)=0,W26&gt;=W29*365),$V$7,IF(SUM(W18:W19)+SUM(W22:W23)+W26=0,0,IF(AND(W29*365&gt;SUM(W18:W19),SUM(W18:W19)+W22&gt;=W29*365),(W18*$G$7+W19*$H$8+(W22-X22)*$O$7)/(W29*365),IF(AND(W29*365&gt;W19+W22,W19+SUM(W22:W23)&gt;=W29*365),(W19*$H$8+W22*$O$7+(W23-X23)*$O$8)/(W29*365),IF(AND(W29*365&gt;SUM(W22:W23),SUM(W22:W23)+W26&gt;=W29*365),(W22*$O$7+W23*$O$8+(W26-X26)*$V$7)/(W29*365),IF(AND(W29*365&gt;W18,W18+W19&gt;=W29*365),(W18*$G$7+(W19-X19)*$H$8)/(W29*365),IF(AND(W29*365&gt;W19,W19+W22&gt;=W29*365),(W19*$H$8+(W22-X22)*$O$7)/(W29*365),IF(AND(W29*365&gt;W22,SUM(W22:W23)&gt;=W29*365),(W22*$O$7+(W23-X23)*$O$8)/(W29*365),IF(AND(W29*365&gt;W23,W23+W26&gt;=W29*365),(W23*$O$8+(W26-X26)*$V$7)/(W29*365),IF(AND(W18&gt;0,W19&gt;0,W29*365&gt;SUM(W18:W19)),(W18*$H$7+W19*$H$8)/SUM(W18:W19),IF(AND(W19&gt;0,W22&gt;0,W29*365&gt;SUM(W19:W22)),(W19*$H$8+W22*$O$7)/SUM(W19:W22),IF(AND(W22&gt;0,W23&gt;0,W29*365&gt;SUM(W22:W23)),(W22*$O$7+W23*$O$8)/SUM(W22:W23),IF(AND(W23&gt;0,W26&gt;0,W29*365&gt;SUM(W23:W26)),(W23*$O$8+W26*$V$7)/SUM(W23:W26),IF(AND(W19&gt;0,W29*365&gt;W19),$H$8,IF(AND(W22&gt;0,W29*365&gt;W22),$O$7,IF(AND(W23&gt;0,W29*365&gt;W23),$O$8,IF(AND(W26&gt;0,W29*365&gt;W26),$V$7)))))))))))))))))))))</f>
        <v>0</v>
      </c>
      <c r="X32" s="37"/>
    </row>
    <row r="33" spans="2:24" x14ac:dyDescent="0.25">
      <c r="K33" s="51"/>
      <c r="L33" s="43"/>
      <c r="M33" s="37"/>
      <c r="N33" s="37"/>
      <c r="O33" s="37"/>
      <c r="P33" s="37"/>
      <c r="Q33" s="37"/>
      <c r="R33" s="37"/>
      <c r="S33" s="37"/>
      <c r="T33" s="37"/>
      <c r="U33" s="37"/>
      <c r="V33" s="37"/>
      <c r="W33" s="37"/>
      <c r="X33" s="37"/>
    </row>
    <row r="34" spans="2:24" ht="15.75" thickBot="1" x14ac:dyDescent="0.3">
      <c r="B34" s="7" t="s">
        <v>39</v>
      </c>
      <c r="K34" s="51"/>
      <c r="L34" s="43"/>
      <c r="M34" s="37"/>
      <c r="N34" s="37"/>
      <c r="O34" s="37"/>
      <c r="P34" s="37"/>
      <c r="Q34" s="37"/>
      <c r="R34" s="37"/>
      <c r="S34" s="37"/>
      <c r="T34" s="37"/>
      <c r="U34" s="37"/>
      <c r="V34" s="37"/>
      <c r="W34" s="37"/>
      <c r="X34" s="37"/>
    </row>
    <row r="35" spans="2:24" x14ac:dyDescent="0.25">
      <c r="B35" t="s">
        <v>21</v>
      </c>
      <c r="C35" t="s">
        <v>40</v>
      </c>
      <c r="E35" s="10">
        <f>E30*E31/Auxiliary!$C$4</f>
        <v>2374525.2170651224</v>
      </c>
      <c r="F35" s="10">
        <f>F30*F31/Auxiliary!$C$4</f>
        <v>2191501.7551992773</v>
      </c>
      <c r="G35" s="10">
        <f>G30*G31/Auxiliary!$C$4</f>
        <v>2429927.4478536756</v>
      </c>
      <c r="H35" s="10">
        <f>H30*H31/Auxiliary!$C$4</f>
        <v>3499840.4422749295</v>
      </c>
      <c r="I35" s="10">
        <f>I30*I31/Auxiliary!$C$4</f>
        <v>4929074.3599442234</v>
      </c>
      <c r="J35" s="10">
        <f>J30*J31/Auxiliary!$C$4</f>
        <v>1324931.3337215085</v>
      </c>
      <c r="K35" s="49">
        <f>SUM(L35:W35)</f>
        <v>19211341.02924468</v>
      </c>
      <c r="L35" s="38">
        <f>L30*L31/Auxiliary!$C$4</f>
        <v>1244892.9825105597</v>
      </c>
      <c r="M35" s="38">
        <f>M30*M31/Auxiliary!$C$4</f>
        <v>1224557.6353059025</v>
      </c>
      <c r="N35" s="38">
        <f>N30*N31/Auxiliary!$C$4</f>
        <v>1224557.6353059025</v>
      </c>
      <c r="O35" s="38">
        <f>O30*O31/Auxiliary!$C$4</f>
        <v>1331040.9079411984</v>
      </c>
      <c r="P35" s="38">
        <f>P30*P31/Auxiliary!$C$4</f>
        <v>4067069.4409314399</v>
      </c>
      <c r="Q35" s="38">
        <f>Q30*Q31/Auxiliary!$C$4</f>
        <v>5749453.8681283379</v>
      </c>
      <c r="R35" s="38">
        <f>R30*R31/Auxiliary!$C$4</f>
        <v>4369768.5591213396</v>
      </c>
      <c r="S35" s="38">
        <f>S30*S31/Auxiliary!$C$4</f>
        <v>0</v>
      </c>
      <c r="T35" s="38">
        <f>T30*T31/Auxiliary!$C$4</f>
        <v>0</v>
      </c>
      <c r="U35" s="38">
        <f>U30*U31/Auxiliary!$C$4</f>
        <v>0</v>
      </c>
      <c r="V35" s="38">
        <f>V30*V31/Auxiliary!$C$4</f>
        <v>0</v>
      </c>
      <c r="W35" s="38">
        <f>W30*W31/Auxiliary!$C$4</f>
        <v>0</v>
      </c>
      <c r="X35" s="37"/>
    </row>
    <row r="36" spans="2:24" x14ac:dyDescent="0.25">
      <c r="B36" t="s">
        <v>23</v>
      </c>
      <c r="C36" t="s">
        <v>40</v>
      </c>
      <c r="E36" s="10">
        <f>E30*E32/Auxiliary!$C$4</f>
        <v>5471.7320219326739</v>
      </c>
      <c r="F36" s="10">
        <f>F30*F32/Auxiliary!$C$4</f>
        <v>5824.2614214755567</v>
      </c>
      <c r="G36" s="10">
        <f>G30*G32/Auxiliary!$C$4</f>
        <v>6749.7984662602094</v>
      </c>
      <c r="H36" s="10">
        <f>H30*H32/Auxiliary!$C$4</f>
        <v>10700.149122878764</v>
      </c>
      <c r="I36" s="10">
        <f>I30*I32/Auxiliary!$C$4</f>
        <v>14520.786627943793</v>
      </c>
      <c r="J36" s="10">
        <f>J30*J32/Auxiliary!$C$4</f>
        <v>3873.8778553528136</v>
      </c>
      <c r="K36" s="49">
        <f>SUM(L36:W36)</f>
        <v>47387.497850401094</v>
      </c>
      <c r="L36" s="38">
        <f>L30*L32/Auxiliary!$C$4</f>
        <v>3297.2841158387801</v>
      </c>
      <c r="M36" s="38">
        <f>M30*M32/Auxiliary!$C$4</f>
        <v>3299.5025173520153</v>
      </c>
      <c r="N36" s="38">
        <f>N30*N32/Auxiliary!$C$4</f>
        <v>3469.5799667000574</v>
      </c>
      <c r="O36" s="38">
        <f>O30*O32/Auxiliary!$C$4</f>
        <v>3394.1543152500558</v>
      </c>
      <c r="P36" s="38">
        <f>P30*P32/Auxiliary!$C$4</f>
        <v>10371.027074375172</v>
      </c>
      <c r="Q36" s="38">
        <f>Q30*Q32/Auxiliary!$C$4</f>
        <v>14080.056477801867</v>
      </c>
      <c r="R36" s="38">
        <f>R30*R32/Auxiliary!$C$4</f>
        <v>9475.8933830831411</v>
      </c>
      <c r="S36" s="38">
        <f>S30*S32/Auxiliary!$C$4</f>
        <v>0</v>
      </c>
      <c r="T36" s="38">
        <f>T30*T32/Auxiliary!$C$4</f>
        <v>0</v>
      </c>
      <c r="U36" s="38">
        <f>U30*U32/Auxiliary!$C$4</f>
        <v>0</v>
      </c>
      <c r="V36" s="38">
        <f>V31*V32/Auxiliary!$C$4</f>
        <v>0</v>
      </c>
      <c r="W36" s="38">
        <f>W31*W32/Auxiliary!$C$4</f>
        <v>0</v>
      </c>
      <c r="X36" s="37"/>
    </row>
    <row r="37" spans="2:24" x14ac:dyDescent="0.25">
      <c r="H37" s="15"/>
      <c r="J37" s="15">
        <f>AVERAGE(E40:J40)</f>
        <v>0.89949999999999986</v>
      </c>
      <c r="K37" s="51"/>
      <c r="L37" s="37"/>
      <c r="M37" s="37"/>
      <c r="N37" s="37"/>
      <c r="O37" s="37"/>
      <c r="P37" s="37"/>
      <c r="Q37" s="37"/>
      <c r="R37" s="37"/>
      <c r="S37" s="37"/>
      <c r="T37" s="37"/>
      <c r="U37" s="37"/>
      <c r="V37" s="37"/>
      <c r="W37" s="37"/>
      <c r="X37" s="37"/>
    </row>
    <row r="38" spans="2:24" ht="15.75" thickBot="1" x14ac:dyDescent="0.3">
      <c r="B38" s="7" t="s">
        <v>41</v>
      </c>
      <c r="K38" s="51"/>
      <c r="L38" s="37"/>
      <c r="M38" s="37"/>
      <c r="N38" s="37"/>
      <c r="O38" s="37"/>
      <c r="P38" s="37"/>
      <c r="Q38" s="37"/>
      <c r="R38" s="37"/>
      <c r="S38" s="37"/>
      <c r="T38" s="37"/>
      <c r="U38" s="37"/>
      <c r="V38" s="37"/>
      <c r="W38" s="37"/>
      <c r="X38" s="37"/>
    </row>
    <row r="39" spans="2:24" x14ac:dyDescent="0.25">
      <c r="B39" t="s">
        <v>21</v>
      </c>
      <c r="C39" t="s">
        <v>22</v>
      </c>
      <c r="E39" s="15">
        <v>0.87</v>
      </c>
      <c r="F39" s="15">
        <v>0.89600000000000002</v>
      </c>
      <c r="G39" s="15">
        <v>0.90600000000000003</v>
      </c>
      <c r="H39" s="15">
        <v>0.877</v>
      </c>
      <c r="I39" s="15">
        <v>0.879</v>
      </c>
      <c r="J39" s="15">
        <v>0.85599999999999998</v>
      </c>
      <c r="K39" s="53">
        <f>AVERAGE(L39:W39)</f>
        <v>0.87833333333333341</v>
      </c>
      <c r="L39" s="44">
        <f>86%</f>
        <v>0.86</v>
      </c>
      <c r="M39" s="44">
        <f>88%</f>
        <v>0.88</v>
      </c>
      <c r="N39" s="44">
        <f>88%</f>
        <v>0.88</v>
      </c>
      <c r="O39" s="44">
        <f>88%</f>
        <v>0.88</v>
      </c>
      <c r="P39" s="44">
        <f>88%</f>
        <v>0.88</v>
      </c>
      <c r="Q39" s="44">
        <f>88%</f>
        <v>0.88</v>
      </c>
      <c r="R39" s="44">
        <f>88%</f>
        <v>0.88</v>
      </c>
      <c r="S39" s="44">
        <f>88%</f>
        <v>0.88</v>
      </c>
      <c r="T39" s="44">
        <f>88%</f>
        <v>0.88</v>
      </c>
      <c r="U39" s="44">
        <f>88%</f>
        <v>0.88</v>
      </c>
      <c r="V39" s="44">
        <f>88%</f>
        <v>0.88</v>
      </c>
      <c r="W39" s="44">
        <f>88%</f>
        <v>0.88</v>
      </c>
      <c r="X39" s="37"/>
    </row>
    <row r="40" spans="2:24" x14ac:dyDescent="0.25">
      <c r="B40" t="s">
        <v>23</v>
      </c>
      <c r="C40" t="s">
        <v>22</v>
      </c>
      <c r="E40" s="15">
        <v>0.86599999999999999</v>
      </c>
      <c r="F40" s="15">
        <v>0.89700000000000002</v>
      </c>
      <c r="G40" s="15">
        <v>0.90200000000000002</v>
      </c>
      <c r="H40" s="15">
        <v>0.91700000000000004</v>
      </c>
      <c r="I40" s="15">
        <v>0.91700000000000004</v>
      </c>
      <c r="J40" s="15">
        <v>0.89800000000000002</v>
      </c>
      <c r="K40" s="53">
        <f t="shared" ref="K40" si="4">AVERAGE(L40:W40)</f>
        <v>0.90166666666666684</v>
      </c>
      <c r="L40" s="44">
        <v>0.9</v>
      </c>
      <c r="M40" s="44">
        <v>0.91</v>
      </c>
      <c r="N40" s="44">
        <v>0.91</v>
      </c>
      <c r="O40" s="44">
        <v>0.9</v>
      </c>
      <c r="P40" s="44">
        <v>0.9</v>
      </c>
      <c r="Q40" s="44">
        <v>0.9</v>
      </c>
      <c r="R40" s="44">
        <v>0.9</v>
      </c>
      <c r="S40" s="44">
        <v>0.9</v>
      </c>
      <c r="T40" s="44">
        <v>0.9</v>
      </c>
      <c r="U40" s="44">
        <v>0.9</v>
      </c>
      <c r="V40" s="44">
        <v>0.9</v>
      </c>
      <c r="W40" s="44">
        <v>0.9</v>
      </c>
      <c r="X40" s="37"/>
    </row>
    <row r="41" spans="2:24" x14ac:dyDescent="0.25">
      <c r="K41" s="53"/>
      <c r="L41" s="37"/>
      <c r="M41" s="37"/>
      <c r="N41" s="37"/>
      <c r="O41" s="37"/>
      <c r="P41" s="37"/>
      <c r="Q41" s="37"/>
      <c r="R41" s="37"/>
      <c r="S41" s="37"/>
      <c r="T41" s="37"/>
      <c r="U41" s="37"/>
      <c r="V41" s="37"/>
      <c r="W41" s="37"/>
      <c r="X41" s="37"/>
    </row>
    <row r="42" spans="2:24" ht="15.75" thickBot="1" x14ac:dyDescent="0.3">
      <c r="B42" s="7" t="s">
        <v>42</v>
      </c>
      <c r="K42" s="51"/>
      <c r="L42" s="37"/>
      <c r="M42" s="37"/>
      <c r="N42" s="37"/>
      <c r="O42" s="37"/>
      <c r="P42" s="37"/>
      <c r="Q42" s="37"/>
      <c r="R42" s="37"/>
      <c r="S42" s="37"/>
      <c r="T42" s="37"/>
      <c r="U42" s="37"/>
      <c r="V42" s="37"/>
      <c r="W42" s="37"/>
      <c r="X42" s="37"/>
    </row>
    <row r="43" spans="2:24" x14ac:dyDescent="0.25">
      <c r="B43" t="s">
        <v>21</v>
      </c>
      <c r="C43" t="s">
        <v>40</v>
      </c>
      <c r="E43" s="10">
        <v>2066448</v>
      </c>
      <c r="F43" s="10">
        <v>1963773</v>
      </c>
      <c r="G43" s="10">
        <v>2202592</v>
      </c>
      <c r="H43" s="10">
        <v>3071075</v>
      </c>
      <c r="I43" s="10">
        <v>4333567</v>
      </c>
      <c r="J43" s="10">
        <v>1133850</v>
      </c>
      <c r="K43" s="49">
        <f>SUM(L43:W43)</f>
        <v>16881082.246085107</v>
      </c>
      <c r="L43" s="38">
        <f>L35*L39</f>
        <v>1070607.9649590813</v>
      </c>
      <c r="M43" s="38">
        <f t="shared" ref="M43:W44" si="5">M35*M39</f>
        <v>1077610.7190691943</v>
      </c>
      <c r="N43" s="38">
        <f t="shared" si="5"/>
        <v>1077610.7190691943</v>
      </c>
      <c r="O43" s="38">
        <f t="shared" si="5"/>
        <v>1171315.9989882547</v>
      </c>
      <c r="P43" s="38">
        <f t="shared" si="5"/>
        <v>3579021.1080196672</v>
      </c>
      <c r="Q43" s="38">
        <f t="shared" si="5"/>
        <v>5059519.4039529376</v>
      </c>
      <c r="R43" s="38">
        <f t="shared" si="5"/>
        <v>3845396.3320267787</v>
      </c>
      <c r="S43" s="38">
        <f t="shared" si="5"/>
        <v>0</v>
      </c>
      <c r="T43" s="38">
        <f t="shared" si="5"/>
        <v>0</v>
      </c>
      <c r="U43" s="38">
        <f t="shared" si="5"/>
        <v>0</v>
      </c>
      <c r="V43" s="38">
        <f t="shared" si="5"/>
        <v>0</v>
      </c>
      <c r="W43" s="38">
        <f t="shared" si="5"/>
        <v>0</v>
      </c>
      <c r="X43" s="37"/>
    </row>
    <row r="44" spans="2:24" x14ac:dyDescent="0.25">
      <c r="B44" t="s">
        <v>23</v>
      </c>
      <c r="C44" t="s">
        <v>40</v>
      </c>
      <c r="E44" s="10">
        <v>4740</v>
      </c>
      <c r="F44" s="10">
        <v>5224</v>
      </c>
      <c r="G44" s="10">
        <v>6087</v>
      </c>
      <c r="H44" s="10">
        <v>9814</v>
      </c>
      <c r="I44" s="10">
        <v>13317</v>
      </c>
      <c r="J44" s="10">
        <v>3477</v>
      </c>
      <c r="K44" s="49">
        <f>SUM(L44:W44)</f>
        <v>42716.438890201505</v>
      </c>
      <c r="L44" s="38">
        <f>L36*L40</f>
        <v>2967.5557042549021</v>
      </c>
      <c r="M44" s="38">
        <f t="shared" si="5"/>
        <v>3002.547290790334</v>
      </c>
      <c r="N44" s="38">
        <f t="shared" si="5"/>
        <v>3157.3177696970524</v>
      </c>
      <c r="O44" s="38">
        <f t="shared" si="5"/>
        <v>3054.7388837250501</v>
      </c>
      <c r="P44" s="38">
        <f t="shared" si="5"/>
        <v>9333.9243669376556</v>
      </c>
      <c r="Q44" s="38">
        <f t="shared" si="5"/>
        <v>12672.050830021681</v>
      </c>
      <c r="R44" s="38">
        <f t="shared" si="5"/>
        <v>8528.3040447748281</v>
      </c>
      <c r="S44" s="38">
        <f t="shared" si="5"/>
        <v>0</v>
      </c>
      <c r="T44" s="38">
        <f t="shared" si="5"/>
        <v>0</v>
      </c>
      <c r="U44" s="38">
        <f t="shared" si="5"/>
        <v>0</v>
      </c>
      <c r="V44" s="38">
        <f t="shared" si="5"/>
        <v>0</v>
      </c>
      <c r="W44" s="38">
        <f t="shared" si="5"/>
        <v>0</v>
      </c>
      <c r="X44" s="37"/>
    </row>
    <row r="45" spans="2:24" x14ac:dyDescent="0.25">
      <c r="E45" s="10"/>
      <c r="F45" s="10"/>
      <c r="G45" s="10"/>
      <c r="H45" s="10"/>
      <c r="I45" s="10"/>
      <c r="J45" s="10"/>
      <c r="K45" s="49"/>
      <c r="L45" s="38"/>
      <c r="M45" s="38"/>
      <c r="N45" s="38"/>
      <c r="O45" s="38"/>
      <c r="P45" s="38"/>
      <c r="Q45" s="38"/>
      <c r="R45" s="38"/>
      <c r="S45" s="38"/>
      <c r="T45" s="38"/>
      <c r="U45" s="38"/>
      <c r="V45" s="38"/>
      <c r="W45" s="37"/>
      <c r="X45" s="37"/>
    </row>
    <row r="46" spans="2:24" ht="15.75" thickBot="1" x14ac:dyDescent="0.3">
      <c r="B46" s="7" t="s">
        <v>91</v>
      </c>
      <c r="E46" s="10"/>
      <c r="F46" s="10"/>
      <c r="G46" s="10"/>
      <c r="H46" s="10"/>
      <c r="I46" s="10"/>
      <c r="J46" s="10"/>
      <c r="K46" s="49"/>
      <c r="L46" s="38"/>
      <c r="M46" s="38"/>
      <c r="N46" s="38"/>
      <c r="O46" s="38"/>
      <c r="P46" s="38"/>
      <c r="Q46" s="38"/>
      <c r="R46" s="38"/>
      <c r="S46" s="38"/>
      <c r="T46" s="38"/>
      <c r="U46" s="38"/>
      <c r="V46" s="38"/>
      <c r="W46" s="37"/>
      <c r="X46" s="37"/>
    </row>
    <row r="47" spans="2:24" x14ac:dyDescent="0.25">
      <c r="B47" t="s">
        <v>21</v>
      </c>
      <c r="C47" t="s">
        <v>22</v>
      </c>
      <c r="E47" s="16">
        <f>E51/E43</f>
        <v>0.99900021679713213</v>
      </c>
      <c r="F47" s="16">
        <f t="shared" ref="F47:J47" si="6">F51/F43</f>
        <v>0.99898919070585046</v>
      </c>
      <c r="G47" s="16">
        <f t="shared" si="6"/>
        <v>0.99722281748049568</v>
      </c>
      <c r="H47" s="16">
        <f t="shared" si="6"/>
        <v>0.99703914752977374</v>
      </c>
      <c r="I47" s="16">
        <f t="shared" si="6"/>
        <v>0.9970001617605081</v>
      </c>
      <c r="J47" s="16">
        <f t="shared" si="6"/>
        <v>0.99699960312210612</v>
      </c>
      <c r="K47" s="54">
        <f>AVERAGE(L47:W47)</f>
        <v>0.997</v>
      </c>
      <c r="L47" s="45">
        <f>99.7%</f>
        <v>0.997</v>
      </c>
      <c r="M47" s="45">
        <f>L47</f>
        <v>0.997</v>
      </c>
      <c r="N47" s="45">
        <f t="shared" ref="N47:W47" si="7">M47</f>
        <v>0.997</v>
      </c>
      <c r="O47" s="45">
        <f t="shared" si="7"/>
        <v>0.997</v>
      </c>
      <c r="P47" s="45">
        <f t="shared" si="7"/>
        <v>0.997</v>
      </c>
      <c r="Q47" s="45">
        <f t="shared" si="7"/>
        <v>0.997</v>
      </c>
      <c r="R47" s="45">
        <f t="shared" si="7"/>
        <v>0.997</v>
      </c>
      <c r="S47" s="45">
        <f t="shared" si="7"/>
        <v>0.997</v>
      </c>
      <c r="T47" s="45">
        <f t="shared" si="7"/>
        <v>0.997</v>
      </c>
      <c r="U47" s="45">
        <f t="shared" si="7"/>
        <v>0.997</v>
      </c>
      <c r="V47" s="45">
        <f t="shared" si="7"/>
        <v>0.997</v>
      </c>
      <c r="W47" s="45">
        <f t="shared" si="7"/>
        <v>0.997</v>
      </c>
      <c r="X47" s="37"/>
    </row>
    <row r="48" spans="2:24" x14ac:dyDescent="0.25">
      <c r="B48" t="s">
        <v>23</v>
      </c>
      <c r="C48" t="s">
        <v>22</v>
      </c>
      <c r="E48" s="16">
        <f>E52/E44</f>
        <v>0.99915611814345995</v>
      </c>
      <c r="F48" s="16">
        <f t="shared" ref="F48:J48" si="8">F52/F44</f>
        <v>0.99885145482388971</v>
      </c>
      <c r="G48" s="16">
        <f t="shared" si="8"/>
        <v>0.99901429275505171</v>
      </c>
      <c r="H48" s="16">
        <f t="shared" si="8"/>
        <v>0.99714693295292445</v>
      </c>
      <c r="I48" s="16">
        <f t="shared" si="8"/>
        <v>0.99699632049260345</v>
      </c>
      <c r="J48" s="16">
        <f t="shared" si="8"/>
        <v>0.99712395743457005</v>
      </c>
      <c r="K48" s="54">
        <f>AVERAGE(L48:W48)</f>
        <v>0.997</v>
      </c>
      <c r="L48" s="45">
        <f>99.7%</f>
        <v>0.997</v>
      </c>
      <c r="M48" s="45">
        <f>L48</f>
        <v>0.997</v>
      </c>
      <c r="N48" s="45">
        <f t="shared" ref="N48:W48" si="9">M48</f>
        <v>0.997</v>
      </c>
      <c r="O48" s="45">
        <f t="shared" si="9"/>
        <v>0.997</v>
      </c>
      <c r="P48" s="45">
        <f t="shared" si="9"/>
        <v>0.997</v>
      </c>
      <c r="Q48" s="45">
        <f t="shared" si="9"/>
        <v>0.997</v>
      </c>
      <c r="R48" s="45">
        <f t="shared" si="9"/>
        <v>0.997</v>
      </c>
      <c r="S48" s="45">
        <f t="shared" si="9"/>
        <v>0.997</v>
      </c>
      <c r="T48" s="45">
        <f t="shared" si="9"/>
        <v>0.997</v>
      </c>
      <c r="U48" s="45">
        <f t="shared" si="9"/>
        <v>0.997</v>
      </c>
      <c r="V48" s="45">
        <f t="shared" si="9"/>
        <v>0.997</v>
      </c>
      <c r="W48" s="45">
        <f t="shared" si="9"/>
        <v>0.997</v>
      </c>
      <c r="X48" s="37"/>
    </row>
    <row r="49" spans="2:24" x14ac:dyDescent="0.25">
      <c r="E49" s="10"/>
      <c r="F49" s="10"/>
      <c r="G49" s="10"/>
      <c r="H49" s="10"/>
      <c r="I49" s="10"/>
      <c r="J49" s="10"/>
      <c r="K49" s="49"/>
      <c r="L49" s="38"/>
      <c r="M49" s="38"/>
      <c r="N49" s="38"/>
      <c r="O49" s="38"/>
      <c r="P49" s="38"/>
      <c r="Q49" s="38"/>
      <c r="R49" s="38"/>
      <c r="S49" s="38"/>
      <c r="T49" s="38"/>
      <c r="U49" s="38"/>
      <c r="V49" s="38"/>
      <c r="W49" s="37"/>
      <c r="X49" s="37"/>
    </row>
    <row r="50" spans="2:24" ht="15.75" thickBot="1" x14ac:dyDescent="0.3">
      <c r="B50" s="7" t="s">
        <v>90</v>
      </c>
      <c r="E50" s="10"/>
      <c r="F50" s="10"/>
      <c r="G50" s="10"/>
      <c r="H50" s="10"/>
      <c r="I50" s="10"/>
      <c r="J50" s="10"/>
      <c r="K50" s="49"/>
      <c r="L50" s="38"/>
      <c r="M50" s="38"/>
      <c r="N50" s="38"/>
      <c r="O50" s="38"/>
      <c r="P50" s="38"/>
      <c r="Q50" s="38"/>
      <c r="R50" s="38"/>
      <c r="S50" s="38"/>
      <c r="T50" s="38"/>
      <c r="U50" s="38"/>
      <c r="V50" s="38"/>
      <c r="W50" s="37"/>
      <c r="X50" s="37"/>
    </row>
    <row r="51" spans="2:24" x14ac:dyDescent="0.25">
      <c r="B51" s="23" t="s">
        <v>21</v>
      </c>
      <c r="C51" t="s">
        <v>40</v>
      </c>
      <c r="E51" s="10">
        <v>2064382</v>
      </c>
      <c r="F51" s="10">
        <v>1961788</v>
      </c>
      <c r="G51" s="10">
        <v>2196475</v>
      </c>
      <c r="H51" s="10">
        <v>3061982</v>
      </c>
      <c r="I51" s="10">
        <v>4320567</v>
      </c>
      <c r="J51" s="10">
        <v>1130448</v>
      </c>
      <c r="K51" s="49">
        <f>SUM(L51:W51)</f>
        <v>16830438.999346852</v>
      </c>
      <c r="L51" s="38">
        <f>L43*L47</f>
        <v>1067396.141064204</v>
      </c>
      <c r="M51" s="38">
        <f t="shared" ref="M51:W51" si="10">M43*M47</f>
        <v>1074377.8869119866</v>
      </c>
      <c r="N51" s="38">
        <f t="shared" si="10"/>
        <v>1074377.8869119866</v>
      </c>
      <c r="O51" s="38">
        <f t="shared" si="10"/>
        <v>1167802.05099129</v>
      </c>
      <c r="P51" s="38">
        <f t="shared" si="10"/>
        <v>3568284.0446956083</v>
      </c>
      <c r="Q51" s="38">
        <f t="shared" si="10"/>
        <v>5044340.8457410792</v>
      </c>
      <c r="R51" s="38">
        <f t="shared" si="10"/>
        <v>3833860.1430306984</v>
      </c>
      <c r="S51" s="38">
        <f t="shared" si="10"/>
        <v>0</v>
      </c>
      <c r="T51" s="38">
        <f t="shared" si="10"/>
        <v>0</v>
      </c>
      <c r="U51" s="38">
        <f t="shared" si="10"/>
        <v>0</v>
      </c>
      <c r="V51" s="38">
        <f t="shared" si="10"/>
        <v>0</v>
      </c>
      <c r="W51" s="38">
        <f t="shared" si="10"/>
        <v>0</v>
      </c>
      <c r="X51" s="37"/>
    </row>
    <row r="52" spans="2:24" x14ac:dyDescent="0.25">
      <c r="B52" s="24" t="s">
        <v>23</v>
      </c>
      <c r="C52" t="s">
        <v>40</v>
      </c>
      <c r="E52" s="10">
        <v>4736</v>
      </c>
      <c r="F52" s="10">
        <v>5218</v>
      </c>
      <c r="G52" s="10">
        <v>6081</v>
      </c>
      <c r="H52" s="10">
        <v>9786</v>
      </c>
      <c r="I52" s="10">
        <v>13277</v>
      </c>
      <c r="J52" s="10">
        <v>3467</v>
      </c>
      <c r="K52" s="49">
        <f>SUM(L52:W52)</f>
        <v>42588.289573530892</v>
      </c>
      <c r="L52" s="38">
        <f>L44*L48</f>
        <v>2958.6530371421372</v>
      </c>
      <c r="M52" s="38">
        <f t="shared" ref="M52:W52" si="11">M44*M48</f>
        <v>2993.5396489179629</v>
      </c>
      <c r="N52" s="38">
        <f t="shared" si="11"/>
        <v>3147.8458163879613</v>
      </c>
      <c r="O52" s="38">
        <f t="shared" si="11"/>
        <v>3045.5746670738749</v>
      </c>
      <c r="P52" s="38">
        <f t="shared" si="11"/>
        <v>9305.9225938368418</v>
      </c>
      <c r="Q52" s="38">
        <f t="shared" si="11"/>
        <v>12634.034677531616</v>
      </c>
      <c r="R52" s="38">
        <f t="shared" si="11"/>
        <v>8502.7191326405027</v>
      </c>
      <c r="S52" s="38">
        <f t="shared" si="11"/>
        <v>0</v>
      </c>
      <c r="T52" s="38">
        <f t="shared" si="11"/>
        <v>0</v>
      </c>
      <c r="U52" s="38">
        <f t="shared" si="11"/>
        <v>0</v>
      </c>
      <c r="V52" s="38">
        <f t="shared" si="11"/>
        <v>0</v>
      </c>
      <c r="W52" s="38">
        <f t="shared" si="11"/>
        <v>0</v>
      </c>
      <c r="X52" s="37"/>
    </row>
    <row r="53" spans="2:24" x14ac:dyDescent="0.25">
      <c r="K53" s="51"/>
      <c r="L53" s="37"/>
      <c r="M53" s="37"/>
      <c r="N53" s="37"/>
      <c r="O53" s="37"/>
      <c r="P53" s="37"/>
      <c r="Q53" s="37"/>
      <c r="R53" s="37"/>
      <c r="S53" s="37"/>
      <c r="T53" s="37"/>
      <c r="U53" s="37"/>
      <c r="V53" s="37"/>
      <c r="W53" s="37"/>
      <c r="X53" s="37"/>
    </row>
    <row r="54" spans="2:24" ht="15.75" thickBot="1" x14ac:dyDescent="0.3">
      <c r="B54" s="7" t="s">
        <v>43</v>
      </c>
      <c r="K54" s="51"/>
      <c r="L54" s="37"/>
      <c r="M54" s="37"/>
      <c r="N54" s="37"/>
      <c r="O54" s="37"/>
      <c r="P54" s="37"/>
      <c r="Q54" s="37"/>
      <c r="R54" s="37"/>
      <c r="S54" s="37"/>
      <c r="T54" s="37"/>
      <c r="U54" s="37"/>
      <c r="V54" s="37"/>
      <c r="W54" s="37"/>
      <c r="X54" s="37"/>
    </row>
    <row r="55" spans="2:24" x14ac:dyDescent="0.25">
      <c r="B55" t="s">
        <v>21</v>
      </c>
      <c r="C55" t="s">
        <v>44</v>
      </c>
      <c r="E55" s="10">
        <v>37161000</v>
      </c>
      <c r="F55" s="10">
        <v>32267000</v>
      </c>
      <c r="G55" s="10">
        <v>36062000</v>
      </c>
      <c r="H55" s="10">
        <v>65501000</v>
      </c>
      <c r="I55" s="10">
        <v>85854000</v>
      </c>
      <c r="J55" s="10">
        <v>37627000</v>
      </c>
      <c r="K55" s="49">
        <f>SUM(L55:W55)</f>
        <v>412186897.12591881</v>
      </c>
      <c r="L55" s="38">
        <f>L51*L14</f>
        <v>23482715.10341249</v>
      </c>
      <c r="M55" s="38">
        <f t="shared" ref="M55:W55" si="12">M51*M14</f>
        <v>23636313.512063704</v>
      </c>
      <c r="N55" s="38">
        <f t="shared" si="12"/>
        <v>24710691.398975693</v>
      </c>
      <c r="O55" s="38">
        <f t="shared" si="12"/>
        <v>29195051.274782252</v>
      </c>
      <c r="P55" s="38">
        <f t="shared" si="12"/>
        <v>89207101.117390215</v>
      </c>
      <c r="Q55" s="38">
        <f t="shared" si="12"/>
        <v>126108521.14352699</v>
      </c>
      <c r="R55" s="38">
        <f t="shared" si="12"/>
        <v>95846503.575767457</v>
      </c>
      <c r="S55" s="38">
        <f t="shared" si="12"/>
        <v>0</v>
      </c>
      <c r="T55" s="38">
        <f t="shared" si="12"/>
        <v>0</v>
      </c>
      <c r="U55" s="38">
        <f t="shared" si="12"/>
        <v>0</v>
      </c>
      <c r="V55" s="38">
        <f t="shared" si="12"/>
        <v>0</v>
      </c>
      <c r="W55" s="38">
        <f t="shared" si="12"/>
        <v>0</v>
      </c>
      <c r="X55" s="37"/>
    </row>
    <row r="56" spans="2:24" x14ac:dyDescent="0.25">
      <c r="B56" s="5" t="s">
        <v>23</v>
      </c>
      <c r="C56" t="s">
        <v>44</v>
      </c>
      <c r="E56" s="10">
        <v>6210000</v>
      </c>
      <c r="F56" s="10">
        <v>6962000</v>
      </c>
      <c r="G56" s="10">
        <v>8638000</v>
      </c>
      <c r="H56" s="10">
        <v>17458000</v>
      </c>
      <c r="I56" s="10">
        <v>22638000</v>
      </c>
      <c r="J56" s="10">
        <v>5022000</v>
      </c>
      <c r="K56" s="49">
        <f t="shared" ref="K56:K57" si="13">SUM(L56:W56)</f>
        <v>75341291.373847306</v>
      </c>
      <c r="L56" s="38">
        <f>L52*L15</f>
        <v>5532681.1794557963</v>
      </c>
      <c r="M56" s="38">
        <f t="shared" ref="M56:W56" si="14">M52*M15</f>
        <v>5538048.3504982311</v>
      </c>
      <c r="N56" s="38">
        <f t="shared" si="14"/>
        <v>5666122.4694983307</v>
      </c>
      <c r="O56" s="38">
        <f t="shared" si="14"/>
        <v>5329755.6673792815</v>
      </c>
      <c r="P56" s="38">
        <f t="shared" si="14"/>
        <v>16285364.539214473</v>
      </c>
      <c r="Q56" s="38">
        <f t="shared" si="14"/>
        <v>22109560.685680326</v>
      </c>
      <c r="R56" s="38">
        <f t="shared" si="14"/>
        <v>14879758.482120879</v>
      </c>
      <c r="S56" s="38">
        <f t="shared" si="14"/>
        <v>0</v>
      </c>
      <c r="T56" s="38">
        <f t="shared" si="14"/>
        <v>0</v>
      </c>
      <c r="U56" s="38">
        <f t="shared" si="14"/>
        <v>0</v>
      </c>
      <c r="V56" s="38">
        <f t="shared" si="14"/>
        <v>0</v>
      </c>
      <c r="W56" s="38">
        <f t="shared" si="14"/>
        <v>0</v>
      </c>
      <c r="X56" s="37"/>
    </row>
    <row r="57" spans="2:24" x14ac:dyDescent="0.25">
      <c r="B57" t="s">
        <v>27</v>
      </c>
      <c r="C57" t="s">
        <v>44</v>
      </c>
      <c r="E57" s="10">
        <f>SUM(E55:E56)</f>
        <v>43371000</v>
      </c>
      <c r="F57" s="10">
        <f t="shared" ref="F57:J57" si="15">SUM(F55:F56)</f>
        <v>39229000</v>
      </c>
      <c r="G57" s="10">
        <f t="shared" si="15"/>
        <v>44700000</v>
      </c>
      <c r="H57" s="10">
        <f t="shared" si="15"/>
        <v>82959000</v>
      </c>
      <c r="I57" s="10">
        <f t="shared" si="15"/>
        <v>108492000</v>
      </c>
      <c r="J57" s="10">
        <f t="shared" si="15"/>
        <v>42649000</v>
      </c>
      <c r="K57" s="49">
        <f t="shared" si="13"/>
        <v>487528188.49976611</v>
      </c>
      <c r="L57" s="38">
        <f>SUM(L55:L56)</f>
        <v>29015396.282868288</v>
      </c>
      <c r="M57" s="38">
        <f t="shared" ref="M57:V57" si="16">SUM(M55:M56)</f>
        <v>29174361.862561934</v>
      </c>
      <c r="N57" s="38">
        <f t="shared" si="16"/>
        <v>30376813.868474022</v>
      </c>
      <c r="O57" s="38">
        <f t="shared" si="16"/>
        <v>34524806.94216153</v>
      </c>
      <c r="P57" s="38">
        <f t="shared" si="16"/>
        <v>105492465.65660469</v>
      </c>
      <c r="Q57" s="38">
        <f t="shared" si="16"/>
        <v>148218081.8292073</v>
      </c>
      <c r="R57" s="38">
        <f t="shared" si="16"/>
        <v>110726262.05788833</v>
      </c>
      <c r="S57" s="38">
        <f t="shared" si="16"/>
        <v>0</v>
      </c>
      <c r="T57" s="38">
        <f t="shared" si="16"/>
        <v>0</v>
      </c>
      <c r="U57" s="38">
        <f t="shared" si="16"/>
        <v>0</v>
      </c>
      <c r="V57" s="38">
        <f t="shared" si="16"/>
        <v>0</v>
      </c>
      <c r="W57" s="38">
        <f t="shared" ref="W57" si="17">SUM(W55:W56)</f>
        <v>0</v>
      </c>
      <c r="X57" s="37"/>
    </row>
    <row r="58" spans="2:24" x14ac:dyDescent="0.25">
      <c r="E58" s="10"/>
      <c r="F58" s="10"/>
      <c r="G58" s="10"/>
      <c r="H58" s="10"/>
      <c r="I58" s="10"/>
      <c r="J58" s="10"/>
      <c r="K58" s="49"/>
      <c r="L58" s="38"/>
      <c r="M58" s="38"/>
      <c r="N58" s="38"/>
      <c r="O58" s="38"/>
      <c r="P58" s="38"/>
      <c r="Q58" s="38"/>
      <c r="R58" s="38"/>
      <c r="S58" s="38"/>
      <c r="T58" s="38"/>
      <c r="U58" s="38"/>
      <c r="V58" s="38"/>
      <c r="W58" s="37"/>
      <c r="X58" s="37"/>
    </row>
    <row r="59" spans="2:24" x14ac:dyDescent="0.25">
      <c r="B59" t="s">
        <v>87</v>
      </c>
      <c r="C59" t="s">
        <v>22</v>
      </c>
      <c r="E59" s="26">
        <f>IF(E57&gt;0,E55/E57,"")</f>
        <v>0.85681676696410047</v>
      </c>
      <c r="F59" s="26">
        <f t="shared" ref="F59:W59" si="18">IF(F57&gt;0,F55/F57,"")</f>
        <v>0.82252925131917709</v>
      </c>
      <c r="G59" s="26">
        <f t="shared" si="18"/>
        <v>0.80675615212527962</v>
      </c>
      <c r="H59" s="26">
        <f t="shared" si="18"/>
        <v>0.78955869766993336</v>
      </c>
      <c r="I59" s="26">
        <f t="shared" si="18"/>
        <v>0.79133945360026547</v>
      </c>
      <c r="J59" s="26">
        <f t="shared" si="18"/>
        <v>0.88224811836150907</v>
      </c>
      <c r="K59" s="55">
        <f>AVERAGE(L59:W59)</f>
        <v>0.83438052149786512</v>
      </c>
      <c r="L59" s="46">
        <f t="shared" si="18"/>
        <v>0.80931912404303474</v>
      </c>
      <c r="M59" s="46">
        <f t="shared" si="18"/>
        <v>0.81017413931493931</v>
      </c>
      <c r="N59" s="46">
        <f t="shared" si="18"/>
        <v>0.8134721273260721</v>
      </c>
      <c r="O59" s="46">
        <f t="shared" si="18"/>
        <v>0.84562533032239473</v>
      </c>
      <c r="P59" s="46">
        <f t="shared" si="18"/>
        <v>0.84562533032239462</v>
      </c>
      <c r="Q59" s="46">
        <f t="shared" si="18"/>
        <v>0.85083088100440196</v>
      </c>
      <c r="R59" s="46">
        <f t="shared" si="18"/>
        <v>0.86561671815181795</v>
      </c>
      <c r="S59" s="46" t="str">
        <f t="shared" si="18"/>
        <v/>
      </c>
      <c r="T59" s="46" t="str">
        <f t="shared" si="18"/>
        <v/>
      </c>
      <c r="U59" s="46" t="str">
        <f t="shared" si="18"/>
        <v/>
      </c>
      <c r="V59" s="46" t="str">
        <f t="shared" si="18"/>
        <v/>
      </c>
      <c r="W59" s="46" t="str">
        <f t="shared" si="18"/>
        <v/>
      </c>
      <c r="X59" s="37"/>
    </row>
    <row r="60" spans="2:24" x14ac:dyDescent="0.25">
      <c r="K60" s="51"/>
      <c r="L60" s="37"/>
      <c r="M60" s="37"/>
      <c r="N60" s="37"/>
      <c r="O60" s="37"/>
      <c r="P60" s="37"/>
      <c r="Q60" s="37"/>
      <c r="R60" s="37"/>
      <c r="S60" s="37"/>
      <c r="T60" s="37"/>
      <c r="U60" s="37"/>
      <c r="V60" s="37"/>
      <c r="W60" s="37"/>
      <c r="X60" s="37"/>
    </row>
    <row r="61" spans="2:24" ht="15.75" thickBot="1" x14ac:dyDescent="0.3">
      <c r="B61" s="7" t="s">
        <v>45</v>
      </c>
      <c r="K61" s="51"/>
      <c r="L61" s="37"/>
      <c r="M61" s="37"/>
      <c r="N61" s="37"/>
      <c r="O61" s="37"/>
      <c r="P61" s="37"/>
      <c r="Q61" s="37"/>
      <c r="R61" s="37"/>
      <c r="S61" s="37"/>
      <c r="T61" s="37"/>
      <c r="U61" s="37"/>
      <c r="V61" s="37"/>
      <c r="W61" s="37"/>
      <c r="X61" s="37"/>
    </row>
    <row r="62" spans="2:24" x14ac:dyDescent="0.25">
      <c r="B62" s="3"/>
      <c r="K62" s="51"/>
      <c r="L62" s="37"/>
      <c r="M62" s="37"/>
      <c r="N62" s="37"/>
      <c r="O62" s="37"/>
      <c r="P62" s="37"/>
      <c r="Q62" s="37"/>
      <c r="R62" s="37"/>
      <c r="S62" s="37"/>
      <c r="T62" s="37"/>
      <c r="U62" s="37"/>
      <c r="V62" s="37"/>
      <c r="W62" s="37"/>
      <c r="X62" s="37"/>
    </row>
    <row r="63" spans="2:24" x14ac:dyDescent="0.25">
      <c r="B63" s="3" t="s">
        <v>3</v>
      </c>
      <c r="K63" s="51"/>
      <c r="L63" s="37"/>
      <c r="M63" s="37"/>
      <c r="N63" s="37"/>
      <c r="O63" s="37"/>
      <c r="P63" s="37"/>
      <c r="Q63" s="37"/>
      <c r="R63" s="37"/>
      <c r="S63" s="37"/>
      <c r="T63" s="37"/>
      <c r="U63" s="37"/>
      <c r="V63" s="37"/>
      <c r="W63" s="37"/>
      <c r="X63" s="37"/>
    </row>
    <row r="64" spans="2:24" x14ac:dyDescent="0.25">
      <c r="B64" t="s">
        <v>80</v>
      </c>
      <c r="C64" t="s">
        <v>79</v>
      </c>
      <c r="E64" s="13">
        <f>E65/E30</f>
        <v>101.26964651072987</v>
      </c>
      <c r="F64" s="13">
        <f t="shared" ref="F64:I64" si="19">F65/F30</f>
        <v>130.12226340370373</v>
      </c>
      <c r="G64" s="13">
        <f t="shared" si="19"/>
        <v>130.77885246510706</v>
      </c>
      <c r="H64" s="13">
        <f t="shared" si="19"/>
        <v>117.37947784549972</v>
      </c>
      <c r="I64" s="13">
        <f t="shared" si="19"/>
        <v>145.63598846399827</v>
      </c>
      <c r="J64" s="13">
        <f>J65/J30</f>
        <v>155.04725785902639</v>
      </c>
      <c r="K64" s="48">
        <f>AVERAGEIF(L64:W64,"&gt;0")</f>
        <v>162.01153768988848</v>
      </c>
      <c r="L64" s="42">
        <f>J64*1.02</f>
        <v>158.14820301620691</v>
      </c>
      <c r="M64" s="42">
        <f>L64*1.02</f>
        <v>161.31116707653104</v>
      </c>
      <c r="N64" s="42">
        <f>M64*1.01</f>
        <v>162.92427874729634</v>
      </c>
      <c r="O64" s="42">
        <f>N64</f>
        <v>162.92427874729634</v>
      </c>
      <c r="P64" s="42">
        <f>IF(AND(P29*275&lt;=SUM(P18:P26),P30&gt;0),$O$64,IF(AND(P29*275&gt;SUM(P18:P26),P30&gt;0,SUM(P18:P26)&gt;=0.5*P29*275),$O$64,IF(AND(P29*275&gt;SUM(P18:P26),P30&gt;0,SUM(P18:P26)&lt;0.5*P29*275),$O$64*1.2,IF(P30=0,0))))</f>
        <v>162.92427874729634</v>
      </c>
      <c r="Q64" s="42">
        <f>IF(AND(Q29*366&lt;=SUM(Q18:Q26),Q30&gt;0),$O$64,IF(AND(Q29*366&gt;SUM(Q18:Q26),Q30&gt;0,SUM(Q18:Q26)&gt;=0.5*Q29*366),$O$64,IF(AND(Q29*366&gt;SUM(Q18:Q26),Q30&gt;0,SUM(Q18:Q26)&lt;0.5*Q29*366),$O$64*1.2,IF(Q30=0,0))))</f>
        <v>162.92427874729634</v>
      </c>
      <c r="R64" s="42">
        <f>IF(AND(R29*365&lt;=SUM(R18:R26),R30&gt;0),$O$64,IF(AND(R29*365&gt;SUM(R18:R26),R30&gt;0,SUM(R18:R26)&gt;=0.5*R29*365),$O$64,IF(AND(R29*365&gt;SUM(R18:R26),R30&gt;0,SUM(R18:R26)&lt;0.5*R29*365),$O$64*1.2,IF(R30=0,0))))</f>
        <v>162.92427874729634</v>
      </c>
      <c r="S64" s="42">
        <f>IF(AND(S29*365&lt;=SUM(S18:S26),S30&gt;0),$O$64,IF(AND(S29*365&gt;SUM(S18:S26),S30&gt;0,SUM(S18:S26)&gt;=0.5*S29*365),$O$64,IF(AND(S29*365&gt;SUM(S18:S26),S30&gt;0,SUM(S18:S26)&lt;0.5*S29*365),$O$64*1.2,IF(S30=0,0))))</f>
        <v>0</v>
      </c>
      <c r="T64" s="42">
        <f t="shared" ref="T64:W64" si="20">IF(AND(T29*365&lt;=SUM(T18:T26),T30&gt;0),$O$64,IF(AND(T29*365&gt;SUM(T18:T26),T30&gt;0,SUM(T18:T26)&gt;=0.5*T29*365),$O$64,IF(AND(T29*365&gt;SUM(T18:T26),T30&gt;0,SUM(T18:T26)&lt;0.5*T29*365),$O$64*1.2,IF(T30=0,0))))</f>
        <v>0</v>
      </c>
      <c r="U64" s="42">
        <f>IF(AND(U29*366&lt;=SUM(U18:U26),U30&gt;0),$O$64,IF(AND(U29*366&gt;SUM(U18:U26),U30&gt;0,SUM(U18:U26)&gt;=0.5*U29*366),$O$64,IF(AND(U29*366&gt;SUM(U18:U26),U30&gt;0,SUM(U18:U26)&lt;0.5*U29*366),$O$64*1.2,IF(U30=0,0))))</f>
        <v>0</v>
      </c>
      <c r="V64" s="42">
        <f t="shared" si="20"/>
        <v>0</v>
      </c>
      <c r="W64" s="42">
        <f t="shared" si="20"/>
        <v>0</v>
      </c>
      <c r="X64" s="37"/>
    </row>
    <row r="65" spans="2:24" x14ac:dyDescent="0.25">
      <c r="B65" t="s">
        <v>81</v>
      </c>
      <c r="C65" t="s">
        <v>44</v>
      </c>
      <c r="E65" s="10">
        <v>32519000</v>
      </c>
      <c r="F65" s="10">
        <v>39953000</v>
      </c>
      <c r="G65" s="10">
        <v>42240000</v>
      </c>
      <c r="H65" s="10">
        <v>40693000</v>
      </c>
      <c r="I65" s="10">
        <v>60345000</v>
      </c>
      <c r="J65" s="10">
        <f>15699000</f>
        <v>15699000</v>
      </c>
      <c r="K65" s="49">
        <f>SUM(L65:W65)</f>
        <v>254069283.72247347</v>
      </c>
      <c r="L65" s="38">
        <f>L64*L30</f>
        <v>16550209.445646053</v>
      </c>
      <c r="M65" s="38">
        <f>M64*M30</f>
        <v>17066721.476696983</v>
      </c>
      <c r="N65" s="38">
        <f t="shared" ref="N65:W65" si="21">N64*N30</f>
        <v>17237388.691463955</v>
      </c>
      <c r="O65" s="38">
        <f t="shared" si="21"/>
        <v>16862662.850345172</v>
      </c>
      <c r="P65" s="38">
        <f t="shared" si="21"/>
        <v>51524803.153832465</v>
      </c>
      <c r="Q65" s="38">
        <f t="shared" si="21"/>
        <v>68574828.924737036</v>
      </c>
      <c r="R65" s="38">
        <f t="shared" si="21"/>
        <v>66252669.179751813</v>
      </c>
      <c r="S65" s="38">
        <f t="shared" si="21"/>
        <v>0</v>
      </c>
      <c r="T65" s="38">
        <f t="shared" si="21"/>
        <v>0</v>
      </c>
      <c r="U65" s="38">
        <f t="shared" si="21"/>
        <v>0</v>
      </c>
      <c r="V65" s="38">
        <f t="shared" si="21"/>
        <v>0</v>
      </c>
      <c r="W65" s="38">
        <f t="shared" si="21"/>
        <v>0</v>
      </c>
      <c r="X65" s="37"/>
    </row>
    <row r="66" spans="2:24" x14ac:dyDescent="0.25">
      <c r="B66" s="22" t="s">
        <v>82</v>
      </c>
      <c r="C66" t="s">
        <v>20</v>
      </c>
      <c r="E66" s="14">
        <f>E65/(E51+E52*E15/E14)</f>
        <v>13.452143181562079</v>
      </c>
      <c r="F66" s="14">
        <f t="shared" ref="F66:I66" si="22">F65/(F51+F52*F15/F14)</f>
        <v>16.757197124206076</v>
      </c>
      <c r="G66" s="14">
        <f t="shared" si="22"/>
        <v>15.487830218583101</v>
      </c>
      <c r="H66" s="14">
        <f t="shared" si="22"/>
        <v>10.438592348395549</v>
      </c>
      <c r="I66" s="14">
        <f t="shared" si="22"/>
        <v>11.466095275752947</v>
      </c>
      <c r="J66" s="14">
        <f>J65/(J51+J52*J15/J14)</f>
        <v>11.129344139970508</v>
      </c>
      <c r="K66" s="47">
        <f>AVERAGE(L66:W66)</f>
        <v>12.773734850846008</v>
      </c>
      <c r="L66" s="43">
        <f>IF(OR(L51&gt;0,L52&gt;0),L65/(L51+L52*L15/L14),"")</f>
        <v>12.548669136019809</v>
      </c>
      <c r="M66" s="43">
        <f t="shared" ref="M66:V66" si="23">IF(OR(M51&gt;0,M52&gt;0),M65/(M51+M52*M15/M14),"")</f>
        <v>12.869788695160924</v>
      </c>
      <c r="N66" s="43">
        <f t="shared" si="23"/>
        <v>13.051399716252964</v>
      </c>
      <c r="O66" s="43">
        <f t="shared" si="23"/>
        <v>12.210541016633874</v>
      </c>
      <c r="P66" s="43">
        <f t="shared" si="23"/>
        <v>12.210541016633872</v>
      </c>
      <c r="Q66" s="43">
        <f t="shared" si="23"/>
        <v>11.566542367576359</v>
      </c>
      <c r="R66" s="43">
        <f t="shared" si="23"/>
        <v>14.95866200764425</v>
      </c>
      <c r="S66" s="43" t="str">
        <f t="shared" si="23"/>
        <v/>
      </c>
      <c r="T66" s="43" t="str">
        <f t="shared" si="23"/>
        <v/>
      </c>
      <c r="U66" s="43" t="str">
        <f t="shared" si="23"/>
        <v/>
      </c>
      <c r="V66" s="43" t="str">
        <f t="shared" si="23"/>
        <v/>
      </c>
      <c r="W66" s="37"/>
      <c r="X66" s="37"/>
    </row>
    <row r="67" spans="2:24" x14ac:dyDescent="0.25">
      <c r="B67" s="22"/>
      <c r="K67" s="51"/>
      <c r="L67" s="38"/>
      <c r="M67" s="38"/>
      <c r="N67" s="38"/>
      <c r="O67" s="38"/>
      <c r="P67" s="38"/>
      <c r="Q67" s="38"/>
      <c r="R67" s="37"/>
      <c r="S67" s="37"/>
      <c r="T67" s="37"/>
      <c r="U67" s="37"/>
      <c r="V67" s="37"/>
      <c r="W67" s="37"/>
      <c r="X67" s="37"/>
    </row>
    <row r="68" spans="2:24" x14ac:dyDescent="0.25">
      <c r="B68" s="22" t="s">
        <v>142</v>
      </c>
      <c r="C68" t="s">
        <v>44</v>
      </c>
      <c r="E68" s="10">
        <v>1423000</v>
      </c>
      <c r="F68" s="10">
        <v>1536000</v>
      </c>
      <c r="G68" s="10">
        <v>2643000</v>
      </c>
      <c r="H68" s="10">
        <v>5961000</v>
      </c>
      <c r="I68" s="10">
        <v>4564000</v>
      </c>
      <c r="J68" s="10">
        <v>2067000</v>
      </c>
      <c r="K68" s="49">
        <f>SUM(L68:W68)</f>
        <v>23085333.333333332</v>
      </c>
      <c r="L68" s="38">
        <f>SUM(H68:J68)/9*1.1</f>
        <v>1539022.2222222222</v>
      </c>
      <c r="M68" s="38">
        <f>L68</f>
        <v>1539022.2222222222</v>
      </c>
      <c r="N68" s="38">
        <f>M68</f>
        <v>1539022.2222222222</v>
      </c>
      <c r="O68" s="38">
        <f>N68</f>
        <v>1539022.2222222222</v>
      </c>
      <c r="P68" s="38">
        <f>IF(P30&gt;0,SUM($H$68:$J$68)/9*1.1*3,0)</f>
        <v>4617066.666666667</v>
      </c>
      <c r="Q68" s="38">
        <f t="shared" ref="Q68:W68" si="24">IF(Q30&gt;0,SUM($H$68:$J$68)/9*1.1*4,0)</f>
        <v>6156088.888888889</v>
      </c>
      <c r="R68" s="38">
        <f t="shared" si="24"/>
        <v>6156088.888888889</v>
      </c>
      <c r="S68" s="38">
        <f t="shared" si="24"/>
        <v>0</v>
      </c>
      <c r="T68" s="38">
        <f t="shared" si="24"/>
        <v>0</v>
      </c>
      <c r="U68" s="38">
        <f t="shared" si="24"/>
        <v>0</v>
      </c>
      <c r="V68" s="38">
        <f t="shared" si="24"/>
        <v>0</v>
      </c>
      <c r="W68" s="38">
        <f t="shared" si="24"/>
        <v>0</v>
      </c>
      <c r="X68" s="37"/>
    </row>
    <row r="69" spans="2:24" x14ac:dyDescent="0.25">
      <c r="B69" t="s">
        <v>94</v>
      </c>
      <c r="C69" t="s">
        <v>44</v>
      </c>
      <c r="E69" s="10">
        <v>272000</v>
      </c>
      <c r="F69" s="10">
        <v>711000</v>
      </c>
      <c r="G69" s="10">
        <v>830000</v>
      </c>
      <c r="H69" s="10">
        <v>839000</v>
      </c>
      <c r="I69" s="10">
        <v>1611000</v>
      </c>
      <c r="J69" s="10">
        <v>352000</v>
      </c>
      <c r="K69" s="49">
        <f t="shared" ref="K69:K71" si="25">SUM(L69:W69)</f>
        <v>7448000</v>
      </c>
      <c r="L69" s="38">
        <f>(1800000-$J$69)/3</f>
        <v>482666.66666666669</v>
      </c>
      <c r="M69" s="38">
        <f t="shared" ref="M69:N69" si="26">(1800000-$J$69)/3</f>
        <v>482666.66666666669</v>
      </c>
      <c r="N69" s="38">
        <f t="shared" si="26"/>
        <v>482666.66666666669</v>
      </c>
      <c r="O69" s="38">
        <v>500000</v>
      </c>
      <c r="P69" s="38">
        <f>IF(P30&gt;0,1500000,0)</f>
        <v>1500000</v>
      </c>
      <c r="Q69" s="38">
        <f>IF(Q30&gt;0,2000000,0)</f>
        <v>2000000</v>
      </c>
      <c r="R69" s="38">
        <f t="shared" ref="R69:V69" si="27">IF(R30&gt;0,2000000,0)</f>
        <v>2000000</v>
      </c>
      <c r="S69" s="38">
        <f t="shared" si="27"/>
        <v>0</v>
      </c>
      <c r="T69" s="38">
        <f t="shared" si="27"/>
        <v>0</v>
      </c>
      <c r="U69" s="38">
        <f t="shared" si="27"/>
        <v>0</v>
      </c>
      <c r="V69" s="38">
        <f t="shared" si="27"/>
        <v>0</v>
      </c>
      <c r="W69" s="38">
        <f t="shared" ref="W69" si="28">IF(W30&gt;0,2000000,0)</f>
        <v>0</v>
      </c>
      <c r="X69" s="37"/>
    </row>
    <row r="70" spans="2:24" x14ac:dyDescent="0.25">
      <c r="B70" s="22" t="s">
        <v>84</v>
      </c>
      <c r="C70" t="s">
        <v>44</v>
      </c>
      <c r="E70" s="10">
        <v>587000</v>
      </c>
      <c r="F70" s="10">
        <v>510000</v>
      </c>
      <c r="G70" s="10">
        <v>972000</v>
      </c>
      <c r="H70" s="10">
        <v>2550000</v>
      </c>
      <c r="I70" s="10">
        <v>3441000</v>
      </c>
      <c r="J70" s="10">
        <v>1254000</v>
      </c>
      <c r="K70" s="49">
        <f t="shared" si="25"/>
        <v>13655000</v>
      </c>
      <c r="L70" s="38">
        <f>1000000</f>
        <v>1000000</v>
      </c>
      <c r="M70" s="38">
        <f>900000</f>
        <v>900000</v>
      </c>
      <c r="N70" s="38">
        <f>900000</f>
        <v>900000</v>
      </c>
      <c r="O70" s="38">
        <f>900000</f>
        <v>900000</v>
      </c>
      <c r="P70" s="38">
        <f>IF(P30&gt;0,(SUM($H$70:$J$70)/9+100000)*3,0)</f>
        <v>2715000</v>
      </c>
      <c r="Q70" s="38">
        <f>IF(Q30&gt;0,(SUM($H$70:$J$70)/9+100000)*4,0)</f>
        <v>3620000</v>
      </c>
      <c r="R70" s="38">
        <f t="shared" ref="R70:V70" si="29">IF(R30&gt;0,(SUM($H$70:$J$70)/9+100000)*4,0)</f>
        <v>3620000</v>
      </c>
      <c r="S70" s="38">
        <f t="shared" si="29"/>
        <v>0</v>
      </c>
      <c r="T70" s="38">
        <f t="shared" si="29"/>
        <v>0</v>
      </c>
      <c r="U70" s="38">
        <f t="shared" si="29"/>
        <v>0</v>
      </c>
      <c r="V70" s="38">
        <f t="shared" si="29"/>
        <v>0</v>
      </c>
      <c r="W70" s="38">
        <f t="shared" ref="W70" si="30">IF(W30&gt;0,(SUM($H$70:$J$70)/9+100000)*4,0)</f>
        <v>0</v>
      </c>
      <c r="X70" s="37"/>
    </row>
    <row r="71" spans="2:24" x14ac:dyDescent="0.25">
      <c r="B71" s="22" t="s">
        <v>85</v>
      </c>
      <c r="C71" t="s">
        <v>44</v>
      </c>
      <c r="E71" s="10">
        <v>13365000</v>
      </c>
      <c r="F71" s="10">
        <v>23117000</v>
      </c>
      <c r="G71" s="10">
        <v>14096000</v>
      </c>
      <c r="H71" s="10">
        <v>8785000</v>
      </c>
      <c r="I71" s="10">
        <v>7943000</v>
      </c>
      <c r="J71" s="10">
        <v>3910000</v>
      </c>
      <c r="K71" s="49">
        <f t="shared" si="25"/>
        <v>57509729.180852741</v>
      </c>
      <c r="L71" s="38">
        <f>AVERAGE(E71/E86,F71/F86,G71/G86,H71/H86,I71/I86,J71/J86)*L86</f>
        <v>4644247.0452131862</v>
      </c>
      <c r="M71" s="38">
        <f>L71</f>
        <v>4644247.0452131862</v>
      </c>
      <c r="N71" s="38">
        <f t="shared" ref="N71:O71" si="31">M71</f>
        <v>4644247.0452131862</v>
      </c>
      <c r="O71" s="38">
        <f t="shared" si="31"/>
        <v>4644247.0452131862</v>
      </c>
      <c r="P71" s="38">
        <f>IF(Auxiliary!E3=3,4644247*3,IF(Auxiliary!E3=2,4644247*3*1.25,IF(Auxiliary!E3&gt;=4,4644247*3)))</f>
        <v>13932741</v>
      </c>
      <c r="Q71" s="38">
        <f>IF(Auxiliary!E4=2,15000000,IF(Auxiliary!E4=1,10000000,IF(Auxiliary!E4=3,17000000,IF(Auxiliary!E4&gt;=4,18000000))))</f>
        <v>15000000</v>
      </c>
      <c r="R71" s="38">
        <f>IF(Auxiliary!E5=1,10000000,IF(Auxiliary!E5=0,0,IF(Auxiliary!E5=2,15000000,IF(Auxiliary!E5=3,14000000,IF(Auxiliary!E5&gt;=4,18000000)))))</f>
        <v>10000000</v>
      </c>
      <c r="S71" s="38">
        <f>IF(Auxiliary!E6=1,5000000,IF(Auxiliary!E6=0,0,IF(Auxiliary!E6=2,15000000,IF(Auxiliary!E6=3,14000000,IF(Auxiliary!E6&gt;=4,18000000)))))</f>
        <v>0</v>
      </c>
      <c r="T71" s="38">
        <f>IF(Auxiliary!E7=1,5000000,IF(Auxiliary!E7=0,0,IF(Auxiliary!E7=2,15000000,IF(Auxiliary!E7=3,14000000,IF(Auxiliary!E7&gt;=4,18000000)))))</f>
        <v>0</v>
      </c>
      <c r="U71" s="38">
        <f>IF(Auxiliary!E8=1,10000000,IF(Auxiliary!E8=0,0,IF(Auxiliary!E8=2,15000000,IF(Auxiliary!E8=3,14000000,IF(Auxiliary!E8&gt;=4,18000000)))))</f>
        <v>0</v>
      </c>
      <c r="V71" s="38">
        <f>IF(Auxiliary!E9=1,10000000,IF(Auxiliary!E9=0,0,IF(Auxiliary!E9=2,15000000,IF(Auxiliary!E9=3,14000000,IF(Auxiliary!E9&gt;=4,18000000)))))</f>
        <v>0</v>
      </c>
      <c r="W71" s="38">
        <f>IF(Auxiliary!F9=1,10000000,IF(Auxiliary!F9=0,0,IF(Auxiliary!F9=2,15000000,IF(Auxiliary!F9=3,14000000,IF(Auxiliary!F9&gt;=4,18000000)))))</f>
        <v>0</v>
      </c>
      <c r="X71" s="37"/>
    </row>
    <row r="72" spans="2:24" x14ac:dyDescent="0.25">
      <c r="K72" s="51"/>
      <c r="L72" s="38"/>
      <c r="M72" s="38"/>
      <c r="N72" s="38"/>
      <c r="O72" s="38"/>
      <c r="P72" s="38"/>
      <c r="Q72" s="38"/>
      <c r="R72" s="37"/>
      <c r="S72" s="37"/>
      <c r="T72" s="37"/>
      <c r="U72" s="37"/>
      <c r="V72" s="37"/>
      <c r="W72" s="37"/>
      <c r="X72" s="37"/>
    </row>
    <row r="73" spans="2:24" x14ac:dyDescent="0.25">
      <c r="B73" s="22" t="s">
        <v>46</v>
      </c>
      <c r="C73" s="22" t="s">
        <v>44</v>
      </c>
      <c r="E73" s="10">
        <f t="shared" ref="E73:J73" si="32">E65+SUM(E68:E71)</f>
        <v>48166000</v>
      </c>
      <c r="F73" s="10">
        <f>F65+SUM(F68:F71)</f>
        <v>65827000</v>
      </c>
      <c r="G73" s="10">
        <f t="shared" si="32"/>
        <v>60781000</v>
      </c>
      <c r="H73" s="10">
        <f t="shared" si="32"/>
        <v>58828000</v>
      </c>
      <c r="I73" s="10">
        <f t="shared" si="32"/>
        <v>77904000</v>
      </c>
      <c r="J73" s="10">
        <f t="shared" si="32"/>
        <v>23282000</v>
      </c>
      <c r="K73" s="49">
        <f>SUM(L73:W73)</f>
        <v>355767346.23665959</v>
      </c>
      <c r="L73" s="38">
        <f>L65+SUM(L68:L71)</f>
        <v>24216145.379748128</v>
      </c>
      <c r="M73" s="38">
        <f t="shared" ref="M73:W73" si="33">M65+SUM(M68:M71)</f>
        <v>24632657.410799056</v>
      </c>
      <c r="N73" s="38">
        <f t="shared" si="33"/>
        <v>24803324.625566028</v>
      </c>
      <c r="O73" s="38">
        <f t="shared" si="33"/>
        <v>24445932.117780581</v>
      </c>
      <c r="P73" s="38">
        <f t="shared" si="33"/>
        <v>74289610.820499137</v>
      </c>
      <c r="Q73" s="38">
        <f t="shared" si="33"/>
        <v>95350917.813625932</v>
      </c>
      <c r="R73" s="38">
        <f t="shared" si="33"/>
        <v>88028758.068640709</v>
      </c>
      <c r="S73" s="38">
        <f t="shared" si="33"/>
        <v>0</v>
      </c>
      <c r="T73" s="38">
        <f t="shared" si="33"/>
        <v>0</v>
      </c>
      <c r="U73" s="38">
        <f t="shared" si="33"/>
        <v>0</v>
      </c>
      <c r="V73" s="38">
        <f t="shared" si="33"/>
        <v>0</v>
      </c>
      <c r="W73" s="38">
        <f t="shared" si="33"/>
        <v>0</v>
      </c>
      <c r="X73" s="37"/>
    </row>
    <row r="74" spans="2:24" x14ac:dyDescent="0.25">
      <c r="B74" s="3"/>
      <c r="C74" s="3"/>
      <c r="K74" s="51"/>
      <c r="L74" s="38"/>
      <c r="M74" s="38"/>
      <c r="N74" s="38"/>
      <c r="O74" s="38"/>
      <c r="P74" s="38"/>
      <c r="Q74" s="38"/>
      <c r="R74" s="37"/>
      <c r="S74" s="37"/>
      <c r="T74" s="37"/>
      <c r="U74" s="37"/>
      <c r="V74" s="37"/>
      <c r="W74" s="37"/>
      <c r="X74" s="37"/>
    </row>
    <row r="75" spans="2:24" ht="15.75" thickBot="1" x14ac:dyDescent="0.3">
      <c r="B75" s="7" t="s">
        <v>86</v>
      </c>
      <c r="C75" s="3"/>
      <c r="K75" s="51"/>
      <c r="L75" s="37"/>
      <c r="M75" s="38"/>
      <c r="N75" s="38"/>
      <c r="O75" s="38"/>
      <c r="P75" s="38"/>
      <c r="Q75" s="38"/>
      <c r="R75" s="37"/>
      <c r="S75" s="37"/>
      <c r="T75" s="37"/>
      <c r="U75" s="37"/>
      <c r="V75" s="37"/>
      <c r="W75" s="37"/>
      <c r="X75" s="37"/>
    </row>
    <row r="76" spans="2:24" x14ac:dyDescent="0.25">
      <c r="B76" s="24" t="s">
        <v>92</v>
      </c>
      <c r="C76" s="22" t="s">
        <v>44</v>
      </c>
      <c r="K76" s="49">
        <f>SUM(L76:W76)</f>
        <v>63127629.153478712</v>
      </c>
      <c r="L76" s="38">
        <f>IF(L14&lt;=15,4%,IF(AND(L14&gt;15,L14&lt;=20),9%,IF(AND(L14&gt;20,L14&lt;=25),13%,IF(L14&gt;25,16%))))*0.7*L57 + 12*L30</f>
        <v>3896201.061741014</v>
      </c>
      <c r="M76" s="38">
        <f t="shared" ref="M76:W76" si="34">IF(M14&lt;=15,4%,IF(AND(M14&gt;15,M14&lt;=20),9%,IF(AND(M14&gt;20,M14&lt;=25),13%,IF(M14&gt;25,16%))))*0.7*M57 + 12*M30</f>
        <v>3924466.9294931358</v>
      </c>
      <c r="N76" s="38">
        <f t="shared" si="34"/>
        <v>4033890.0620311359</v>
      </c>
      <c r="O76" s="38">
        <f t="shared" si="34"/>
        <v>4383757.4317366993</v>
      </c>
      <c r="P76" s="38">
        <f t="shared" si="34"/>
        <v>13394814.374751028</v>
      </c>
      <c r="Q76" s="38">
        <f t="shared" si="34"/>
        <v>18538645.446457863</v>
      </c>
      <c r="R76" s="38">
        <f t="shared" si="34"/>
        <v>14955853.847267838</v>
      </c>
      <c r="S76" s="38">
        <f t="shared" si="34"/>
        <v>0</v>
      </c>
      <c r="T76" s="38">
        <f t="shared" si="34"/>
        <v>0</v>
      </c>
      <c r="U76" s="38">
        <f t="shared" si="34"/>
        <v>0</v>
      </c>
      <c r="V76" s="38">
        <f t="shared" si="34"/>
        <v>0</v>
      </c>
      <c r="W76" s="38">
        <f t="shared" si="34"/>
        <v>0</v>
      </c>
      <c r="X76" s="37"/>
    </row>
    <row r="77" spans="2:24" x14ac:dyDescent="0.25">
      <c r="B77" s="24" t="s">
        <v>150</v>
      </c>
      <c r="C77" s="22" t="s">
        <v>44</v>
      </c>
      <c r="D77" s="15"/>
      <c r="H77" s="10">
        <v>1635000</v>
      </c>
      <c r="I77" s="10">
        <v>2674000</v>
      </c>
      <c r="J77" s="10">
        <v>731000</v>
      </c>
      <c r="K77" s="49">
        <f>SUM(L77:W77)</f>
        <v>14195292.858296946</v>
      </c>
      <c r="L77" s="38">
        <f>7.5%*(L57-L73+L71)</f>
        <v>708262.34612500085</v>
      </c>
      <c r="M77" s="38">
        <f t="shared" ref="M77:V77" si="35">7.5%*(M57-M73+M71)</f>
        <v>688946.36227320472</v>
      </c>
      <c r="N77" s="38">
        <f t="shared" si="35"/>
        <v>766330.22160908836</v>
      </c>
      <c r="O77" s="38">
        <f t="shared" si="35"/>
        <v>1104234.1402195601</v>
      </c>
      <c r="P77" s="38">
        <f t="shared" si="35"/>
        <v>3385169.6877079164</v>
      </c>
      <c r="Q77" s="38">
        <f t="shared" si="35"/>
        <v>5090037.3011686029</v>
      </c>
      <c r="R77" s="38">
        <f t="shared" si="35"/>
        <v>2452312.7991935713</v>
      </c>
      <c r="S77" s="38">
        <f t="shared" si="35"/>
        <v>0</v>
      </c>
      <c r="T77" s="38">
        <f t="shared" si="35"/>
        <v>0</v>
      </c>
      <c r="U77" s="38">
        <f t="shared" si="35"/>
        <v>0</v>
      </c>
      <c r="V77" s="38">
        <f t="shared" si="35"/>
        <v>0</v>
      </c>
      <c r="W77" s="38">
        <f t="shared" ref="W77" si="36">7.5%*(W57-W73+W71)</f>
        <v>0</v>
      </c>
      <c r="X77" s="37"/>
    </row>
    <row r="78" spans="2:24" x14ac:dyDescent="0.25">
      <c r="B78" s="24" t="s">
        <v>151</v>
      </c>
      <c r="C78" s="22" t="s">
        <v>44</v>
      </c>
      <c r="D78" s="15"/>
      <c r="K78" s="49">
        <f>SUM(L78:W78)</f>
        <v>2437640.9424988306</v>
      </c>
      <c r="L78" s="38">
        <f t="shared" ref="L78:V78" si="37">0.5%*L57</f>
        <v>145076.98141434146</v>
      </c>
      <c r="M78" s="38">
        <f t="shared" si="37"/>
        <v>145871.80931280967</v>
      </c>
      <c r="N78" s="38">
        <f t="shared" si="37"/>
        <v>151884.06934237012</v>
      </c>
      <c r="O78" s="38">
        <f t="shared" si="37"/>
        <v>172624.03471080767</v>
      </c>
      <c r="P78" s="38">
        <f t="shared" si="37"/>
        <v>527462.32828302344</v>
      </c>
      <c r="Q78" s="38">
        <f t="shared" si="37"/>
        <v>741090.40914603649</v>
      </c>
      <c r="R78" s="38">
        <f t="shared" si="37"/>
        <v>553631.31028944161</v>
      </c>
      <c r="S78" s="38">
        <f t="shared" si="37"/>
        <v>0</v>
      </c>
      <c r="T78" s="38">
        <f t="shared" si="37"/>
        <v>0</v>
      </c>
      <c r="U78" s="38">
        <f t="shared" si="37"/>
        <v>0</v>
      </c>
      <c r="V78" s="38">
        <f t="shared" si="37"/>
        <v>0</v>
      </c>
      <c r="W78" s="38">
        <f t="shared" ref="W78" si="38">0.5%*W57</f>
        <v>0</v>
      </c>
      <c r="X78" s="37"/>
    </row>
    <row r="79" spans="2:24" x14ac:dyDescent="0.25">
      <c r="B79" s="24"/>
      <c r="C79" s="22"/>
      <c r="D79" s="15"/>
      <c r="K79" s="51"/>
      <c r="L79" s="38"/>
      <c r="M79" s="38"/>
      <c r="N79" s="38"/>
      <c r="O79" s="38"/>
      <c r="P79" s="38"/>
      <c r="Q79" s="38"/>
      <c r="R79" s="38"/>
      <c r="S79" s="38"/>
      <c r="T79" s="38"/>
      <c r="U79" s="38"/>
      <c r="V79" s="38"/>
      <c r="W79" s="37"/>
      <c r="X79" s="37"/>
    </row>
    <row r="80" spans="2:24" ht="15.75" thickBot="1" x14ac:dyDescent="0.3">
      <c r="B80" s="7" t="s">
        <v>88</v>
      </c>
      <c r="C80" s="3"/>
      <c r="K80" s="51"/>
      <c r="L80" s="38"/>
      <c r="M80" s="38"/>
      <c r="N80" s="38"/>
      <c r="O80" s="38"/>
      <c r="P80" s="38"/>
      <c r="Q80" s="38"/>
      <c r="R80" s="37"/>
      <c r="S80" s="37"/>
      <c r="T80" s="37"/>
      <c r="U80" s="37"/>
      <c r="V80" s="37"/>
      <c r="W80" s="37"/>
      <c r="X80" s="37"/>
    </row>
    <row r="81" spans="2:24" x14ac:dyDescent="0.25">
      <c r="B81" s="23" t="s">
        <v>49</v>
      </c>
      <c r="C81" s="22" t="s">
        <v>44</v>
      </c>
      <c r="E81" s="10">
        <v>-4875000</v>
      </c>
      <c r="F81" s="10">
        <v>-27296000</v>
      </c>
      <c r="G81" s="10">
        <v>-12833000</v>
      </c>
      <c r="H81" s="10">
        <v>27650000</v>
      </c>
      <c r="I81" s="10">
        <v>34904000</v>
      </c>
      <c r="J81" s="10">
        <v>16558000</v>
      </c>
      <c r="K81" s="49">
        <f>SUM(L81:W81)</f>
        <v>52000279.308832034</v>
      </c>
      <c r="L81" s="38">
        <f t="shared" ref="L81:W81" si="39">L57-L73-SUM(L76:L78)</f>
        <v>49710.513839803636</v>
      </c>
      <c r="M81" s="38">
        <f t="shared" si="39"/>
        <v>-217580.6493162727</v>
      </c>
      <c r="N81" s="38">
        <f t="shared" si="39"/>
        <v>621384.88992539886</v>
      </c>
      <c r="O81" s="38">
        <f t="shared" si="39"/>
        <v>4418259.2177138822</v>
      </c>
      <c r="P81" s="38">
        <f t="shared" si="39"/>
        <v>13895408.445363589</v>
      </c>
      <c r="Q81" s="38">
        <f t="shared" si="39"/>
        <v>28497390.858808868</v>
      </c>
      <c r="R81" s="38">
        <f t="shared" si="39"/>
        <v>4735706.032496769</v>
      </c>
      <c r="S81" s="38">
        <f t="shared" si="39"/>
        <v>0</v>
      </c>
      <c r="T81" s="38">
        <f t="shared" si="39"/>
        <v>0</v>
      </c>
      <c r="U81" s="38">
        <f t="shared" si="39"/>
        <v>0</v>
      </c>
      <c r="V81" s="38">
        <f t="shared" si="39"/>
        <v>0</v>
      </c>
      <c r="W81" s="38">
        <f t="shared" si="39"/>
        <v>0</v>
      </c>
      <c r="X81" s="37"/>
    </row>
    <row r="82" spans="2:24" x14ac:dyDescent="0.25">
      <c r="B82" s="23" t="s">
        <v>145</v>
      </c>
      <c r="C82" s="22" t="s">
        <v>22</v>
      </c>
      <c r="E82" s="16"/>
      <c r="F82" s="16"/>
      <c r="G82" s="16"/>
      <c r="H82" s="16"/>
      <c r="I82" s="16">
        <f>(I81-I83)/I81</f>
        <v>0.37617465046986021</v>
      </c>
      <c r="J82" s="16">
        <f>(J81-J83)/J81</f>
        <v>0.3645367798043242</v>
      </c>
      <c r="K82" s="54">
        <f>AVERAGE(L82:W82)</f>
        <v>0.29999999999999993</v>
      </c>
      <c r="L82" s="45">
        <v>0.3</v>
      </c>
      <c r="M82" s="45">
        <f>L82</f>
        <v>0.3</v>
      </c>
      <c r="N82" s="45">
        <f t="shared" ref="N82:W82" si="40">M82</f>
        <v>0.3</v>
      </c>
      <c r="O82" s="45">
        <f t="shared" si="40"/>
        <v>0.3</v>
      </c>
      <c r="P82" s="45">
        <f t="shared" si="40"/>
        <v>0.3</v>
      </c>
      <c r="Q82" s="45">
        <f t="shared" si="40"/>
        <v>0.3</v>
      </c>
      <c r="R82" s="45">
        <f t="shared" si="40"/>
        <v>0.3</v>
      </c>
      <c r="S82" s="45">
        <f t="shared" si="40"/>
        <v>0.3</v>
      </c>
      <c r="T82" s="45">
        <f t="shared" si="40"/>
        <v>0.3</v>
      </c>
      <c r="U82" s="45">
        <f t="shared" si="40"/>
        <v>0.3</v>
      </c>
      <c r="V82" s="45">
        <f t="shared" si="40"/>
        <v>0.3</v>
      </c>
      <c r="W82" s="46">
        <f t="shared" si="40"/>
        <v>0.3</v>
      </c>
      <c r="X82" s="37"/>
    </row>
    <row r="83" spans="2:24" x14ac:dyDescent="0.25">
      <c r="B83" s="24" t="s">
        <v>89</v>
      </c>
      <c r="C83" s="22" t="s">
        <v>44</v>
      </c>
      <c r="E83" s="10">
        <v>-4913000</v>
      </c>
      <c r="F83" s="10">
        <v>-20463000</v>
      </c>
      <c r="G83" s="10">
        <v>-17163000</v>
      </c>
      <c r="H83" s="10">
        <v>31454000</v>
      </c>
      <c r="I83" s="10">
        <v>21774000</v>
      </c>
      <c r="J83" s="10">
        <v>10522000</v>
      </c>
      <c r="K83" s="49">
        <f>SUM(L83:W83)</f>
        <v>36334921.321387544</v>
      </c>
      <c r="L83" s="38">
        <f>IF(L81&gt;=0,L81*(1-L82),L81)</f>
        <v>34797.359687862539</v>
      </c>
      <c r="M83" s="38">
        <f t="shared" ref="M83:W83" si="41">IF(M81&gt;=0,M81*(1-M82),M81)</f>
        <v>-217580.6493162727</v>
      </c>
      <c r="N83" s="38">
        <f t="shared" si="41"/>
        <v>434969.42294777918</v>
      </c>
      <c r="O83" s="38">
        <f t="shared" si="41"/>
        <v>3092781.4523997172</v>
      </c>
      <c r="P83" s="38">
        <f t="shared" si="41"/>
        <v>9726785.9117545113</v>
      </c>
      <c r="Q83" s="38">
        <f t="shared" si="41"/>
        <v>19948173.601166207</v>
      </c>
      <c r="R83" s="38">
        <f t="shared" si="41"/>
        <v>3314994.222747738</v>
      </c>
      <c r="S83" s="38">
        <f t="shared" si="41"/>
        <v>0</v>
      </c>
      <c r="T83" s="38">
        <f t="shared" si="41"/>
        <v>0</v>
      </c>
      <c r="U83" s="38">
        <f t="shared" si="41"/>
        <v>0</v>
      </c>
      <c r="V83" s="38">
        <f t="shared" si="41"/>
        <v>0</v>
      </c>
      <c r="W83" s="38">
        <f t="shared" si="41"/>
        <v>0</v>
      </c>
      <c r="X83" s="37"/>
    </row>
    <row r="84" spans="2:24" x14ac:dyDescent="0.25">
      <c r="B84" s="19"/>
      <c r="C84" s="3"/>
      <c r="K84" s="51"/>
      <c r="L84" s="38"/>
      <c r="M84" s="38"/>
      <c r="N84" s="38"/>
      <c r="O84" s="38"/>
      <c r="P84" s="38"/>
      <c r="Q84" s="38"/>
      <c r="R84" s="37"/>
      <c r="S84" s="37"/>
      <c r="T84" s="37"/>
      <c r="U84" s="37"/>
      <c r="V84" s="37"/>
      <c r="W84" s="37"/>
      <c r="X84" s="37"/>
    </row>
    <row r="85" spans="2:24" ht="15.75" thickBot="1" x14ac:dyDescent="0.3">
      <c r="B85" s="7" t="s">
        <v>47</v>
      </c>
      <c r="K85" s="51"/>
      <c r="L85" s="37"/>
      <c r="M85" s="37"/>
      <c r="N85" s="37"/>
      <c r="O85" s="37"/>
      <c r="P85" s="37"/>
      <c r="Q85" s="37"/>
      <c r="R85" s="37"/>
      <c r="S85" s="37"/>
      <c r="T85" s="37"/>
      <c r="U85" s="37"/>
      <c r="V85" s="37"/>
      <c r="W85" s="37"/>
      <c r="X85" s="37"/>
    </row>
    <row r="86" spans="2:24" x14ac:dyDescent="0.25">
      <c r="B86" t="s">
        <v>93</v>
      </c>
      <c r="C86" t="s">
        <v>44</v>
      </c>
      <c r="E86" s="10">
        <v>17080000</v>
      </c>
      <c r="F86" s="10">
        <v>15717000</v>
      </c>
      <c r="G86" s="10">
        <v>10864000</v>
      </c>
      <c r="H86" s="10">
        <v>11103000</v>
      </c>
      <c r="I86" s="10">
        <v>21964000</v>
      </c>
      <c r="J86" s="10">
        <v>5646000</v>
      </c>
      <c r="K86" s="49">
        <f>SUM(L86:W86)</f>
        <v>45499790</v>
      </c>
      <c r="L86" s="38">
        <f>(20400000-$J$86)/3*1.05</f>
        <v>5163900</v>
      </c>
      <c r="M86" s="38">
        <f t="shared" ref="M86:N86" si="42">(20400000-$J$86)/3*1.05</f>
        <v>5163900</v>
      </c>
      <c r="N86" s="38">
        <f t="shared" si="42"/>
        <v>5163900</v>
      </c>
      <c r="O86" s="38">
        <f>N86</f>
        <v>5163900</v>
      </c>
      <c r="P86" s="38">
        <f>IF(Auxiliary!E3=3,5163900*3*0.7,IF(Auxiliary!E3=2,5163900*3*0.4,IF(Auxiliary!E3&gt;=4,5163900*3*0.9)))</f>
        <v>10844190</v>
      </c>
      <c r="Q86" s="38">
        <f>IF(Auxiliary!E4=2,9000000,IF(Auxiliary!E4=1,5000000,IF(Auxiliary!E4=3,14000000,IF(Auxiliary!E4&gt;=4,20000000))))</f>
        <v>9000000</v>
      </c>
      <c r="R86" s="38">
        <f>IF(Auxiliary!E5=1,5000000,IF(Auxiliary!E5=0,0,IF(Auxiliary!E5=2,9000000,IF(Auxiliary!E5=3,14000000,IF(Auxiliary!E5&gt;=4,20000000)))))</f>
        <v>5000000</v>
      </c>
      <c r="S86" s="38">
        <f>IF(Auxiliary!E6=1,5000000,IF(Auxiliary!E6=0,0,IF(Auxiliary!E6=2,9000000,IF(Auxiliary!E6=3,14000000,IF(Auxiliary!E6&gt;=4,20000000)))))</f>
        <v>0</v>
      </c>
      <c r="T86" s="38">
        <f>IF(Auxiliary!E7=1,5000000,IF(Auxiliary!E7=0,0,IF(Auxiliary!E7=2,9000000,IF(Auxiliary!E7=3,14000000,IF(Auxiliary!E7&gt;=4,20000000)))))</f>
        <v>0</v>
      </c>
      <c r="U86" s="38">
        <f>IF(Auxiliary!E8=1,5000000,IF(Auxiliary!E8=0,0,IF(Auxiliary!E8=2,9000000,IF(Auxiliary!E8=3,14000000,IF(Auxiliary!E8&gt;=4,20000000)))))</f>
        <v>0</v>
      </c>
      <c r="V86" s="38">
        <f>IF(Auxiliary!E9=1,5000000,IF(Auxiliary!E9=0,0,IF(Auxiliary!E9=2,9000000,IF(Auxiliary!E9=3,14000000,IF(Auxiliary!E9&gt;=4,20000000)))))</f>
        <v>0</v>
      </c>
      <c r="W86" s="38">
        <f>IF(Auxiliary!F9=1,5000000,IF(Auxiliary!F9=0,0,IF(Auxiliary!F9=2,9000000,IF(Auxiliary!F9=3,14000000,IF(Auxiliary!F9&gt;=4,20000000)))))</f>
        <v>0</v>
      </c>
      <c r="X86" s="37"/>
    </row>
    <row r="87" spans="2:24" x14ac:dyDescent="0.25">
      <c r="B87" t="s">
        <v>153</v>
      </c>
      <c r="C87" t="s">
        <v>44</v>
      </c>
      <c r="K87" s="49">
        <f>SUM(L87:X87)</f>
        <v>2509200</v>
      </c>
      <c r="L87" s="37"/>
      <c r="M87" s="37"/>
      <c r="N87" s="37"/>
      <c r="O87" s="37"/>
      <c r="P87" s="38" t="str">
        <f t="shared" ref="P87:W87" si="43">IF(AND(P30=0,O30&gt;0),2091000*1.2,"")</f>
        <v/>
      </c>
      <c r="Q87" s="38" t="str">
        <f t="shared" si="43"/>
        <v/>
      </c>
      <c r="R87" s="38" t="str">
        <f t="shared" si="43"/>
        <v/>
      </c>
      <c r="S87" s="38">
        <f t="shared" si="43"/>
        <v>2509200</v>
      </c>
      <c r="T87" s="38" t="str">
        <f t="shared" si="43"/>
        <v/>
      </c>
      <c r="U87" s="38" t="str">
        <f t="shared" si="43"/>
        <v/>
      </c>
      <c r="V87" s="38" t="str">
        <f t="shared" si="43"/>
        <v/>
      </c>
      <c r="W87" s="38" t="str">
        <f t="shared" si="43"/>
        <v/>
      </c>
      <c r="X87" s="37"/>
    </row>
    <row r="88" spans="2:24" x14ac:dyDescent="0.25">
      <c r="B88" t="s">
        <v>95</v>
      </c>
      <c r="C88" t="s">
        <v>20</v>
      </c>
      <c r="E88" s="14">
        <f>(E73-E71+SUM(E86:E87)+SUM(E76:E78))/(E51+E52*E15/E14)</f>
        <v>21.461626753670846</v>
      </c>
      <c r="F88" s="14">
        <f t="shared" ref="F88:J88" si="44">(F73-F71+SUM(F86:F87)+SUM(F76:F78))/(F51+F52*F15/F14)</f>
        <v>24.505613004680207</v>
      </c>
      <c r="G88" s="14">
        <f t="shared" si="44"/>
        <v>21.101068684877816</v>
      </c>
      <c r="H88" s="14">
        <f t="shared" si="44"/>
        <v>16.104619129202096</v>
      </c>
      <c r="I88" s="14">
        <f t="shared" si="44"/>
        <v>17.974664793950669</v>
      </c>
      <c r="J88" s="14">
        <f t="shared" si="44"/>
        <v>18.253995939875189</v>
      </c>
      <c r="K88" s="47">
        <f>AVERAGE(L88:X88)</f>
        <v>21.852917866872325</v>
      </c>
      <c r="L88" s="43">
        <f>IF(OR(L51&gt;0,L52&gt;0),(L73-L71+SUM(L86:L87)+SUM(L76:L78))/(L51+L52*L15/L14),"")</f>
        <v>22.35631888670563</v>
      </c>
      <c r="M88" s="43">
        <f t="shared" ref="M88:W88" si="45">IF(OR(M51&gt;0,M52&gt;0),(M73-M71+SUM(M86:M87)+SUM(M76:M78))/(M51+M52*M15/M14),"")</f>
        <v>22.555938099577801</v>
      </c>
      <c r="N88" s="43">
        <f t="shared" si="45"/>
        <v>22.92297301098402</v>
      </c>
      <c r="O88" s="43">
        <f t="shared" si="45"/>
        <v>22.176952886761757</v>
      </c>
      <c r="P88" s="43">
        <f t="shared" si="45"/>
        <v>20.975077618185271</v>
      </c>
      <c r="Q88" s="43">
        <f t="shared" si="45"/>
        <v>19.181312017895284</v>
      </c>
      <c r="R88" s="43">
        <f t="shared" si="45"/>
        <v>22.801852547996496</v>
      </c>
      <c r="S88" s="43" t="str">
        <f t="shared" si="45"/>
        <v/>
      </c>
      <c r="T88" s="43" t="str">
        <f t="shared" si="45"/>
        <v/>
      </c>
      <c r="U88" s="43" t="str">
        <f t="shared" si="45"/>
        <v/>
      </c>
      <c r="V88" s="43" t="str">
        <f t="shared" si="45"/>
        <v/>
      </c>
      <c r="W88" s="43" t="str">
        <f t="shared" si="45"/>
        <v/>
      </c>
      <c r="X88" s="37"/>
    </row>
    <row r="89" spans="2:24" x14ac:dyDescent="0.25">
      <c r="E89" s="28"/>
      <c r="F89" s="28"/>
      <c r="G89" s="28"/>
      <c r="H89" s="28"/>
      <c r="I89" s="28"/>
      <c r="J89" s="28"/>
      <c r="K89" s="56"/>
      <c r="L89" s="37"/>
      <c r="M89" s="37"/>
      <c r="N89" s="37"/>
      <c r="O89" s="37"/>
      <c r="P89" s="37"/>
      <c r="Q89" s="37"/>
      <c r="R89" s="37"/>
      <c r="S89" s="37"/>
      <c r="T89" s="37"/>
      <c r="U89" s="37"/>
      <c r="V89" s="37"/>
      <c r="W89" s="37"/>
      <c r="X89" s="37"/>
    </row>
    <row r="90" spans="2:24" ht="15.75" thickBot="1" x14ac:dyDescent="0.3">
      <c r="B90" s="7" t="s">
        <v>48</v>
      </c>
      <c r="K90" s="51"/>
      <c r="L90" s="37"/>
      <c r="M90" s="37"/>
      <c r="N90" s="37"/>
      <c r="O90" s="37"/>
      <c r="P90" s="37"/>
      <c r="Q90" s="37"/>
      <c r="R90" s="37"/>
      <c r="S90" s="37"/>
      <c r="T90" s="37"/>
      <c r="U90" s="37"/>
      <c r="V90" s="37"/>
      <c r="W90" s="37"/>
      <c r="X90" s="37"/>
    </row>
    <row r="91" spans="2:24" x14ac:dyDescent="0.25">
      <c r="B91" s="22" t="s">
        <v>48</v>
      </c>
      <c r="C91" s="22" t="s">
        <v>44</v>
      </c>
      <c r="D91" s="22"/>
      <c r="E91" s="10">
        <f t="shared" ref="E91:J91" si="46">E83+E71-SUM(E86:E87)</f>
        <v>-8628000</v>
      </c>
      <c r="F91" s="10">
        <f t="shared" si="46"/>
        <v>-13063000</v>
      </c>
      <c r="G91" s="10">
        <f t="shared" si="46"/>
        <v>-13931000</v>
      </c>
      <c r="H91" s="10">
        <f t="shared" si="46"/>
        <v>29136000</v>
      </c>
      <c r="I91" s="10">
        <f t="shared" si="46"/>
        <v>7753000</v>
      </c>
      <c r="J91" s="10">
        <f t="shared" si="46"/>
        <v>8786000</v>
      </c>
      <c r="K91" s="49">
        <f>SUM(L91:X91)</f>
        <v>45835660.502240278</v>
      </c>
      <c r="L91" s="38">
        <f t="shared" ref="L91:W91" si="47">L83+L71-SUM(L86:L87)</f>
        <v>-484855.5950989509</v>
      </c>
      <c r="M91" s="38">
        <f t="shared" si="47"/>
        <v>-737233.60410308652</v>
      </c>
      <c r="N91" s="38">
        <f t="shared" si="47"/>
        <v>-84683.53183903452</v>
      </c>
      <c r="O91" s="38">
        <f t="shared" si="47"/>
        <v>2573128.4976129029</v>
      </c>
      <c r="P91" s="38">
        <f t="shared" si="47"/>
        <v>12815336.911754511</v>
      </c>
      <c r="Q91" s="38">
        <f t="shared" si="47"/>
        <v>25948173.601166204</v>
      </c>
      <c r="R91" s="38">
        <f t="shared" si="47"/>
        <v>8314994.2227477375</v>
      </c>
      <c r="S91" s="38">
        <f t="shared" si="47"/>
        <v>-2509200</v>
      </c>
      <c r="T91" s="38">
        <f t="shared" si="47"/>
        <v>0</v>
      </c>
      <c r="U91" s="38">
        <f t="shared" si="47"/>
        <v>0</v>
      </c>
      <c r="V91" s="38">
        <f t="shared" si="47"/>
        <v>0</v>
      </c>
      <c r="W91" s="38">
        <f t="shared" si="47"/>
        <v>0</v>
      </c>
      <c r="X91" s="37"/>
    </row>
    <row r="92" spans="2:24" x14ac:dyDescent="0.25">
      <c r="B92" s="3" t="s">
        <v>50</v>
      </c>
      <c r="C92" s="3" t="s">
        <v>44</v>
      </c>
      <c r="D92" s="34"/>
      <c r="K92" s="49">
        <f>SUM(L92:X92)</f>
        <v>38738095.789828621</v>
      </c>
      <c r="L92" s="49">
        <f>L91</f>
        <v>-484855.5950989509</v>
      </c>
      <c r="M92" s="49">
        <f>M91/(1+$D$4)^(0.25)</f>
        <v>-719873.48515986977</v>
      </c>
      <c r="N92" s="49">
        <f>N91/(1+$D$4)^(0.5)</f>
        <v>-80742.291813046977</v>
      </c>
      <c r="O92" s="49">
        <f>O91/(1+$D$4)^(0.75)</f>
        <v>2395601.847987623</v>
      </c>
      <c r="P92" s="49">
        <f>P91/(1+$D$4)^(1)</f>
        <v>11650223.253421703</v>
      </c>
      <c r="Q92" s="49">
        <f>Q91/(1+$D$4)^(2)</f>
        <v>21444465.904937766</v>
      </c>
      <c r="R92" s="49">
        <f>R91/(1+$D$4)^(3)</f>
        <v>6247044.6617970234</v>
      </c>
      <c r="S92" s="49">
        <f>S91/(1+$D$4)^(4)</f>
        <v>-1713768.5062436308</v>
      </c>
      <c r="T92" s="49">
        <f>T91/(1+$D$4)^(5)</f>
        <v>0</v>
      </c>
      <c r="U92" s="49">
        <f>U91/(1+$D$4)^(6)</f>
        <v>0</v>
      </c>
      <c r="V92" s="49">
        <f>V91/(1+$D$4)^(7)</f>
        <v>0</v>
      </c>
      <c r="W92" s="49">
        <f>W91/(1+$D$4)^(7)</f>
        <v>0</v>
      </c>
      <c r="X92" s="37"/>
    </row>
  </sheetData>
  <dataValidations disablePrompts="1" count="1">
    <dataValidation type="list" allowBlank="1" showInputMessage="1" showErrorMessage="1" sqref="M10 G10" xr:uid="{CEF678B5-642A-4242-994B-D5021E99CDDB}">
      <formula1>"Bear case, Base case, Bull case"</formula1>
    </dataValidation>
  </dataValidations>
  <pageMargins left="0.7" right="0.7" top="0.75" bottom="0.75" header="0.3" footer="0.3"/>
  <pageSetup orientation="portrait" r:id="rId1"/>
  <ignoredErrors>
    <ignoredError sqref="U30:U32 Q31 R32 P29 K35:K36 K59 K57 K73 K82 K91 U64" formula="1"/>
    <ignoredError sqref="L68"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0851-7E9C-4E4E-B98E-540685B40EEB}">
  <dimension ref="A1:Z96"/>
  <sheetViews>
    <sheetView showGridLines="0" topLeftCell="A10" zoomScale="87" zoomScaleNormal="87" workbookViewId="0">
      <selection activeCell="L76" sqref="L76"/>
    </sheetView>
  </sheetViews>
  <sheetFormatPr defaultRowHeight="15" x14ac:dyDescent="0.25"/>
  <cols>
    <col min="1" max="1" width="9.7109375" customWidth="1"/>
    <col min="2" max="2" width="39.85546875" bestFit="1" customWidth="1"/>
    <col min="4" max="4" width="10.5703125" bestFit="1" customWidth="1"/>
    <col min="5" max="5" width="11.85546875" bestFit="1" customWidth="1"/>
    <col min="6" max="6" width="16" bestFit="1" customWidth="1"/>
    <col min="7" max="7" width="15.28515625" bestFit="1" customWidth="1"/>
    <col min="8" max="8" width="19.5703125" bestFit="1" customWidth="1"/>
    <col min="9" max="9" width="18.5703125" bestFit="1" customWidth="1"/>
    <col min="10" max="10" width="17.28515625" bestFit="1" customWidth="1"/>
    <col min="11" max="11" width="14.7109375" bestFit="1" customWidth="1"/>
    <col min="12" max="12" width="12.7109375" bestFit="1" customWidth="1"/>
    <col min="13" max="13" width="11.140625" bestFit="1" customWidth="1"/>
    <col min="14" max="14" width="16" bestFit="1" customWidth="1"/>
    <col min="15" max="15" width="15.28515625" bestFit="1" customWidth="1"/>
    <col min="16" max="16" width="19.5703125" bestFit="1" customWidth="1"/>
    <col min="17" max="17" width="18.5703125" bestFit="1" customWidth="1"/>
    <col min="18" max="18" width="11.140625" bestFit="1" customWidth="1"/>
    <col min="19" max="19" width="12.7109375" bestFit="1" customWidth="1"/>
    <col min="20" max="20" width="11.140625" bestFit="1" customWidth="1"/>
    <col min="21" max="21" width="16" bestFit="1" customWidth="1"/>
    <col min="22" max="22" width="15.28515625" bestFit="1" customWidth="1"/>
    <col min="23" max="23" width="19.5703125" bestFit="1" customWidth="1"/>
    <col min="24" max="24" width="18.5703125" bestFit="1" customWidth="1"/>
    <col min="25" max="26" width="8.7109375" customWidth="1"/>
  </cols>
  <sheetData>
    <row r="1" spans="1:26" ht="23.25" x14ac:dyDescent="0.35">
      <c r="A1" s="1" t="s">
        <v>111</v>
      </c>
      <c r="B1" s="2"/>
      <c r="C1" s="2"/>
      <c r="D1" s="2"/>
      <c r="E1" s="2"/>
      <c r="F1" s="2"/>
      <c r="G1" s="2"/>
      <c r="H1" s="2"/>
      <c r="I1" s="2"/>
      <c r="J1" s="2"/>
      <c r="K1" s="2"/>
      <c r="L1" s="2"/>
      <c r="M1" s="2"/>
      <c r="N1" s="2"/>
      <c r="O1" s="2"/>
      <c r="P1" s="2"/>
      <c r="Q1" s="2"/>
      <c r="R1" s="2"/>
      <c r="S1" s="2"/>
      <c r="T1" s="2"/>
      <c r="U1" s="2"/>
      <c r="V1" s="2"/>
      <c r="W1" s="2"/>
      <c r="X1" s="2"/>
      <c r="Y1" s="2"/>
      <c r="Z1" s="2"/>
    </row>
    <row r="2" spans="1:26" x14ac:dyDescent="0.25">
      <c r="A2" s="3" t="s">
        <v>0</v>
      </c>
    </row>
    <row r="3" spans="1:26" x14ac:dyDescent="0.25">
      <c r="A3" t="s">
        <v>108</v>
      </c>
    </row>
    <row r="4" spans="1:26" x14ac:dyDescent="0.25">
      <c r="A4" t="s">
        <v>1</v>
      </c>
      <c r="C4" s="3" t="s">
        <v>2</v>
      </c>
      <c r="D4" s="31">
        <f>WACC!C22</f>
        <v>0.1000078395914526</v>
      </c>
    </row>
    <row r="5" spans="1:26" x14ac:dyDescent="0.25">
      <c r="J5" s="19"/>
      <c r="K5" s="19"/>
      <c r="L5" s="17"/>
    </row>
    <row r="6" spans="1:26" x14ac:dyDescent="0.25">
      <c r="B6" s="3" t="s">
        <v>64</v>
      </c>
      <c r="E6" s="3" t="s">
        <v>68</v>
      </c>
      <c r="F6" s="3" t="s">
        <v>24</v>
      </c>
      <c r="G6" s="3" t="s">
        <v>69</v>
      </c>
      <c r="H6" s="3" t="s">
        <v>70</v>
      </c>
      <c r="I6" s="3" t="s">
        <v>71</v>
      </c>
      <c r="J6" s="3" t="s">
        <v>72</v>
      </c>
      <c r="K6" s="17"/>
      <c r="L6" s="3" t="s">
        <v>68</v>
      </c>
      <c r="M6" s="3" t="s">
        <v>24</v>
      </c>
      <c r="N6" s="3" t="s">
        <v>69</v>
      </c>
      <c r="O6" s="3" t="s">
        <v>70</v>
      </c>
      <c r="P6" s="3" t="s">
        <v>71</v>
      </c>
      <c r="Q6" s="3" t="s">
        <v>72</v>
      </c>
      <c r="S6" s="3" t="s">
        <v>68</v>
      </c>
      <c r="T6" s="3" t="s">
        <v>24</v>
      </c>
      <c r="U6" s="3" t="s">
        <v>69</v>
      </c>
      <c r="V6" s="3" t="s">
        <v>70</v>
      </c>
      <c r="W6" s="3" t="s">
        <v>71</v>
      </c>
      <c r="X6" s="3" t="s">
        <v>72</v>
      </c>
    </row>
    <row r="7" spans="1:26" x14ac:dyDescent="0.25">
      <c r="B7" t="s">
        <v>65</v>
      </c>
      <c r="C7" s="9">
        <v>1</v>
      </c>
      <c r="E7" t="s">
        <v>25</v>
      </c>
      <c r="F7" s="10">
        <f>14106</f>
        <v>14106</v>
      </c>
      <c r="G7">
        <f>33</f>
        <v>33</v>
      </c>
      <c r="H7">
        <f>2.74</f>
        <v>2.74</v>
      </c>
      <c r="I7" s="10">
        <f>F7*G7/Auxiliary!$C$4</f>
        <v>14966.108226203189</v>
      </c>
      <c r="J7" s="10">
        <f>F7*H7/Auxiliary!$C$4</f>
        <v>1242.6405012059618</v>
      </c>
      <c r="K7" s="17"/>
      <c r="L7" s="18" t="s">
        <v>28</v>
      </c>
      <c r="M7" s="10">
        <f>58000</f>
        <v>58000</v>
      </c>
      <c r="N7" s="10">
        <f>99</f>
        <v>99</v>
      </c>
      <c r="O7">
        <f>2.73</f>
        <v>2.73</v>
      </c>
      <c r="P7" s="10">
        <f>M7*N7/Auxiliary!$C$4</f>
        <v>184609.58679706187</v>
      </c>
      <c r="Q7" s="10">
        <f>M7*O7/Auxiliary!$C$4</f>
        <v>5090.7492116765543</v>
      </c>
      <c r="S7" t="s">
        <v>30</v>
      </c>
      <c r="T7" s="10">
        <f>974000</f>
        <v>974000</v>
      </c>
      <c r="U7">
        <f>112</f>
        <v>112</v>
      </c>
      <c r="V7">
        <f>2.23</f>
        <v>2.23</v>
      </c>
      <c r="W7" s="10">
        <f>T7*U7/Auxiliary!$C$4</f>
        <v>3507260.6416784893</v>
      </c>
      <c r="X7" s="10">
        <f>T7*V7/Auxiliary!$C$4</f>
        <v>69832.064561991341</v>
      </c>
    </row>
    <row r="8" spans="1:26" x14ac:dyDescent="0.25">
      <c r="B8" t="s">
        <v>66</v>
      </c>
      <c r="C8" s="9">
        <v>0.8</v>
      </c>
      <c r="E8" t="s">
        <v>26</v>
      </c>
      <c r="F8" s="11">
        <f>394000</f>
        <v>394000</v>
      </c>
      <c r="G8" s="5">
        <f>65</f>
        <v>65</v>
      </c>
      <c r="H8" s="5">
        <f>2.08</f>
        <v>2.08</v>
      </c>
      <c r="I8" s="11">
        <f>F8*G8/Auxiliary!$C$4</f>
        <v>823380.61962256255</v>
      </c>
      <c r="J8" s="11">
        <f>F8*H8/Auxiliary!$C$4</f>
        <v>26348.179827922002</v>
      </c>
      <c r="K8" s="17"/>
      <c r="L8" s="17" t="s">
        <v>29</v>
      </c>
      <c r="M8" s="11">
        <f>759000</f>
        <v>759000</v>
      </c>
      <c r="N8" s="11">
        <f>135</f>
        <v>135</v>
      </c>
      <c r="O8" s="12">
        <f>2.03</f>
        <v>2.0299999999999998</v>
      </c>
      <c r="P8" s="11">
        <f>M8*N8/Auxiliary!$C$4</f>
        <v>3294326.2471544659</v>
      </c>
      <c r="Q8" s="11">
        <f>M8*O8/Auxiliary!$C$4</f>
        <v>49536.90579054493</v>
      </c>
    </row>
    <row r="9" spans="1:26" x14ac:dyDescent="0.25">
      <c r="B9" t="s">
        <v>67</v>
      </c>
      <c r="C9" s="9">
        <v>0</v>
      </c>
      <c r="E9" t="s">
        <v>27</v>
      </c>
      <c r="F9" s="10">
        <f>SUM(F7:F8)</f>
        <v>408106</v>
      </c>
      <c r="G9" s="13">
        <f>(G7*F7+G8*F8)/F9</f>
        <v>63.893934418998988</v>
      </c>
      <c r="H9" s="14">
        <f>(F7*H7+F8*H8)/F9</f>
        <v>2.1028126026081457</v>
      </c>
      <c r="I9" s="10">
        <f>SUM(I7:I8)</f>
        <v>838346.72784876579</v>
      </c>
      <c r="J9" s="10">
        <f>SUM(J7:J8)</f>
        <v>27590.820329127964</v>
      </c>
      <c r="L9" s="20" t="s">
        <v>27</v>
      </c>
      <c r="M9" s="10">
        <f>SUM(M7:M8)</f>
        <v>817000</v>
      </c>
      <c r="N9" s="21">
        <f>(N7*M7+N8*M8)/M9</f>
        <v>132.44430844553244</v>
      </c>
      <c r="O9" s="14">
        <f>(O7*M7+O8*M8)/M9</f>
        <v>2.07969400244798</v>
      </c>
      <c r="P9" s="10">
        <f>SUM(P7:P8)</f>
        <v>3478935.8339515277</v>
      </c>
      <c r="Q9" s="10">
        <f>SUM(Q7:Q8)</f>
        <v>54627.655002221487</v>
      </c>
    </row>
    <row r="10" spans="1:26" x14ac:dyDescent="0.25">
      <c r="B10" s="19"/>
      <c r="C10" s="17"/>
      <c r="D10" s="17"/>
    </row>
    <row r="11" spans="1:26" x14ac:dyDescent="0.25">
      <c r="B11" s="6" t="s">
        <v>7</v>
      </c>
      <c r="C11" s="6" t="s">
        <v>8</v>
      </c>
      <c r="D11" s="6"/>
      <c r="E11" s="6" t="s">
        <v>63</v>
      </c>
      <c r="F11" s="6" t="s">
        <v>10</v>
      </c>
      <c r="G11" s="6" t="s">
        <v>11</v>
      </c>
      <c r="H11" s="6" t="s">
        <v>12</v>
      </c>
      <c r="I11" s="6" t="s">
        <v>13</v>
      </c>
      <c r="J11" s="6" t="s">
        <v>55</v>
      </c>
      <c r="K11" s="6" t="s">
        <v>9</v>
      </c>
      <c r="L11" s="6" t="s">
        <v>56</v>
      </c>
      <c r="M11" s="6" t="s">
        <v>60</v>
      </c>
      <c r="N11" s="6" t="s">
        <v>61</v>
      </c>
      <c r="O11" s="6" t="s">
        <v>62</v>
      </c>
      <c r="P11" s="6" t="s">
        <v>57</v>
      </c>
      <c r="Q11" s="6" t="s">
        <v>14</v>
      </c>
      <c r="R11" s="6" t="s">
        <v>15</v>
      </c>
      <c r="S11" s="6" t="s">
        <v>16</v>
      </c>
      <c r="T11" s="6" t="s">
        <v>17</v>
      </c>
      <c r="U11" s="6" t="s">
        <v>18</v>
      </c>
      <c r="V11" s="6" t="s">
        <v>58</v>
      </c>
      <c r="W11" s="6" t="s">
        <v>59</v>
      </c>
      <c r="X11" s="6"/>
      <c r="Y11" s="6"/>
      <c r="Z11" s="6"/>
    </row>
    <row r="12" spans="1:26" x14ac:dyDescent="0.25">
      <c r="K12" s="37"/>
      <c r="L12" s="37"/>
      <c r="M12" s="37"/>
      <c r="N12" s="37"/>
      <c r="O12" s="37"/>
      <c r="P12" s="37"/>
      <c r="Q12" s="37"/>
      <c r="R12" s="37"/>
      <c r="S12" s="37"/>
      <c r="T12" s="37"/>
      <c r="U12" s="37"/>
      <c r="V12" s="37"/>
      <c r="W12" s="37"/>
    </row>
    <row r="13" spans="1:26" ht="15.75" thickBot="1" x14ac:dyDescent="0.3">
      <c r="B13" s="7" t="s">
        <v>19</v>
      </c>
      <c r="K13" s="37"/>
      <c r="L13" s="37"/>
      <c r="M13" s="37"/>
      <c r="N13" s="37"/>
      <c r="O13" s="37"/>
      <c r="P13" s="37"/>
      <c r="Q13" s="37"/>
      <c r="R13" s="37"/>
      <c r="S13" s="37"/>
      <c r="T13" s="37"/>
      <c r="U13" s="37"/>
      <c r="V13" s="37"/>
      <c r="W13" s="37"/>
    </row>
    <row r="14" spans="1:26" x14ac:dyDescent="0.25">
      <c r="B14" t="s">
        <v>53</v>
      </c>
      <c r="C14" t="s">
        <v>20</v>
      </c>
      <c r="E14">
        <v>17.239999999999998</v>
      </c>
      <c r="F14">
        <v>15.65</v>
      </c>
      <c r="G14">
        <v>16.29</v>
      </c>
      <c r="H14" s="14">
        <v>21.6</v>
      </c>
      <c r="I14">
        <v>25.22</v>
      </c>
      <c r="J14">
        <v>24.38</v>
      </c>
      <c r="K14" s="47">
        <f>AVERAGE(L14:V14)</f>
        <v>24.272727272727273</v>
      </c>
      <c r="L14" s="37">
        <f>'Central sheet '!M14</f>
        <v>22</v>
      </c>
      <c r="M14" s="37">
        <f>'Central sheet '!N14</f>
        <v>22</v>
      </c>
      <c r="N14" s="37">
        <f>'Central sheet '!O14</f>
        <v>23</v>
      </c>
      <c r="O14" s="37">
        <f>'Central sheet '!P14</f>
        <v>25</v>
      </c>
      <c r="P14" s="37">
        <f>'Central sheet '!Q14</f>
        <v>25</v>
      </c>
      <c r="Q14" s="37">
        <f>'Central sheet '!R14</f>
        <v>25</v>
      </c>
      <c r="R14" s="37">
        <f>'Central sheet '!S14</f>
        <v>25</v>
      </c>
      <c r="S14" s="37">
        <f>'Central sheet '!T14</f>
        <v>25</v>
      </c>
      <c r="T14" s="37">
        <f>'Central sheet '!U14</f>
        <v>25</v>
      </c>
      <c r="U14" s="37">
        <f>'Central sheet '!V14</f>
        <v>25</v>
      </c>
      <c r="V14" s="37">
        <f>'Central sheet '!W14</f>
        <v>25</v>
      </c>
      <c r="W14" s="37"/>
    </row>
    <row r="15" spans="1:26" x14ac:dyDescent="0.25">
      <c r="B15" t="s">
        <v>54</v>
      </c>
      <c r="C15" t="s">
        <v>20</v>
      </c>
      <c r="E15" s="10">
        <v>1285</v>
      </c>
      <c r="F15" s="10">
        <v>1267</v>
      </c>
      <c r="G15" s="10">
        <v>1422</v>
      </c>
      <c r="H15" s="10">
        <v>1846</v>
      </c>
      <c r="I15" s="10">
        <v>1790</v>
      </c>
      <c r="J15" s="10">
        <v>1970</v>
      </c>
      <c r="K15" s="49">
        <f>AVERAGE(L15:V15)</f>
        <v>1774.5454545454545</v>
      </c>
      <c r="L15" s="38">
        <f>'Central sheet '!M15</f>
        <v>1870</v>
      </c>
      <c r="M15" s="38">
        <f>'Central sheet '!N15</f>
        <v>1850</v>
      </c>
      <c r="N15" s="38">
        <f>'Central sheet '!O15</f>
        <v>1800</v>
      </c>
      <c r="O15" s="38">
        <f>'Central sheet '!P15</f>
        <v>1750</v>
      </c>
      <c r="P15" s="38">
        <f>'Central sheet '!Q15</f>
        <v>1750</v>
      </c>
      <c r="Q15" s="38">
        <f>'Central sheet '!R15</f>
        <v>1750</v>
      </c>
      <c r="R15" s="38">
        <f>'Central sheet '!S15</f>
        <v>1750</v>
      </c>
      <c r="S15" s="38">
        <f>'Central sheet '!T15</f>
        <v>1750</v>
      </c>
      <c r="T15" s="38">
        <f>'Central sheet '!U15</f>
        <v>1750</v>
      </c>
      <c r="U15" s="38">
        <f>'Central sheet '!V15</f>
        <v>1750</v>
      </c>
      <c r="V15" s="38">
        <f>'Central sheet '!W15</f>
        <v>1750</v>
      </c>
      <c r="W15" s="37"/>
    </row>
    <row r="16" spans="1:26" x14ac:dyDescent="0.25">
      <c r="K16" s="51"/>
      <c r="L16" s="37"/>
      <c r="M16" s="37"/>
      <c r="N16" s="37"/>
      <c r="O16" s="37"/>
      <c r="P16" s="37"/>
      <c r="Q16" s="37"/>
      <c r="R16" s="37"/>
      <c r="S16" s="37"/>
      <c r="T16" s="37"/>
      <c r="U16" s="37"/>
      <c r="V16" s="37"/>
      <c r="W16" s="37"/>
    </row>
    <row r="17" spans="2:23" ht="15.75" thickBot="1" x14ac:dyDescent="0.3">
      <c r="B17" s="7" t="s">
        <v>74</v>
      </c>
      <c r="K17" s="51"/>
      <c r="L17" s="37"/>
      <c r="M17" s="37"/>
      <c r="N17" s="37"/>
      <c r="O17" s="37"/>
      <c r="P17" s="37"/>
      <c r="Q17" s="37"/>
      <c r="R17" s="37"/>
      <c r="S17" s="37"/>
      <c r="T17" s="37"/>
      <c r="U17" s="37"/>
      <c r="V17" s="37"/>
      <c r="W17" s="37"/>
    </row>
    <row r="18" spans="2:23" x14ac:dyDescent="0.25">
      <c r="B18" t="s">
        <v>25</v>
      </c>
      <c r="C18" t="s">
        <v>35</v>
      </c>
      <c r="E18" s="10"/>
      <c r="F18" s="10"/>
      <c r="G18" s="10"/>
      <c r="H18" s="10"/>
      <c r="I18" s="10"/>
      <c r="J18" s="10">
        <v>119000</v>
      </c>
      <c r="K18" s="49">
        <f>F7</f>
        <v>14106</v>
      </c>
      <c r="L18" s="38">
        <f>IF(J18-J30&gt;=0,J18-J30,0)</f>
        <v>14106</v>
      </c>
      <c r="M18" s="38">
        <f>IF(L18-L29*91&gt;=0,L18-L29*91,0)</f>
        <v>0</v>
      </c>
      <c r="N18" s="38">
        <f>IF(M18-M29*92&gt;=0,M18-M29*92,0)</f>
        <v>0</v>
      </c>
      <c r="O18" s="38">
        <f>IF(N18-N29*92&gt;=0,N18-N29*92,0)</f>
        <v>0</v>
      </c>
      <c r="P18" s="38">
        <f>IF(O18-O29*90&gt;=0,O18-O29*90,0)</f>
        <v>0</v>
      </c>
      <c r="Q18" s="38">
        <f>IF(P18-P29*275&gt;=0,P18-P29*275,0)</f>
        <v>0</v>
      </c>
      <c r="R18" s="38">
        <f>IF(Q18-Q29*366&gt;=0,Q18-Q29*366,0)</f>
        <v>0</v>
      </c>
      <c r="S18" s="38">
        <f>IF(R18-R29*365&gt;=0,R18-R29*365,0)</f>
        <v>0</v>
      </c>
      <c r="T18" s="38">
        <f t="shared" ref="T18:V18" si="0">IF(S18-S29*365&gt;=0,S18-S29*365,0)</f>
        <v>0</v>
      </c>
      <c r="U18" s="38">
        <f t="shared" si="0"/>
        <v>0</v>
      </c>
      <c r="V18" s="38">
        <f t="shared" si="0"/>
        <v>0</v>
      </c>
      <c r="W18" s="38"/>
    </row>
    <row r="19" spans="2:23" x14ac:dyDescent="0.25">
      <c r="B19" t="s">
        <v>26</v>
      </c>
      <c r="C19" t="s">
        <v>35</v>
      </c>
      <c r="E19" s="10"/>
      <c r="F19" s="10"/>
      <c r="G19" s="10"/>
      <c r="H19" s="10"/>
      <c r="I19" s="10"/>
      <c r="J19" s="10">
        <f>F8</f>
        <v>394000</v>
      </c>
      <c r="K19" s="49">
        <f>F8</f>
        <v>394000</v>
      </c>
      <c r="L19" s="38">
        <f>IF(J18-J30&gt;=0,J19,IF(J19+J18-J29*90&gt;=0,J19+J18-J29*90,0))</f>
        <v>394000</v>
      </c>
      <c r="M19" s="38">
        <f>IF(L18-L29*91&gt;=0,L19,IF(L19+L18-L29*91&gt;=0,L19+L18-L29*91,0))</f>
        <v>309826</v>
      </c>
      <c r="N19" s="38">
        <f>IF(M18-M29*92&gt;=0,M19,IF(M19+M18-M29*92&gt;=0,M19+M18-M29*92,0))</f>
        <v>210466</v>
      </c>
      <c r="O19" s="38">
        <f>IF(N18-N29*92=0,N19,IF(N19+N18-N29*92&gt;=0,N19+N18-N29*92,0))</f>
        <v>111106</v>
      </c>
      <c r="P19" s="38">
        <f>IF(O18-O29*90&gt;=0,O19,IF(O19+O18-O29*90&gt;=0,O19+O18-O29*90,0))</f>
        <v>13906</v>
      </c>
      <c r="Q19" s="38">
        <f>IF(P18-P29*275&gt;=0,P19,IF(P19+P18-P29*275&gt;=0,P19+P18-P29*275,0))</f>
        <v>0</v>
      </c>
      <c r="R19" s="38">
        <f>IF(Q18-Q29*366&gt;=0,Q19,IF(Q19+Q18-Q29*366&gt;=0,Q19+Q18-Q29*366,0))</f>
        <v>0</v>
      </c>
      <c r="S19" s="38">
        <f>IF(R18-R29*365&gt;=0,R19,IF(R19+R18-R29*365&gt;=0,R19+R18-R29*365,0))</f>
        <v>0</v>
      </c>
      <c r="T19" s="38">
        <f>IF(S18-S29*365&gt;=0,S19,IF(S19+S18-S29*365&gt;=0,S19+S18-S29*365,0))</f>
        <v>0</v>
      </c>
      <c r="U19" s="38">
        <f>IF(T18-T29*365&gt;=0,T19,IF(T19+T18-T29*365&gt;=0,T19+T18-T29*365,0))</f>
        <v>0</v>
      </c>
      <c r="V19" s="38">
        <f>IF(U18-U29*365&gt;=0,U19,IF(U19+U18-U29*365&gt;=0,U19+U18-U29*365,0))</f>
        <v>0</v>
      </c>
      <c r="W19" s="38"/>
    </row>
    <row r="20" spans="2:23" x14ac:dyDescent="0.25">
      <c r="K20" s="51"/>
      <c r="L20" s="37"/>
      <c r="M20" s="38"/>
      <c r="N20" s="38"/>
      <c r="O20" s="38"/>
      <c r="P20" s="38"/>
      <c r="Q20" s="38"/>
      <c r="R20" s="38"/>
      <c r="S20" s="38"/>
      <c r="T20" s="38"/>
      <c r="U20" s="38"/>
      <c r="V20" s="38"/>
      <c r="W20" s="37"/>
    </row>
    <row r="21" spans="2:23" ht="15.75" thickBot="1" x14ac:dyDescent="0.3">
      <c r="B21" s="7" t="s">
        <v>75</v>
      </c>
      <c r="K21" s="51"/>
      <c r="L21" s="37"/>
      <c r="M21" s="38"/>
      <c r="N21" s="38"/>
      <c r="O21" s="38"/>
      <c r="P21" s="38"/>
      <c r="Q21" s="38"/>
      <c r="R21" s="38"/>
      <c r="S21" s="38"/>
      <c r="T21" s="38"/>
      <c r="U21" s="38"/>
      <c r="V21" s="38"/>
      <c r="W21" s="37"/>
    </row>
    <row r="22" spans="2:23" x14ac:dyDescent="0.25">
      <c r="B22" s="23" t="s">
        <v>28</v>
      </c>
      <c r="C22" t="s">
        <v>35</v>
      </c>
      <c r="E22" s="10"/>
      <c r="F22" s="10"/>
      <c r="G22" s="10"/>
      <c r="H22" s="10"/>
      <c r="I22" s="10"/>
      <c r="J22" s="10">
        <f>M7*C7</f>
        <v>58000</v>
      </c>
      <c r="K22" s="49">
        <f>M7</f>
        <v>58000</v>
      </c>
      <c r="L22" s="38">
        <f>J22</f>
        <v>58000</v>
      </c>
      <c r="M22" s="38">
        <f>IF(SUM(L18:L19)-L29*91&gt;=0,L22,IF(SUM(L18:L19)+L22-L29*91&gt;=0,SUM(L18:L19)+L22-L29*91,0))</f>
        <v>58000</v>
      </c>
      <c r="N22" s="38">
        <f>IF(SUM(M18:M19)-M29*92&gt;=0,M22,IF(SUM(M18:M19)+M22-M29*92&gt;=0,SUM(M18:M19)+M22-M29*92,0))</f>
        <v>58000</v>
      </c>
      <c r="O22" s="38">
        <f>IF(SUM(N18:N19)-N29*92&gt;=0,N22,IF(SUM(N18:N19)+N22-N29*92&gt;=0,SUM(N18:N19)+N22-N29*92,0))</f>
        <v>58000</v>
      </c>
      <c r="P22" s="38">
        <f>IF(SUM(O18:O19)-O29*90&gt;=0,O22,IF(SUM(O18:O19)+O22-O29*90&gt;=0,SUM(O18:O19)+O22-O29*90,0))</f>
        <v>58000</v>
      </c>
      <c r="Q22" s="38">
        <f>IF(SUM(P18:P19)-P29*275&gt;=0,P22,IF(SUM(P18:P19)+P22-P29*275&gt;=0,SUM(P18:P19)+P22-P29*275,0))</f>
        <v>0</v>
      </c>
      <c r="R22" s="38">
        <f>IF(SUM(Q18:Q19)-Q29*366&gt;=0,Q22,IF(SUM(Q18:Q19)+Q22-Q29*366&gt;=0,SUM(Q18:Q19)+Q22-Q29*366,0))</f>
        <v>0</v>
      </c>
      <c r="S22" s="38">
        <f>IF(SUM(R18:R19)-R29*365&gt;=0,R22,IF(SUM(R18:R19)+R22-R29*365&gt;=0,SUM(R18:R19)+R22-R29*365,0))</f>
        <v>0</v>
      </c>
      <c r="T22" s="38">
        <f>IF(SUM(S18:S19)-S29*365&gt;=0,S22,IF(SUM(S18:S19)+S22-S29*365&gt;=0,SUM(S18:S19)+S22-S29*365,0))</f>
        <v>0</v>
      </c>
      <c r="U22" s="38">
        <f>IF(SUM(T18:T19)-T29*365&gt;=0,T22,IF(SUM(T18:T19)+T22-T29*365&gt;=0,SUM(T18:T19)+T22-T29*365,0))</f>
        <v>0</v>
      </c>
      <c r="V22" s="38">
        <f>IF(SUM(U18:U19)-U29*365&gt;=0,U22,IF(SUM(U18:U19)+U22-U29*365&gt;=0,SUM(U18:U19)+U22-U29*365,0))</f>
        <v>0</v>
      </c>
      <c r="W22" s="38"/>
    </row>
    <row r="23" spans="2:23" x14ac:dyDescent="0.25">
      <c r="B23" s="24" t="s">
        <v>29</v>
      </c>
      <c r="C23" t="s">
        <v>35</v>
      </c>
      <c r="E23" s="10"/>
      <c r="F23" s="10"/>
      <c r="G23" s="10"/>
      <c r="H23" s="10"/>
      <c r="I23" s="10"/>
      <c r="J23" s="10">
        <f>M8*C8</f>
        <v>607200</v>
      </c>
      <c r="K23" s="49">
        <f>M8</f>
        <v>759000</v>
      </c>
      <c r="L23" s="38">
        <f>J23</f>
        <v>607200</v>
      </c>
      <c r="M23" s="39">
        <f>IF(SUM(L18:L19)+L22-L29*91&gt;=0,L23,IF(SUM(L18:L19)+SUM(L22:L23)-L29*91&gt;=0,SUM(L18:L19)+SUM(L22:L23)-L29*91,0))</f>
        <v>607200</v>
      </c>
      <c r="N23" s="39">
        <f>IF(SUM(M18:M19)+M22-M29*92&gt;=0,M23,IF(SUM(M18:M19)+SUM(M22:M23)-M29*92&gt;=0,SUM(M18:M19)+SUM(M22:M23)-M29*92,0))</f>
        <v>607200</v>
      </c>
      <c r="O23" s="39">
        <f>IF(SUM(N18:N19)+N22-N29*92&gt;=0,N23,IF(SUM(N18:N19)+SUM(N22:N23)-N29*92&gt;=0,SUM(N18:N19)+SUM(N22:N23)-N29*92,0))</f>
        <v>607200</v>
      </c>
      <c r="P23" s="39">
        <f>IF(SUM(O18:O19)+O22-O29*90&gt;=0,O23,IF(SUM(O18:O19)+SUM(O22:O23)-O29*90&gt;=0,SUM(O18:O19)+SUM(O22:O23)-O29*90,0))</f>
        <v>607200</v>
      </c>
      <c r="Q23" s="39">
        <f>IF(SUM(P18:P19)+P22-P29*275&gt;=0,P23,IF(SUM(P18:P19)+SUM(P22:P23)-P29*275&gt;=0,SUM(P18:P19)+SUM(P22:P23)-P29*275,0))</f>
        <v>382106</v>
      </c>
      <c r="R23" s="39">
        <f>IF(SUM(Q18:Q19)+Q22-Q29*366&gt;=0,Q23,IF(SUM(Q18:Q19)+SUM(Q22:Q23)-Q29*366&gt;=0,SUM(Q18:Q19)+SUM(Q22:Q23)-Q29*366,0))</f>
        <v>0</v>
      </c>
      <c r="S23" s="39">
        <f>IF(SUM(R18:R19)+R22-R29*365&gt;=0,R23,IF(SUM(R18:R19)+SUM(R22:R23)-R29*365&gt;=0,SUM(R18:R19)+SUM(R22:R23)-R29*365,0))</f>
        <v>0</v>
      </c>
      <c r="T23" s="39">
        <f>IF(SUM(S18:S19)+S22-S29*365&gt;=0,S23,IF(SUM(S18:S19)+SUM(S22:S23)-S29*365&gt;=0,SUM(S18:S19)+SUM(S22:S23)-S29*365,0))</f>
        <v>0</v>
      </c>
      <c r="U23" s="39">
        <f>IF(SUM(T18:T19)+T22-T29*365&gt;=0,T23,IF(SUM(T18:T19)+SUM(T22:T23)-T29*365&gt;=0,SUM(T18:T19)+SUM(T22:T23)-T29*365,0))</f>
        <v>0</v>
      </c>
      <c r="V23" s="39">
        <f>IF(SUM(U18:U19)+U22-U29*365&gt;=0,U23,IF(SUM(U18:U19)+SUM(U22:U23)-U29*365&gt;=0,SUM(U18:U19)+SUM(U22:U23)-U29*365,0))</f>
        <v>0</v>
      </c>
      <c r="W23" s="38"/>
    </row>
    <row r="24" spans="2:23" x14ac:dyDescent="0.25">
      <c r="B24" s="24"/>
      <c r="K24" s="51"/>
      <c r="L24" s="37"/>
      <c r="M24" s="40"/>
      <c r="N24" s="40"/>
      <c r="O24" s="40"/>
      <c r="P24" s="40"/>
      <c r="Q24" s="40"/>
      <c r="R24" s="37"/>
      <c r="S24" s="37"/>
      <c r="T24" s="37"/>
      <c r="U24" s="37"/>
      <c r="V24" s="37"/>
      <c r="W24" s="37"/>
    </row>
    <row r="25" spans="2:23" ht="15.75" thickBot="1" x14ac:dyDescent="0.3">
      <c r="B25" s="7" t="s">
        <v>76</v>
      </c>
      <c r="G25" s="10"/>
      <c r="K25" s="51"/>
      <c r="L25" s="37"/>
      <c r="M25" s="40"/>
      <c r="N25" s="40"/>
      <c r="O25" s="40"/>
      <c r="P25" s="40"/>
      <c r="Q25" s="40"/>
      <c r="R25" s="37"/>
      <c r="S25" s="37"/>
      <c r="T25" s="37"/>
      <c r="U25" s="37"/>
      <c r="V25" s="37"/>
      <c r="W25" s="37"/>
    </row>
    <row r="26" spans="2:23" x14ac:dyDescent="0.25">
      <c r="B26" s="24" t="s">
        <v>77</v>
      </c>
      <c r="C26" t="s">
        <v>35</v>
      </c>
      <c r="H26" s="15"/>
      <c r="I26" s="15">
        <f>AVERAGE(E40:J40)</f>
        <v>0.86900000000000011</v>
      </c>
      <c r="J26" s="10">
        <f>T7*C9</f>
        <v>0</v>
      </c>
      <c r="K26" s="49">
        <f>T7</f>
        <v>974000</v>
      </c>
      <c r="L26" s="38">
        <f>J26</f>
        <v>0</v>
      </c>
      <c r="M26" s="39">
        <f>IF(SUM(L18:L19)+SUM(L22:L23)-L29*91&gt;=0,L26,IF(SUM(L18:L19)+SUM(L22:L23)+L26-L29*91&gt;=0,SUM(L18:L19)+SUM(L22:L23)+L26-L29*91,0))</f>
        <v>0</v>
      </c>
      <c r="N26" s="39">
        <f>IF(SUM(M18:M19)+SUM(M22:M23)-M29*92&gt;=0,M26,IF(SUM(M18:M19)+SUM(M22:M23)+M26-M29*92&gt;=0,SUM(M18:M19)+SUM(M22:M23)+M26-M29*92,0))</f>
        <v>0</v>
      </c>
      <c r="O26" s="39">
        <f>IF(SUM(N18:N19)+SUM(N22:N23)-N29*92&gt;=0,N26,IF(SUM(N18:N19)+SUM(N22:N23)+N26-N29*92&gt;=0,SUM(N18:N19)+SUM(N22:N23)+N26-N29*92,0))</f>
        <v>0</v>
      </c>
      <c r="P26" s="39">
        <f>IF(SUM(O18:O19)+SUM(O22:O23)-O29*90&gt;=0,O26,IF(SUM(O18:O19)+SUM(O22:O23)+O26-O29*90&gt;=0,SUM(O18:O19)+SUM(O22:O23)+O26-O29*90,0))</f>
        <v>0</v>
      </c>
      <c r="Q26" s="39">
        <f>IF(SUM(P18:P19)+SUM(P22:P23)-P29*275&gt;=0,P26,IF(SUM(P18:P19)+SUM(P22:P23)+P26-P29*275&gt;=0,SUM(P18:P19)+SUM(P22:P23)+P26-P29*275,0))</f>
        <v>0</v>
      </c>
      <c r="R26" s="39">
        <f>IF(SUM(Q18:Q19)+SUM(Q22:Q23)-Q29*366&gt;=0,Q26,IF(SUM(Q18:Q19)+SUM(Q22:Q23)+Q26-Q29*366&gt;=0,SUM(Q18:Q19)+SUM(Q22:Q23)+Q26-Q29*366,0))</f>
        <v>0</v>
      </c>
      <c r="S26" s="39">
        <f>IF(SUM(R18:R19)+SUM(R22:R23)-R29*365&gt;=0,R26,IF(SUM(R18:R19)+SUM(R22:R23)+R26-R29*365&gt;=0,SUM(R18:R19)+SUM(R22:R23)+R26-R29*365,0))</f>
        <v>0</v>
      </c>
      <c r="T26" s="39">
        <f>IF(SUM(S18:S19)+SUM(S22:S23)-S29*365&gt;=0,S26,IF(SUM(S18:S19)+SUM(S22:S23)+S26-S29*365&gt;=0,SUM(S18:S19)+SUM(S22:S23)+S26-S29*365,0))</f>
        <v>0</v>
      </c>
      <c r="U26" s="39">
        <f>IF(SUM(T18:T19)+SUM(T22:T23)-T29*365&gt;=0,T26,IF(SUM(T18:T19)+SUM(T22:T23)+T26-T29*365&gt;=0,SUM(T18:T19)+SUM(T22:T23)+T26-T29*365,0))</f>
        <v>0</v>
      </c>
      <c r="V26" s="39">
        <f>IF(SUM(U18:U19)+SUM(U22:U23)-U29*365&gt;=0,U26,IF(SUM(U18:U19)+SUM(U22:U23)+U26-U29*365&gt;=0,SUM(U18:U19)+SUM(U22:U23)+U26-U29*365,0))</f>
        <v>0</v>
      </c>
      <c r="W26" s="37"/>
    </row>
    <row r="27" spans="2:23" x14ac:dyDescent="0.25">
      <c r="B27" s="24"/>
      <c r="K27" s="51"/>
      <c r="L27" s="37"/>
      <c r="M27" s="37"/>
      <c r="N27" s="37"/>
      <c r="O27" s="37"/>
      <c r="P27" s="37"/>
      <c r="Q27" s="37"/>
      <c r="R27" s="37"/>
      <c r="S27" s="37"/>
      <c r="T27" s="37"/>
      <c r="U27" s="37"/>
      <c r="V27" s="37"/>
      <c r="W27" s="37"/>
    </row>
    <row r="28" spans="2:23" ht="15.75" thickBot="1" x14ac:dyDescent="0.3">
      <c r="B28" s="7" t="s">
        <v>31</v>
      </c>
      <c r="K28" s="51"/>
      <c r="L28" s="37"/>
      <c r="M28" s="37"/>
      <c r="N28" s="37"/>
      <c r="O28" s="37"/>
      <c r="P28" s="37"/>
      <c r="Q28" s="37"/>
      <c r="R28" s="37"/>
      <c r="S28" s="37"/>
      <c r="T28" s="37"/>
      <c r="U28" s="37"/>
      <c r="V28" s="37"/>
      <c r="W28" s="37"/>
    </row>
    <row r="29" spans="2:23" x14ac:dyDescent="0.25">
      <c r="B29" t="s">
        <v>32</v>
      </c>
      <c r="C29" t="s">
        <v>33</v>
      </c>
      <c r="E29" s="10">
        <f>1224</f>
        <v>1224</v>
      </c>
      <c r="F29" s="10">
        <f>1203</f>
        <v>1203</v>
      </c>
      <c r="G29" s="10">
        <f>G30/365</f>
        <v>867.69315068493154</v>
      </c>
      <c r="H29" s="10">
        <f>H30/366</f>
        <v>904.84699453551912</v>
      </c>
      <c r="I29" s="10">
        <f>I30/365</f>
        <v>1146.6136986301369</v>
      </c>
      <c r="J29" s="10">
        <f>J30/90</f>
        <v>1165.4888888888888</v>
      </c>
      <c r="K29" s="49">
        <f>AVERAGE(L29:V29)</f>
        <v>1080</v>
      </c>
      <c r="L29" s="38">
        <v>1080</v>
      </c>
      <c r="M29" s="38">
        <v>1080</v>
      </c>
      <c r="N29" s="38">
        <v>1080</v>
      </c>
      <c r="O29" s="38">
        <v>1080</v>
      </c>
      <c r="P29" s="38">
        <f>1080</f>
        <v>1080</v>
      </c>
      <c r="Q29" s="38">
        <f>P29</f>
        <v>1080</v>
      </c>
      <c r="R29" s="38">
        <f t="shared" ref="R29:V29" si="1">Q29</f>
        <v>1080</v>
      </c>
      <c r="S29" s="38">
        <f t="shared" si="1"/>
        <v>1080</v>
      </c>
      <c r="T29" s="38">
        <f t="shared" si="1"/>
        <v>1080</v>
      </c>
      <c r="U29" s="38">
        <f t="shared" si="1"/>
        <v>1080</v>
      </c>
      <c r="V29" s="38">
        <f t="shared" si="1"/>
        <v>1080</v>
      </c>
      <c r="W29" s="38"/>
    </row>
    <row r="30" spans="2:23" x14ac:dyDescent="0.25">
      <c r="B30" t="s">
        <v>34</v>
      </c>
      <c r="C30" t="s">
        <v>35</v>
      </c>
      <c r="E30" s="10">
        <v>446924</v>
      </c>
      <c r="F30" s="10">
        <v>439005</v>
      </c>
      <c r="G30" s="10">
        <v>316708</v>
      </c>
      <c r="H30" s="10">
        <v>331174</v>
      </c>
      <c r="I30" s="10">
        <v>418514</v>
      </c>
      <c r="J30" s="10">
        <v>104894</v>
      </c>
      <c r="K30" s="49">
        <f>SUM(L30:V30)</f>
        <v>1073306</v>
      </c>
      <c r="L30" s="38">
        <f>L29*91</f>
        <v>98280</v>
      </c>
      <c r="M30" s="38">
        <f>M29*92</f>
        <v>99360</v>
      </c>
      <c r="N30" s="38">
        <f>N29*92</f>
        <v>99360</v>
      </c>
      <c r="O30" s="38">
        <f>O29*90</f>
        <v>97200</v>
      </c>
      <c r="P30" s="38">
        <f>IF(P29*275&gt;=P26+SUM(P22:P23)+SUM(P18:P19),P26+SUM(P22:P23)+SUM(P18:P19),P29*275)</f>
        <v>297000</v>
      </c>
      <c r="Q30" s="38">
        <f>IF(Q29*366&gt;=Q26+SUM(Q22:Q23)+SUM(Q18:Q19),Q26+SUM(Q22:Q23)+SUM(Q18:Q19),Q29*366)</f>
        <v>382106</v>
      </c>
      <c r="R30" s="38">
        <f>IF(R29*365&gt;=R26+SUM(R22:R23)+SUM(R18:R19),R26+SUM(R22:R23)+SUM(R18:R19),R29*365)</f>
        <v>0</v>
      </c>
      <c r="S30" s="38">
        <f t="shared" ref="S30:T30" si="2">IF(S29*365&gt;=S26+SUM(S22:S23)+SUM(S18:S19),S26+SUM(S22:S23)+SUM(S18:S19),S29*365)</f>
        <v>0</v>
      </c>
      <c r="T30" s="38">
        <f t="shared" si="2"/>
        <v>0</v>
      </c>
      <c r="U30" s="38">
        <f>IF(U29*366&gt;=U26+SUM(U22:U23)+SUM(U18:U19),U26+SUM(U22:U23)+SUM(U18:U19),U29*366)</f>
        <v>0</v>
      </c>
      <c r="V30" s="38">
        <f>IF(V29*366&gt;=V26+SUM(V22:V23)+SUM(V18:V19),V26+SUM(V22:V23)+SUM(V18:V19),V29*366)</f>
        <v>0</v>
      </c>
      <c r="W30" s="38"/>
    </row>
    <row r="31" spans="2:23" x14ac:dyDescent="0.25">
      <c r="B31" t="s">
        <v>36</v>
      </c>
      <c r="C31" t="s">
        <v>37</v>
      </c>
      <c r="E31">
        <v>80</v>
      </c>
      <c r="F31">
        <v>86</v>
      </c>
      <c r="G31">
        <v>73</v>
      </c>
      <c r="H31">
        <v>40</v>
      </c>
      <c r="I31">
        <v>42</v>
      </c>
      <c r="J31">
        <v>61</v>
      </c>
      <c r="K31" s="48">
        <f>AVERAGEIF(L31:V31,"&gt;0")</f>
        <v>78.115364758698092</v>
      </c>
      <c r="L31" s="37">
        <v>48</v>
      </c>
      <c r="M31" s="37">
        <v>48</v>
      </c>
      <c r="N31" s="37">
        <v>48</v>
      </c>
      <c r="O31" s="37">
        <f>IF(O19&gt;=O29*90,G8,IF(O19&lt;O29*90,(O19*G8+(O29*90-O19)*N7)/(O29*90)))</f>
        <v>65</v>
      </c>
      <c r="P31" s="42">
        <f>IF(P18&gt;=P29*275,$G$7,IF(AND(P18=0,P19&gt;=P29*275),$G$8,IF(AND(P18+P19=0,P22&gt;=P29*275),$N$7,IF(AND(SUM(P18:P19)+P22=0,P23&gt;=P29*275),$N$8,IF(AND(SUM(P18:P19)+SUM(P22:P23)=0,P26&gt;=P29*275),$U$7,IF(SUM(P18:P19)+SUM(P22:P23)+P26=0,0,IF(AND(P29*275&gt;SUM(P18:P19),SUM(P18:P19)+P22&gt;=P29*275),(P18*$G$7+P19*$G$8+(P22-Q22)*$N$7)/(P29*275),IF(AND(P29*275&gt;P19+P22,P19+SUM(P22:P23)&gt;=P29*275),(P19*$G$8+P22*$N$7+(P23-Q23)*$N$8)/(P29*275),IF(AND(P29*275&gt;SUM(P22:P23),SUM(P22:P23)+P26&gt;=P29*275),(P22*$N$7+P23*$N$8+(P26-Q26)*$U$7)/(P29*275),IF(AND(P29*275&gt;P18,P18+P19&gt;=P29*275),(P18*$G$7+(P19-Q19)*$G$8)/(P29*275),IF(AND(P29*275&gt;P19,P19+P22&gt;=P29*275),(P19*$G$8+(P22-Q22)*$N$7)/(P29*275),IF(AND(P29*275&gt;P22,SUM(P22:P23)&gt;=P29*275),(P22*$N$7+(P23-Q23)*$N$8)/(P29*275),IF(AND(P29*275&gt;P23,P23+P26&gt;=P29*275),(P23*$N$8+(P26-Q26)*$U$7)/(P29*275),IF(AND(P18&gt;0,P19&gt;0,P29*275&gt;SUM(P18:P19)),(P18*$G$7+P19*$G$8)/SUM(P18:P19),IF(AND(P19&gt;0,P22&gt;0,P29*275&gt;SUM(P19:P22)),(P19*$G$8+P22*$N$7)/SUM(P19:P22),IF(AND(P22&gt;0,P23&gt;0,P29*275&gt;SUM(P22:P23)),(P22*$N$7+P23*$N$8)/SUM(P22:P23),IF(AND(P23&gt;0,P26&gt;0,P29*275&gt;SUM(P23:P26)),(P23*$N$8+P26*$U$7)/SUM(P23:P26),IF(AND(P19&gt;0,P29*275&gt;P19),$G$8,IF(AND(P22&gt;0,P29*275&gt;P22),$N$7,IF(AND(P23&gt;0,P29*275&gt;P23),$N$8,IF(AND(P26&gt;0,P29*275&gt;P26),$U$7)))))))))))))))))))))</f>
        <v>124.69218855218855</v>
      </c>
      <c r="Q31" s="42">
        <f>IF(Q18&gt;=Q29*366,$G$7,IF(AND(Q18=0,Q19&gt;=Q29*366),$G$8,IF(AND(Q18+Q19=0,Q22&gt;=Q29*366),$N$7,IF(AND(SUM(Q18:Q19)+Q22=0,Q23&gt;=Q29*366),$N$8,IF(AND(SUM(Q18:Q19)+SUM(Q22:Q23)=0,Q26&gt;=Q29*366),$U$7,IF(SUM(Q18:Q19)+SUM(Q22:Q23)+Q26=0,0,IF(AND(Q29*366&gt;SUM(Q18:Q19),SUM(Q18:Q19)+Q22&gt;=Q29*366),(Q18*$G$7+Q19*$G$8+(Q22-R22)*$N$7)/(Q29*366),IF(AND(Q29*366&gt;Q19+Q22,Q19+SUM(Q22:Q23)&gt;=Q29*366),(Q19*$G$8+Q22*$N$7+(Q23-R23)*$N$8)/(Q29*366),IF(AND(Q29*366&gt;SUM(Q22:Q23),SUM(Q22:Q23)+Q26&gt;=Q29*366),(Q22*$N$7+Q23*$N$8+(Q26-R26)*$U$7)/(Q29*366),IF(AND(Q29*366&gt;Q18,Q18+Q19&gt;=Q29*366),(Q18*$G$7+(Q19-R19)*$G$8)/(Q29*366),IF(AND(Q29*366&gt;Q19,Q19+Q22&gt;=Q29*366),(Q19*$G$8+(Q22-R22)*$N$7)/(Q29*366),IF(AND(Q29*366&gt;Q22,SUM(Q22:Q23)&gt;=Q29*366),(Q22*$N$7+(Q23-R23)*$N$8)/(Q29*366),IF(AND(Q29*366&gt;Q23,Q23+Q26&gt;=Q29*366),(Q23*$N$8+(Q26-R26)*$U$7)/(Q29*366),IF(AND(Q18&gt;0,Q19&gt;0,Q29*366&gt;SUM(Q18:Q19)),(Q18*$G$7+Q19*$G$8)/SUM(Q18:Q19),IF(AND(Q19&gt;0,Q22&gt;0,Q29*366&gt;SUM(Q19:Q22)),(Q19*$G$8+Q22*$N$7)/SUM(Q19:Q22),IF(AND(Q22&gt;0,Q23&gt;0,Q29*366&gt;SUM(Q22:Q23)),(Q22*$N$7+Q23*$N$8)/SUM(Q22:Q23),IF(AND(Q23&gt;0,Q26&gt;0,Q29*366&gt;SUM(Q23:Q26)),(Q23*$N$8+Q26*$U$7)/SUM(Q23:Q26),IF(AND(Q19&gt;0,Q29*366&gt;Q19),$G$8,IF(AND(Q22&gt;0,Q29*366&gt;Q22),$N$7,IF(AND(Q23&gt;0,Q29*366&gt;Q23),$N$8,IF(AND(Q26&gt;0,Q29*366&gt;Q26),$U$7)))))))))))))))))))))</f>
        <v>135</v>
      </c>
      <c r="R31" s="42">
        <f>IF(R18&gt;=R29*365,$G$7,IF(AND(R18=0,R19&gt;=R29*365),$G$8,IF(AND(R18+R19=0,R22&gt;=R29*365),$N$7,IF(AND(SUM(R18:R19)+R22=0,R23&gt;=R29*365),$N$8,IF(AND(SUM(R18:R19)+SUM(R22:R23)=0,R26&gt;=R29*365),$U$7,IF(SUM(R18:R19)+SUM(R22:R23)+R26=0,0,IF(AND(R29*365&gt;SUM(R18:R19),SUM(R18:R19)+R22&gt;=R29*365),(R18*$G$7+R19*$G$8+(R22-S22)*$N$7)/(R29*365),IF(AND(R29*365&gt;R19+R22,R19+SUM(R22:R23)&gt;=R29*365),(R19*$G$8+R22*$N$7+(R23-S23)*$N$8)/(R29*365),IF(AND(R29*365&gt;SUM(R22:R23),SUM(R22:R23)+R26&gt;=R29*365),(R22*$N$7+R23*$N$8+(R26-S26)*$U$7)/(R29*365),IF(AND(R29*365&gt;R18,R18+R19&gt;=R29*365),(R18*$G$7+(R19-S19)*$G$8)/(R29*365),IF(AND(R29*365&gt;R19,R19+R22&gt;=R29*365),(R19*$G$8+(R22-S22)*$N$7)/(R29*365),IF(AND(R29*365&gt;R22,SUM(R22:R23)&gt;=R29*365),(R22*$N$7+(R23-S23)*$N$8)/(R29*365),IF(AND(R29*365&gt;R23,R23+R26&gt;=R29*365),(R23*$N$8+(R26-S26)*$U$7)/(R29*365),IF(AND(R18&gt;0,R19&gt;0,R29*365&gt;SUM(R18:R19)),(R18*$G$7+R19*$G$8)/SUM(R18:R19),IF(AND(R19&gt;0,R22&gt;0,R29*365&gt;SUM(R19:R22)),(R19*$G$8+R22*$N$7)/SUM(R19:R22),IF(AND(R22&gt;0,R23&gt;0,R29*365&gt;SUM(R22:R23)),(R22*$N$7+R23*$N$8)/SUM(R22:R23),IF(AND(R23&gt;0,R26&gt;0,R29*365&gt;SUM(R23:R26)),(R23*$N$8+R26*$U$7)/SUM(R23:R26),IF(AND(R19&gt;0,R29*365&gt;R19),$G$8,IF(AND(R22&gt;0,R29*365&gt;R22),$N$7,IF(AND(R23&gt;0,R29*365&gt;R23),$N$8,IF(AND(R26&gt;0,R29*365&gt;R26),$U$7)))))))))))))))))))))</f>
        <v>0</v>
      </c>
      <c r="S31" s="42">
        <f>IF(S18&gt;=S29*365,$G$7,IF(AND(S18=0,S19&gt;=S29*365),$G$8,IF(AND(S18+S19=0,S22&gt;=S29*365),$N$7,IF(AND(SUM(S18:S19)+S22=0,S23&gt;=S29*365),$N$8,IF(AND(SUM(S18:S19)+SUM(S22:S23)=0,S26&gt;=S29*365),$U$7,IF(SUM(S18:S19)+SUM(S22:S23)+S26=0,0,IF(AND(S29*365&gt;SUM(S18:S19),SUM(S18:S19)+S22&gt;=S29*365),(S18*$G$7+S19*$G$8+(S22-T22)*$N$7)/(S29*365),IF(AND(S29*365&gt;S19+S22,S19+SUM(S22:S23)&gt;=S29*365),(S19*$G$8+S22*$N$7+(S23-T23)*$N$8)/(S29*365),IF(AND(S29*365&gt;SUM(S22:S23),SUM(S22:S23)+S26&gt;=S29*365),(S22*$N$7+S23*$N$8+(S26-T26)*$U$7)/(S29*365),IF(AND(S29*365&gt;S18,S18+S19&gt;=S29*365),(S18*$G$7+(S19-T19)*$G$8)/(S29*365),IF(AND(S29*365&gt;S19,S19+S22&gt;=S29*365),(S19*$G$8+(S22-T22)*$N$7)/(S29*365),IF(AND(S29*365&gt;S22,SUM(S22:S23)&gt;=S29*365),(S22*$N$7+(S23-T23)*$N$8)/(S29*365),IF(AND(S29*365&gt;S23,S23+S26&gt;=S29*365),(S23*$N$8+(S26-T26)*$U$7)/(S29*365),IF(AND(S18&gt;0,S19&gt;0,S29*365&gt;SUM(S18:S19)),(S18*$G$7+S19*$G$8)/SUM(S18:S19),IF(AND(S19&gt;0,S22&gt;0,S29*365&gt;SUM(S19:S22)),(S19*$G$8+S22*$N$7)/SUM(S19:S22),IF(AND(S22&gt;0,S23&gt;0,S29*365&gt;SUM(S22:S23)),(S22*$N$7+S23*$N$8)/SUM(S22:S23),IF(AND(S23&gt;0,S26&gt;0,S29*365&gt;SUM(S23:S26)),(S23*$N$8+S26*$U$7)/SUM(S23:S26),IF(AND(S19&gt;0,S29*365&gt;S19),$G$8,IF(AND(S22&gt;0,S29*365&gt;S22),$N$7,IF(AND(S23&gt;0,S29*365&gt;S23),$N$8,IF(AND(S26&gt;0,S29*365&gt;S26),$U$7)))))))))))))))))))))</f>
        <v>0</v>
      </c>
      <c r="T31" s="42">
        <f>IF(T18&gt;=T29*365,$G$7,IF(AND(T18=0,T19&gt;=T29*365),$G$8,IF(AND(T18+T19=0,T22&gt;=T29*365),$N$7,IF(AND(SUM(T18:T19)+T22=0,T23&gt;=T29*365),$N$8,IF(AND(SUM(T18:T19)+SUM(T22:T23)=0,T26&gt;=T29*365),$U$7,IF(SUM(T18:T19)+SUM(T22:T23)+T26=0,0,IF(AND(T29*365&gt;SUM(T18:T19),SUM(T18:T19)+T22&gt;=T29*365),(T18*$G$7+T19*$G$8+(T22-U22)*$N$7)/(T29*365),IF(AND(T29*365&gt;T19+T22,T19+SUM(T22:T23)&gt;=T29*365),(T19*$G$8+T22*$N$7+(T23-U23)*$N$8)/(T29*365),IF(AND(T29*365&gt;SUM(T22:T23),SUM(T22:T23)+T26&gt;=T29*365),(T22*$N$7+T23*$N$8+(T26-U26)*$U$7)/(T29*365),IF(AND(T29*365&gt;T18,T18+T19&gt;=T29*365),(T18*$G$7+(T19-U19)*$G$8)/(T29*365),IF(AND(T29*365&gt;T19,T19+T22&gt;=T29*365),(T19*$G$8+(T22-U22)*$N$7)/(T29*365),IF(AND(T29*365&gt;T22,SUM(T22:T23)&gt;=T29*365),(T22*$N$7+(T23-U23)*$N$8)/(T29*365),IF(AND(T29*365&gt;T23,T23+T26&gt;=T29*365),(T23*$N$8+(T26-U26)*$U$7)/(T29*365),IF(AND(T18&gt;0,T19&gt;0,T29*365&gt;SUM(T18:T19)),(T18*$G$7+T19*$G$8)/SUM(T18:T19),IF(AND(T19&gt;0,T22&gt;0,T29*365&gt;SUM(T19:T22)),(T19*$G$8+T22*$N$7)/SUM(T19:T22),IF(AND(T22&gt;0,T23&gt;0,T29*365&gt;SUM(T22:T23)),(T22*$N$7+T23*$N$8)/SUM(T22:T23),IF(AND(T23&gt;0,T26&gt;0,T29*365&gt;SUM(T23:T26)),(T23*$N$8+T26*$U$7)/SUM(T23:T26),IF(AND(T19&gt;0,T29*365&gt;T19),$G$8,IF(AND(T22&gt;0,T29*365&gt;T22),$N$7,IF(AND(T23&gt;0,T29*365&gt;T23),$N$8,IF(AND(T26&gt;0,T29*365&gt;T26),$U$7)))))))))))))))))))))</f>
        <v>0</v>
      </c>
      <c r="U31" s="42">
        <f>IF(U18&gt;=U29*366,$G$7,IF(AND(U18=0,U19&gt;=U29*366),$G$8,IF(AND(U18+U19=0,U22&gt;=U29*366),$N$7,IF(AND(SUM(U18:U19)+U22=0,U23&gt;=U29*366),$N$8,IF(AND(SUM(U18:U19)+SUM(U22:U23)=0,U26&gt;=U29*366),$U$7,IF(SUM(U18:U19)+SUM(U22:U23)+U26=0,0,IF(AND(U29*366&gt;SUM(U18:U19),SUM(U18:U19)+U22&gt;=U29*366),(U18*$G$7+U19*$G$8+(U22-V22)*$N$7)/(U29*366),IF(AND(U29*366&gt;U19+U22,U19+SUM(U22:U23)&gt;=U29*366),(U19*$G$8+U22*$N$7+(U23-V23)*$N$8)/(U29*366),IF(AND(U29*366&gt;SUM(U22:U23),SUM(U22:U23)+U26&gt;=U29*366),(U22*$N$7+U23*$N$8+(U26-V26)*$U$7)/(U29*366),IF(AND(U29*366&gt;U18,U18+U19&gt;=U29*366),(U18*$G$7+(U19-V19)*$G$8)/(U29*366),IF(AND(U29*366&gt;U19,U19+U22&gt;=U29*366),(U19*$G$8+(U22-V22)*$N$7)/(U29*366),IF(AND(U29*366&gt;U22,SUM(U22:U23)&gt;=U29*366),(U22*$N$7+(U23-V23)*$N$8)/(U29*366),IF(AND(U29*366&gt;U23,U23+U26&gt;=U29*366),(U23*$N$8+(U26-V26)*$U$7)/(U29*366),IF(AND(U18&gt;0,U19&gt;0,U29*366&gt;SUM(U18:U19)),(U18*$G$7+U19*$G$8)/SUM(U18:U19),IF(AND(U19&gt;0,U22&gt;0,U29*366&gt;SUM(U19:U22)),(U19*$G$8+U22*$N$7)/SUM(U19:U22),IF(AND(U22&gt;0,U23&gt;0,U29*366&gt;SUM(U22:U23)),(U22*$N$7+U23*$N$8)/SUM(U22:U23),IF(AND(U23&gt;0,U26&gt;0,U29*366&gt;SUM(U23:U26)),(U23*$N$8+U26*$U$7)/SUM(U23:U26),IF(AND(U19&gt;0,U29*366&gt;U19),$G$8,IF(AND(U22&gt;0,U29*366&gt;U22),$N$7,IF(AND(U23&gt;0,U29*366&gt;U23),$N$8,IF(AND(U26&gt;0,U29*366&gt;U26),$U$7)))))))))))))))))))))</f>
        <v>0</v>
      </c>
      <c r="V31" s="42">
        <f>IF(V18&gt;=V29*366,$G$7,IF(AND(V18=0,V19&gt;=V29*366),$G$8,IF(AND(V18+V19=0,V22&gt;=V29*366),$N$7,IF(AND(SUM(V18:V19)+V22=0,V23&gt;=V29*366),$N$8,IF(AND(SUM(V18:V19)+SUM(V22:V23)=0,V26&gt;=V29*366),$U$7,IF(SUM(V18:V19)+SUM(V22:V23)+V26=0,0,IF(AND(V29*366&gt;SUM(V18:V19),SUM(V18:V19)+V22&gt;=V29*366),(V18*$G$7+V19*$G$8+(V22-W22)*$N$7)/(V29*366),IF(AND(V29*366&gt;V19+V22,V19+SUM(V22:V23)&gt;=V29*366),(V19*$G$8+V22*$N$7+(V23-W23)*$N$8)/(V29*366),IF(AND(V29*366&gt;SUM(V22:V23),SUM(V22:V23)+V26&gt;=V29*366),(V22*$N$7+V23*$N$8+(V26-W26)*$U$7)/(V29*366),IF(AND(V29*366&gt;V18,V18+V19&gt;=V29*366),(V18*$G$7+(V19-W19)*$G$8)/(V29*366),IF(AND(V29*366&gt;V19,V19+V22&gt;=V29*366),(V19*$G$8+(V22-W22)*$N$7)/(V29*366),IF(AND(V29*366&gt;V22,SUM(V22:V23)&gt;=V29*366),(V22*$N$7+(V23-W23)*$N$8)/(V29*366),IF(AND(V29*366&gt;V23,V23+V26&gt;=V29*366),(V23*$N$8+(V26-W26)*$U$7)/(V29*366),IF(AND(V18&gt;0,V19&gt;0,V29*366&gt;SUM(V18:V19)),(V18*$G$7+V19*$G$8)/SUM(V18:V19),IF(AND(V19&gt;0,V22&gt;0,V29*366&gt;SUM(V19:V22)),(V19*$G$8+V22*$N$7)/SUM(V19:V22),IF(AND(V22&gt;0,V23&gt;0,V29*366&gt;SUM(V22:V23)),(V22*$N$7+V23*$N$8)/SUM(V22:V23),IF(AND(V23&gt;0,V26&gt;0,V29*366&gt;SUM(V23:V26)),(V23*$N$8+V26*$U$7)/SUM(V23:V26),IF(AND(V19&gt;0,V29*366&gt;V19),$G$8,IF(AND(V22&gt;0,V29*366&gt;V22),$N$7,IF(AND(V23&gt;0,V29*366&gt;V23),$N$8,IF(AND(V26&gt;0,V29*366&gt;V26),$U$7)))))))))))))))))))))</f>
        <v>0</v>
      </c>
      <c r="W31" s="37"/>
    </row>
    <row r="32" spans="2:23" x14ac:dyDescent="0.25">
      <c r="B32" t="s">
        <v>38</v>
      </c>
      <c r="C32" t="s">
        <v>37</v>
      </c>
      <c r="E32">
        <v>2.2400000000000002</v>
      </c>
      <c r="F32">
        <v>1.79</v>
      </c>
      <c r="G32">
        <v>1.69</v>
      </c>
      <c r="H32">
        <v>2.02</v>
      </c>
      <c r="I32">
        <v>2.02</v>
      </c>
      <c r="J32">
        <v>1.73</v>
      </c>
      <c r="K32" s="47">
        <f>AVERAGEIF(L32:V32,"&gt;0")</f>
        <v>2.0722950586450586</v>
      </c>
      <c r="L32" s="43">
        <f>(L18*H7+(L30-L18)*H8)/L30-0.14</f>
        <v>2.0347289377289379</v>
      </c>
      <c r="M32" s="37">
        <v>2.04</v>
      </c>
      <c r="N32" s="37">
        <v>2.08</v>
      </c>
      <c r="O32" s="37">
        <f>IF(O19&gt;=O29*90,H8,IF(O19&lt;O29*90,(O19*H8+(O29*90-O19)*O7)/(O289*90)))</f>
        <v>2.08</v>
      </c>
      <c r="P32" s="43">
        <f>IF(P18&gt;=P29*275,$H$7,IF(AND(P18=0,P19&gt;=P29*275),$H$8,IF(AND(P18+P19=0,P22&gt;=P29*275),$O$7,IF(AND(SUM(P18:P19)+P22=0,P23&gt;=P29*275),$O$8,IF(AND(SUM(P18:P19)+SUM(P22:P23)=0,P26&gt;=P29*275),$V$7,IF(SUM(P18:P19)+SUM(P22:P23)+P26=0,0,IF(AND(P29*275&gt;SUM(P18:P19),SUM(P18:P19)+P22&gt;=P29*275),(P18*$G$7+P19*$H$8+(P22-Q22)*$O$7)/(P29*275),IF(AND(P29*275&gt;P19+P22,P19+SUM(P22:P23)&gt;=P29*275),(P19*$H$8+P22*$O$7+(P23-Q23)*$O$8)/(P29*275),IF(AND(P29*275&gt;SUM(P22:P23),SUM(P22:P23)+P26&gt;=P29*275),(P22*$O$7+P23*$O$8+(P26-Q26)*$V$7)/(P29*275),IF(AND(P29*275&gt;P18,P18+P19&gt;=P29*275),(P18*$G$7+(P19-Q19)*$H$8)/(P29*275),IF(AND(P29*275&gt;P19,P19+P22&gt;=P29*275),(P19*$H$8+(P22-Q22)*$O$7)/(P29*275),IF(AND(P29*275&gt;P22,SUM(P22:P23)&gt;=P29*275),(P22*$O$7+(P23-Q23)*$O$8)/(P29*275),IF(AND(P29*275&gt;P23,P23+P26&gt;=P29*275),(P23*$O$8+(P26-Q26)*$V$7)/(P29*275),IF(AND(P18&gt;0,P19&gt;0,P29*275&gt;SUM(P18:P19)),(P18*$H$7+P19*$H$8)/SUM(P18:P19),IF(AND(P19&gt;0,P22&gt;0,P29*275&gt;SUM(P19:P22)),(P19*$H$8+P22*$O$7)/SUM(P19:P22),IF(AND(P22&gt;0,P23&gt;0,P29*275&gt;SUM(P22:P23)),(P22*$O$7+P23*$O$8)/SUM(P22:P23),IF(AND(P23&gt;0,P26&gt;0,P29*275&gt;SUM(P23:P26)),(P23*$O$8+P26*$V$7)/SUM(P23:P26),IF(AND(P19&gt;0,P29*275&gt;P19),$H$8,IF(AND(P22&gt;0,P29*275&gt;P22),$O$7,IF(AND(P23&gt;0,P29*275&gt;P23),$O$8,IF(AND(P26&gt;0,P29*275&gt;P26),$V$7)))))))))))))))))))))</f>
        <v>2.169041414141414</v>
      </c>
      <c r="Q32" s="43">
        <f>IF(Q18&gt;=Q29*366,$H$7,IF(AND(Q18=0,Q19&gt;=Q29*366),$H$8,IF(AND(Q18+Q19=0,Q22&gt;=Q29*366),$O$7,IF(AND(SUM(Q18:Q19)+Q22=0,Q23&gt;=Q29*366),$O$8,IF(AND(SUM(Q18:Q19)+SUM(Q22:Q23)=0,Q26&gt;=Q29*366),$V$7,IF(SUM(Q18:Q19)+SUM(Q22:Q23)+Q26=0,0,IF(AND(Q29*366&gt;SUM(Q18:Q19),SUM(Q18:Q19)+Q22&gt;=Q29*366),(Q18*$G$7+Q19*$H$8+(Q22-R22)*$O$7)/(Q29*366),IF(AND(Q29*366&gt;Q19+Q22,Q19+SUM(Q22:Q23)&gt;=Q29*366),(Q19*$H$8+Q22*$O$7+(Q23-R23)*$O$8)/(Q29*366),IF(AND(Q29*366&gt;SUM(Q22:Q23),SUM(Q22:Q23)+Q26&gt;=Q29*366),(Q22*$O$7+Q23*$O$8+(Q26-R26)*$V$7)/(Q29*366),IF(AND(Q29*366&gt;Q18,Q18+Q19&gt;=Q29*366),(Q18*$G$7+(Q19-R19)*$H$8)/(Q29*366),IF(AND(Q29*366&gt;Q19,Q19+Q22&gt;=Q29*366),(Q19*$H$8+(Q22-R22)*$O$7)/(Q29*366),IF(AND(Q29*366&gt;Q22,SUM(Q22:Q23)&gt;=Q29*366),(Q22*$O$7+(Q23-R23)*$O$8)/(Q29*366),IF(AND(Q29*366&gt;Q23,Q23+Q26&gt;=Q29*366),(Q23*$O$8+(Q26-R26)*$V$7)/(Q29*366),IF(AND(Q18&gt;0,Q19&gt;0,Q29*366&gt;SUM(Q18:Q19)),(Q18*$H$7+Q19*$H$8)/SUM(Q18:Q19),IF(AND(Q19&gt;0,Q22&gt;0,Q29*366&gt;SUM(Q19:Q22)),(Q19*$H$8+Q22*$O$7)/SUM(Q19:Q22),IF(AND(Q22&gt;0,Q23&gt;0,Q29*366&gt;SUM(Q22:Q23)),(Q22*$O$7+Q23*$O$8)/SUM(Q22:Q23),IF(AND(Q23&gt;0,Q26&gt;0,Q29*366&gt;SUM(Q23:Q26)),(Q23*$O$8+Q26*$V$7)/SUM(Q23:Q26),IF(AND(Q19&gt;0,Q29*366&gt;Q19),$H$8,IF(AND(Q22&gt;0,Q29*366&gt;Q22),$O$7,IF(AND(Q23&gt;0,Q29*366&gt;Q23),$O$8,IF(AND(Q26&gt;0,Q29*366&gt;Q26),$V$7)))))))))))))))))))))</f>
        <v>2.0299999999999998</v>
      </c>
      <c r="R32" s="43">
        <f>IF(R18&gt;=R29*365,$H$7,IF(AND(R18=0,R19&gt;=R29*365),$H$8,IF(AND(R18+R19=0,R22&gt;=R29*365),$O$7,IF(AND(SUM(R18:R19)+R22=0,R23&gt;=R29*365),$O$8,IF(AND(SUM(R18:R19)+SUM(R22:R23)=0,R26&gt;=R29*365),$V$7,IF(SUM(R18:R19)+SUM(R22:R23)+R26=0,0,IF(AND(R29*365&gt;SUM(R18:R19),SUM(R18:R19)+R22&gt;=R29*365),(R18*$G$7+R19*$H$8+(R22-S22)*$O$7)/(R29*365),IF(AND(R29*365&gt;R19+R22,R19+SUM(R22:R23)&gt;=R29*365),(R19*$H$8+R22*$O$7+(R23-S23)*$O$8)/(R29*365),IF(AND(R29*365&gt;SUM(R22:R23),SUM(R22:R23)+R26&gt;=R29*365),(R22*$O$7+R23*$O$8+(R26-S26)*$V$7)/(R29*365),IF(AND(R29*365&gt;R18,R18+R19&gt;=R29*365),(R18*$G$7+(R19-S19)*$H$8)/(R29*365),IF(AND(R29*365&gt;R19,R19+R22&gt;=R29*365),(R19*$H$8+(R22-S22)*$O$7)/(R29*365),IF(AND(R29*365&gt;R22,SUM(R22:R23)&gt;=R29*365),(R22*$O$7+(R23-S23)*$O$8)/(R29*365),IF(AND(R29*365&gt;R23,R23+R26&gt;=R29*365),(R23*$O$8+(R26-S26)*$V$7)/(R29*365),IF(AND(R18&gt;0,R19&gt;0,R29*365&gt;SUM(R18:R19)),(R18*$H$7+R19*$H$8)/SUM(R18:R19),IF(AND(R19&gt;0,R22&gt;0,R29*365&gt;SUM(R19:R22)),(R19*$H$8+R22*$O$7)/SUM(R19:R22),IF(AND(R22&gt;0,R23&gt;0,R29*365&gt;SUM(R22:R23)),(R22*$O$7+R23*$O$8)/SUM(R22:R23),IF(AND(R23&gt;0,R26&gt;0,R29*365&gt;SUM(R23:R26)),(R23*$O$8+R26*$V$7)/SUM(R23:R26),IF(AND(R19&gt;0,R29*365&gt;R19),$H$8,IF(AND(R22&gt;0,R29*365&gt;R22),$O$7,IF(AND(R23&gt;0,R29*365&gt;R23),$O$8,IF(AND(R26&gt;0,R29*365&gt;R26),$V$7)))))))))))))))))))))</f>
        <v>0</v>
      </c>
      <c r="S32" s="43">
        <f>IF(S18&gt;=S29*365,$H$7,IF(AND(S18=0,S19&gt;=S29*365),$H$8,IF(AND(S18+S19=0,S22&gt;=S29*365),$O$7,IF(AND(SUM(S18:S19)+S22=0,S23&gt;=S29*365),$O$8,IF(AND(SUM(S18:S19)+SUM(S22:S23)=0,S26&gt;=S29*365),$V$7,IF(SUM(S18:S19)+SUM(S22:S23)+S26=0,0,IF(AND(S29*365&gt;SUM(S18:S19),SUM(S18:S19)+S22&gt;=S29*365),(S18*$G$7+S19*$H$8+(S22-T22)*$O$7)/(S29*365),IF(AND(S29*365&gt;S19+S22,S19+SUM(S22:S23)&gt;=S29*365),(S19*$H$8+S22*$O$7+(S23-T23)*$O$8)/(S29*365),IF(AND(S29*365&gt;SUM(S22:S23),SUM(S22:S23)+S26&gt;=S29*365),(S22*$O$7+S23*$O$8+(S26-T26)*$V$7)/(S29*365),IF(AND(S29*365&gt;S18,S18+S19&gt;=S29*365),(S18*$G$7+(S19-T19)*$H$8)/(S29*365),IF(AND(S29*365&gt;S19,S19+S22&gt;=S29*365),(S19*$H$8+(S22-T22)*$O$7)/(S29*365),IF(AND(S29*365&gt;S22,SUM(S22:S23)&gt;=S29*365),(S22*$O$7+(S23-T23)*$O$8)/(S29*365),IF(AND(S29*365&gt;S23,S23+S26&gt;=S29*365),(S23*$O$8+(S26-T26)*$V$7)/(S29*365),IF(AND(S18&gt;0,S19&gt;0,S29*365&gt;SUM(S18:S19)),(S18*$H$7+S19*$H$8)/SUM(S18:S19),IF(AND(S19&gt;0,S22&gt;0,S29*365&gt;SUM(S19:S22)),(S19*$H$8+S22*$O$7)/SUM(S19:S22),IF(AND(S22&gt;0,S23&gt;0,S29*365&gt;SUM(S22:S23)),(S22*$O$7+S23*$O$8)/SUM(S22:S23),IF(AND(S23&gt;0,S26&gt;0,S29*365&gt;SUM(S23:S26)),(S23*$O$8+S26*$V$7)/SUM(S23:S26),IF(AND(S19&gt;0,S29*365&gt;S19),$H$8,IF(AND(S22&gt;0,S29*365&gt;S22),$O$7,IF(AND(S23&gt;0,S29*365&gt;S23),$O$8,IF(AND(S26&gt;0,S29*365&gt;S26),$V$7)))))))))))))))))))))</f>
        <v>0</v>
      </c>
      <c r="T32" s="43">
        <f>IF(T18&gt;=T29*365,$H$7,IF(AND(T18=0,T19&gt;=T29*365),$H$8,IF(AND(T18+T19=0,T22&gt;=T29*365),$O$7,IF(AND(SUM(T18:T19)+T22=0,T23&gt;=T29*365),$O$8,IF(AND(SUM(T18:T19)+SUM(T22:T23)=0,T26&gt;=T29*365),$V$7,IF(SUM(T18:T19)+SUM(T22:T23)+T26=0,0,IF(AND(T29*365&gt;SUM(T18:T19),SUM(T18:T19)+T22&gt;=T29*365),(T18*$G$7+T19*$H$8+(T22-U22)*$O$7)/(T29*365),IF(AND(T29*365&gt;T19+T22,T19+SUM(T22:T23)&gt;=T29*365),(T19*$H$8+T22*$O$7+(T23-U23)*$O$8)/(T29*365),IF(AND(T29*365&gt;SUM(T22:T23),SUM(T22:T23)+T26&gt;=T29*365),(T22*$O$7+T23*$O$8+(T26-U26)*$V$7)/(T29*365),IF(AND(T29*365&gt;T18,T18+T19&gt;=T29*365),(T18*$G$7+(T19-U19)*$H$8)/(T29*365),IF(AND(T29*365&gt;T19,T19+T22&gt;=T29*365),(T19*$H$8+(T22-U22)*$O$7)/(T29*365),IF(AND(T29*365&gt;T22,SUM(T22:T23)&gt;=T29*365),(T22*$O$7+(T23-U23)*$O$8)/(T29*365),IF(AND(T29*365&gt;T23,T23+T26&gt;=T29*365),(T23*$O$8+(T26-U26)*$V$7)/(T29*365),IF(AND(T18&gt;0,T19&gt;0,T29*365&gt;SUM(T18:T19)),(T18*$H$7+T19*$H$8)/SUM(T18:T19),IF(AND(T19&gt;0,T22&gt;0,T29*365&gt;SUM(T19:T22)),(T19*$H$8+T22*$O$7)/SUM(T19:T22),IF(AND(T22&gt;0,T23&gt;0,T29*365&gt;SUM(T22:T23)),(T22*$O$7+T23*$O$8)/SUM(T22:T23),IF(AND(T23&gt;0,T26&gt;0,T29*365&gt;SUM(T23:T26)),(T23*$O$8+T26*$V$7)/SUM(T23:T26),IF(AND(T19&gt;0,T29*365&gt;T19),$H$8,IF(AND(T22&gt;0,T29*365&gt;T22),$O$7,IF(AND(T23&gt;0,T29*365&gt;T23),$O$8,IF(AND(T26&gt;0,T29*365&gt;T26),$V$7)))))))))))))))))))))</f>
        <v>0</v>
      </c>
      <c r="U32" s="43">
        <f>IF(U18&gt;=U29*366,$H$7,IF(AND(U18=0,U19&gt;=U29*366),$H$8,IF(AND(U18+U19=0,U22&gt;=U29*366),$O$7,IF(AND(SUM(U18:U19)+U22=0,U23&gt;=U29*366),$O$8,IF(AND(SUM(U18:U19)+SUM(U22:U23)=0,U26&gt;=U29*366),$V$7,IF(SUM(U18:U19)+SUM(U22:U23)+U26=0,0,IF(AND(U29*366&gt;SUM(U18:U19),SUM(U18:U19)+U22&gt;=U29*366),(U18*$G$7+U19*$H$8+(U22-V22)*$O$7)/(U29*366),IF(AND(U29*366&gt;U19+U22,U19+SUM(U22:U23)&gt;=U29*366),(U19*$H$8+U22*$O$7+(U23-V23)*$O$8)/(U29*366),IF(AND(U29*366&gt;SUM(U22:U23),SUM(U22:U23)+U26&gt;=U29*366),(U22*$O$7+U23*$O$8+(U26-V26)*$V$7)/(U29*366),IF(AND(U29*366&gt;U18,U18+U19&gt;=U29*366),(U18*$G$7+(U19-V19)*$H$8)/(U29*366),IF(AND(U29*366&gt;U19,U19+U22&gt;=U29*366),(U19*$H$8+(U22-V22)*$O$7)/(U29*366),IF(AND(U29*366&gt;U22,SUM(U22:U23)&gt;=U29*366),(U22*$O$7+(U23-V23)*$O$8)/(U29*366),IF(AND(U29*366&gt;U23,U23+U26&gt;=U29*366),(U23*$O$8+(U26-V26)*$V$7)/(U29*366),IF(AND(U18&gt;0,U19&gt;0,U29*366&gt;SUM(U18:U19)),(U18*$H$7+U19*$H$8)/SUM(U18:U19),IF(AND(U19&gt;0,U22&gt;0,U29*366&gt;SUM(U19:U22)),(U19*$H$8+U22*$O$7)/SUM(U19:U22),IF(AND(U22&gt;0,U23&gt;0,U29*366&gt;SUM(U22:U23)),(U22*$O$7+U23*$O$8)/SUM(U22:U23),IF(AND(U23&gt;0,U26&gt;0,U29*366&gt;SUM(U23:U26)),(U23*$O$8+U26*$V$7)/SUM(U23:U26),IF(AND(U19&gt;0,U29*366&gt;U19),$H$8,IF(AND(U22&gt;0,U29*366&gt;U22),$O$7,IF(AND(U23&gt;0,U29*366&gt;U23),$O$8,IF(AND(U26&gt;0,U29*366&gt;U26),$V$7)))))))))))))))))))))</f>
        <v>0</v>
      </c>
      <c r="V32" s="43">
        <f>IF(V18&gt;=V29*366,$H$7,IF(AND(V18=0,V19&gt;=V29*366),$H$8,IF(AND(V18+V19=0,V22&gt;=V29*366),$O$7,IF(AND(SUM(V18:V19)+V22=0,V23&gt;=V29*366),$O$8,IF(AND(SUM(V18:V19)+SUM(V22:V23)=0,V26&gt;=V29*366),$V$7,IF(SUM(V18:V19)+SUM(V22:V23)+V26=0,0,IF(AND(V29*366&gt;SUM(V18:V19),SUM(V18:V19)+V22&gt;=V29*366),(V18*$G$7+V19*$H$8+(V22-W22)*$O$7)/(V29*366),IF(AND(V29*366&gt;V19+V22,V19+SUM(V22:V23)&gt;=V29*366),(V19*$H$8+V22*$O$7+(V23-W23)*$O$8)/(V29*366),IF(AND(V29*366&gt;SUM(V22:V23),SUM(V22:V23)+V26&gt;=V29*366),(V22*$O$7+V23*$O$8+(V26-W26)*$V$7)/(V29*366),IF(AND(V29*366&gt;V18,V18+V19&gt;=V29*366),(V18*$G$7+(V19-W19)*$H$8)/(V29*366),IF(AND(V29*366&gt;V19,V19+V22&gt;=V29*366),(V19*$H$8+(V22-W22)*$O$7)/(V29*366),IF(AND(V29*366&gt;V22,SUM(V22:V23)&gt;=V29*366),(V22*$O$7+(V23-W23)*$O$8)/(V29*366),IF(AND(V29*366&gt;V23,V23+V26&gt;=V29*366),(V23*$O$8+(V26-W26)*$V$7)/(V29*366),IF(AND(V18&gt;0,V19&gt;0,V29*366&gt;SUM(V18:V19)),(V18*$H$7+V19*$H$8)/SUM(V18:V19),IF(AND(V19&gt;0,V22&gt;0,V29*366&gt;SUM(V19:V22)),(V19*$H$8+V22*$O$7)/SUM(V19:V22),IF(AND(V22&gt;0,V23&gt;0,V29*366&gt;SUM(V22:V23)),(V22*$O$7+V23*$O$8)/SUM(V22:V23),IF(AND(V23&gt;0,V26&gt;0,V29*366&gt;SUM(V23:V26)),(V23*$O$8+V26*$V$7)/SUM(V23:V26),IF(AND(V19&gt;0,V29*366&gt;V19),$H$8,IF(AND(V22&gt;0,V29*366&gt;V22),$O$7,IF(AND(V23&gt;0,V29*366&gt;V23),$O$8,IF(AND(V26&gt;0,V29*366&gt;V26),$V$7)))))))))))))))))))))</f>
        <v>0</v>
      </c>
      <c r="W32" s="37"/>
    </row>
    <row r="33" spans="2:23" x14ac:dyDescent="0.25">
      <c r="K33" s="51"/>
      <c r="L33" s="37"/>
      <c r="M33" s="37"/>
      <c r="N33" s="37"/>
      <c r="O33" s="37"/>
      <c r="P33" s="37"/>
      <c r="Q33" s="37"/>
      <c r="R33" s="37"/>
      <c r="S33" s="37"/>
      <c r="T33" s="37"/>
      <c r="U33" s="37"/>
      <c r="V33" s="37"/>
      <c r="W33" s="37"/>
    </row>
    <row r="34" spans="2:23" ht="15.75" thickBot="1" x14ac:dyDescent="0.3">
      <c r="B34" s="7" t="s">
        <v>39</v>
      </c>
      <c r="K34" s="51"/>
      <c r="L34" s="37"/>
      <c r="M34" s="37"/>
      <c r="N34" s="37"/>
      <c r="O34" s="37"/>
      <c r="P34" s="37"/>
      <c r="Q34" s="37"/>
      <c r="R34" s="37"/>
      <c r="S34" s="37"/>
      <c r="T34" s="37"/>
      <c r="U34" s="37"/>
      <c r="V34" s="37"/>
      <c r="W34" s="37"/>
    </row>
    <row r="35" spans="2:23" x14ac:dyDescent="0.25">
      <c r="B35" t="s">
        <v>21</v>
      </c>
      <c r="C35" t="s">
        <v>40</v>
      </c>
      <c r="E35" s="10">
        <f>E30*E31/Auxiliary!$C$4</f>
        <v>1149515.2207549994</v>
      </c>
      <c r="F35" s="10">
        <f>F30*F31/Auxiliary!$C$4</f>
        <v>1213833.1107730053</v>
      </c>
      <c r="G35" s="10">
        <f>G30*G31/Auxiliary!$C$4</f>
        <v>743315.10103076324</v>
      </c>
      <c r="H35" s="10">
        <f>H30*H31/Auxiliary!$C$4</f>
        <v>425899.65376475215</v>
      </c>
      <c r="I35" s="10">
        <f>I30*I31/Auxiliary!$C$4</f>
        <v>565132.57707575639</v>
      </c>
      <c r="J35" s="10">
        <f>J30*J31/Auxiliary!$C$4</f>
        <v>205717.64504474946</v>
      </c>
      <c r="K35" s="49">
        <f>SUM(L35:V35)</f>
        <v>3510600.7827395042</v>
      </c>
      <c r="L35" s="38">
        <f>L30*L31/Auxiliary!$C$4</f>
        <v>151669.21789270837</v>
      </c>
      <c r="M35" s="38">
        <f>M30*M31/Auxiliary!$C$4</f>
        <v>153335.91259482605</v>
      </c>
      <c r="N35" s="38">
        <f>N30*N31/Auxiliary!$C$4</f>
        <v>153335.91259482605</v>
      </c>
      <c r="O35" s="38">
        <f>O30*O31/Auxiliary!$C$4</f>
        <v>203128.41682059158</v>
      </c>
      <c r="P35" s="38">
        <f>P30*P31/Auxiliary!$C$4</f>
        <v>1190657.2451090098</v>
      </c>
      <c r="Q35" s="38">
        <f>Q30*Q31/Auxiliary!$C$4</f>
        <v>1658474.077727542</v>
      </c>
      <c r="R35" s="38">
        <f>R30*R31/Auxiliary!$C$4</f>
        <v>0</v>
      </c>
      <c r="S35" s="38">
        <f>S30*S31/Auxiliary!$C$4</f>
        <v>0</v>
      </c>
      <c r="T35" s="38">
        <f>T30*T31/Auxiliary!$C$4</f>
        <v>0</v>
      </c>
      <c r="U35" s="38">
        <f>U30*U31/Auxiliary!$C$4</f>
        <v>0</v>
      </c>
      <c r="V35" s="38">
        <f>V30*V31/Auxiliary!$C$4</f>
        <v>0</v>
      </c>
      <c r="W35" s="37"/>
    </row>
    <row r="36" spans="2:23" x14ac:dyDescent="0.25">
      <c r="B36" t="s">
        <v>23</v>
      </c>
      <c r="C36" t="s">
        <v>40</v>
      </c>
      <c r="E36" s="10">
        <f>E30*E32/Auxiliary!$C$4</f>
        <v>32186.426181139985</v>
      </c>
      <c r="F36" s="10">
        <f>F30*F32/Auxiliary!$C$4</f>
        <v>25264.665910275344</v>
      </c>
      <c r="G36" s="10">
        <f>G30*G32/Auxiliary!$C$4</f>
        <v>17208.253708794382</v>
      </c>
      <c r="H36" s="10">
        <f>H30*H32/Auxiliary!$C$4</f>
        <v>21507.932515119981</v>
      </c>
      <c r="I36" s="10">
        <f>I30*I32/Auxiliary!$C$4</f>
        <v>27180.185849833997</v>
      </c>
      <c r="J36" s="10">
        <f>J30*J32/Auxiliary!$C$4</f>
        <v>5834.2873102855174</v>
      </c>
      <c r="K36" s="49">
        <f>SUM(L36:V36)</f>
        <v>71740.945693891044</v>
      </c>
      <c r="L36" s="38">
        <f>L30*L32/Auxiliary!$C$4</f>
        <v>6429.2863876876954</v>
      </c>
      <c r="M36" s="38">
        <f>M30*M32/Auxiliary!$C$4</f>
        <v>6516.776285280107</v>
      </c>
      <c r="N36" s="38">
        <f>N30*N32/Auxiliary!$C$4</f>
        <v>6644.5562124424632</v>
      </c>
      <c r="O36" s="38">
        <f>O30*O32/Auxiliary!$C$4</f>
        <v>6500.1093382589306</v>
      </c>
      <c r="P36" s="38">
        <f>P30*P32/Auxiliary!$C$4</f>
        <v>20711.681338466959</v>
      </c>
      <c r="Q36" s="38">
        <f>Q30*Q32/Auxiliary!$C$4</f>
        <v>24938.536131754889</v>
      </c>
      <c r="R36" s="38">
        <f>R30*R32/Auxiliary!$C$4</f>
        <v>0</v>
      </c>
      <c r="S36" s="38">
        <f>S30*S32/Auxiliary!$C$4</f>
        <v>0</v>
      </c>
      <c r="T36" s="38">
        <f>T30*T32/Auxiliary!$C$4</f>
        <v>0</v>
      </c>
      <c r="U36" s="38">
        <f>U30*U32/Auxiliary!$C$4</f>
        <v>0</v>
      </c>
      <c r="V36" s="38">
        <f>V30*V32/Auxiliary!$C$4</f>
        <v>0</v>
      </c>
      <c r="W36" s="37"/>
    </row>
    <row r="37" spans="2:23" x14ac:dyDescent="0.25">
      <c r="J37" s="15"/>
      <c r="K37" s="53"/>
      <c r="L37" s="44"/>
      <c r="M37" s="37"/>
      <c r="N37" s="37"/>
      <c r="O37" s="37"/>
      <c r="P37" s="37"/>
      <c r="Q37" s="37"/>
      <c r="R37" s="37"/>
      <c r="S37" s="37"/>
      <c r="T37" s="37"/>
      <c r="U37" s="37"/>
      <c r="V37" s="37"/>
      <c r="W37" s="37"/>
    </row>
    <row r="38" spans="2:23" ht="15.75" thickBot="1" x14ac:dyDescent="0.3">
      <c r="B38" s="7" t="s">
        <v>41</v>
      </c>
      <c r="K38" s="51"/>
      <c r="L38" s="37"/>
      <c r="M38" s="37"/>
      <c r="N38" s="37"/>
      <c r="O38" s="37"/>
      <c r="P38" s="37"/>
      <c r="Q38" s="37"/>
      <c r="R38" s="37"/>
      <c r="S38" s="37"/>
      <c r="T38" s="37"/>
      <c r="U38" s="37"/>
      <c r="V38" s="37"/>
      <c r="W38" s="37"/>
    </row>
    <row r="39" spans="2:23" x14ac:dyDescent="0.25">
      <c r="B39" t="s">
        <v>21</v>
      </c>
      <c r="C39" t="s">
        <v>22</v>
      </c>
      <c r="E39" s="15">
        <v>0.81299999999999994</v>
      </c>
      <c r="F39" s="15">
        <v>0.80400000000000005</v>
      </c>
      <c r="G39" s="15">
        <v>0.84099999999999997</v>
      </c>
      <c r="H39" s="15">
        <v>0.83</v>
      </c>
      <c r="I39" s="15">
        <v>0.87</v>
      </c>
      <c r="J39" s="15">
        <v>0.88</v>
      </c>
      <c r="K39" s="53">
        <f>AVERAGE(L39:V39)</f>
        <v>0.86272727272727279</v>
      </c>
      <c r="L39" s="44">
        <f>87%</f>
        <v>0.87</v>
      </c>
      <c r="M39" s="44">
        <f>87%</f>
        <v>0.87</v>
      </c>
      <c r="N39" s="44">
        <f>87%</f>
        <v>0.87</v>
      </c>
      <c r="O39" s="44">
        <v>0.86</v>
      </c>
      <c r="P39" s="44">
        <v>0.86</v>
      </c>
      <c r="Q39" s="44">
        <v>0.86</v>
      </c>
      <c r="R39" s="44">
        <v>0.86</v>
      </c>
      <c r="S39" s="44">
        <v>0.86</v>
      </c>
      <c r="T39" s="44">
        <v>0.86</v>
      </c>
      <c r="U39" s="44">
        <v>0.86</v>
      </c>
      <c r="V39" s="44">
        <v>0.86</v>
      </c>
      <c r="W39" s="37"/>
    </row>
    <row r="40" spans="2:23" x14ac:dyDescent="0.25">
      <c r="B40" t="s">
        <v>23</v>
      </c>
      <c r="C40" t="s">
        <v>22</v>
      </c>
      <c r="E40" s="15">
        <v>0.83599999999999997</v>
      </c>
      <c r="F40" s="15">
        <v>0.83599999999999997</v>
      </c>
      <c r="G40" s="15">
        <v>0.85899999999999999</v>
      </c>
      <c r="H40" s="15">
        <v>0.88200000000000001</v>
      </c>
      <c r="I40" s="15">
        <v>0.90700000000000003</v>
      </c>
      <c r="J40" s="15">
        <v>0.89400000000000002</v>
      </c>
      <c r="K40" s="53">
        <f>AVERAGE(L40:V40)</f>
        <v>0.88899999999999979</v>
      </c>
      <c r="L40" s="44">
        <v>0.89700000000000002</v>
      </c>
      <c r="M40" s="44">
        <v>0.89700000000000002</v>
      </c>
      <c r="N40" s="44">
        <v>0.89700000000000002</v>
      </c>
      <c r="O40" s="44">
        <v>0.88600000000000001</v>
      </c>
      <c r="P40" s="44">
        <v>0.88600000000000001</v>
      </c>
      <c r="Q40" s="44">
        <v>0.88600000000000001</v>
      </c>
      <c r="R40" s="44">
        <v>0.88600000000000001</v>
      </c>
      <c r="S40" s="44">
        <v>0.88600000000000001</v>
      </c>
      <c r="T40" s="44">
        <v>0.88600000000000001</v>
      </c>
      <c r="U40" s="44">
        <v>0.88600000000000001</v>
      </c>
      <c r="V40" s="44">
        <v>0.88600000000000001</v>
      </c>
      <c r="W40" s="37"/>
    </row>
    <row r="41" spans="2:23" x14ac:dyDescent="0.25">
      <c r="K41" s="51"/>
      <c r="L41" s="37"/>
      <c r="M41" s="37"/>
      <c r="N41" s="37"/>
      <c r="O41" s="37"/>
      <c r="P41" s="37"/>
      <c r="Q41" s="37"/>
      <c r="R41" s="37"/>
      <c r="S41" s="37"/>
      <c r="T41" s="37"/>
      <c r="U41" s="37"/>
      <c r="V41" s="37"/>
      <c r="W41" s="37"/>
    </row>
    <row r="42" spans="2:23" ht="15.75" thickBot="1" x14ac:dyDescent="0.3">
      <c r="B42" s="7" t="s">
        <v>42</v>
      </c>
      <c r="K42" s="51"/>
      <c r="L42" s="37"/>
      <c r="M42" s="37"/>
      <c r="N42" s="37"/>
      <c r="O42" s="37"/>
      <c r="P42" s="37"/>
      <c r="Q42" s="37"/>
      <c r="R42" s="37"/>
      <c r="S42" s="37"/>
      <c r="T42" s="37"/>
      <c r="U42" s="37"/>
      <c r="V42" s="37"/>
      <c r="W42" s="37"/>
    </row>
    <row r="43" spans="2:23" x14ac:dyDescent="0.25">
      <c r="B43" t="s">
        <v>21</v>
      </c>
      <c r="C43" t="s">
        <v>40</v>
      </c>
      <c r="E43" s="10">
        <v>934238</v>
      </c>
      <c r="F43" s="10">
        <v>975555</v>
      </c>
      <c r="G43" s="10">
        <v>624942</v>
      </c>
      <c r="H43" s="10">
        <v>353318</v>
      </c>
      <c r="I43" s="10">
        <v>491412</v>
      </c>
      <c r="J43" s="10">
        <v>181105</v>
      </c>
      <c r="K43" s="49">
        <f>SUM(L43:V43)</f>
        <v>3023700.0835867971</v>
      </c>
      <c r="L43" s="38">
        <f>L35*L39</f>
        <v>131952.21956665628</v>
      </c>
      <c r="M43" s="38">
        <f t="shared" ref="M43:V43" si="3">M35*M39</f>
        <v>133402.24395749866</v>
      </c>
      <c r="N43" s="38">
        <f t="shared" si="3"/>
        <v>133402.24395749866</v>
      </c>
      <c r="O43" s="38">
        <f t="shared" si="3"/>
        <v>174690.43846570875</v>
      </c>
      <c r="P43" s="38">
        <f t="shared" si="3"/>
        <v>1023965.2307937484</v>
      </c>
      <c r="Q43" s="38">
        <f t="shared" si="3"/>
        <v>1426287.7068456861</v>
      </c>
      <c r="R43" s="38">
        <f t="shared" si="3"/>
        <v>0</v>
      </c>
      <c r="S43" s="38">
        <f t="shared" si="3"/>
        <v>0</v>
      </c>
      <c r="T43" s="38">
        <f t="shared" si="3"/>
        <v>0</v>
      </c>
      <c r="U43" s="38">
        <f t="shared" si="3"/>
        <v>0</v>
      </c>
      <c r="V43" s="38">
        <f t="shared" si="3"/>
        <v>0</v>
      </c>
      <c r="W43" s="37"/>
    </row>
    <row r="44" spans="2:23" x14ac:dyDescent="0.25">
      <c r="B44" t="s">
        <v>23</v>
      </c>
      <c r="C44" t="s">
        <v>40</v>
      </c>
      <c r="E44" s="10">
        <v>26910</v>
      </c>
      <c r="F44" s="10">
        <v>21127</v>
      </c>
      <c r="G44" s="10">
        <v>14779</v>
      </c>
      <c r="H44" s="10">
        <v>18963</v>
      </c>
      <c r="I44" s="10">
        <v>24652</v>
      </c>
      <c r="J44" s="10">
        <v>5218</v>
      </c>
      <c r="K44" s="49">
        <f>SUM(L44:V44)</f>
        <v>63777.974692526979</v>
      </c>
      <c r="L44" s="38">
        <f>L36*L40</f>
        <v>5767.0698897558632</v>
      </c>
      <c r="M44" s="38">
        <f>M36*M40</f>
        <v>5845.5483278962565</v>
      </c>
      <c r="N44" s="38">
        <f>N36*N40</f>
        <v>5960.1669225608894</v>
      </c>
      <c r="O44" s="38">
        <f t="shared" ref="O44:V44" si="4">O36*O40</f>
        <v>5759.0968736974128</v>
      </c>
      <c r="P44" s="38">
        <f t="shared" si="4"/>
        <v>18350.549665881725</v>
      </c>
      <c r="Q44" s="38">
        <f t="shared" si="4"/>
        <v>22095.54301273483</v>
      </c>
      <c r="R44" s="38">
        <f t="shared" si="4"/>
        <v>0</v>
      </c>
      <c r="S44" s="38">
        <f t="shared" si="4"/>
        <v>0</v>
      </c>
      <c r="T44" s="38">
        <f t="shared" si="4"/>
        <v>0</v>
      </c>
      <c r="U44" s="38">
        <f t="shared" si="4"/>
        <v>0</v>
      </c>
      <c r="V44" s="38">
        <f t="shared" si="4"/>
        <v>0</v>
      </c>
      <c r="W44" s="37"/>
    </row>
    <row r="45" spans="2:23" x14ac:dyDescent="0.25">
      <c r="J45" s="15"/>
      <c r="K45" s="53"/>
      <c r="L45" s="37"/>
      <c r="M45" s="37"/>
      <c r="N45" s="37"/>
      <c r="O45" s="37"/>
      <c r="P45" s="37"/>
      <c r="Q45" s="37"/>
      <c r="R45" s="37"/>
      <c r="S45" s="37"/>
      <c r="T45" s="37"/>
      <c r="U45" s="37"/>
      <c r="V45" s="37"/>
      <c r="W45" s="37"/>
    </row>
    <row r="46" spans="2:23" ht="15.75" thickBot="1" x14ac:dyDescent="0.3">
      <c r="B46" s="7" t="s">
        <v>91</v>
      </c>
      <c r="K46" s="51"/>
      <c r="L46" s="37"/>
      <c r="M46" s="37"/>
      <c r="N46" s="37"/>
      <c r="O46" s="37"/>
      <c r="P46" s="37"/>
      <c r="Q46" s="37"/>
      <c r="R46" s="37"/>
      <c r="S46" s="37"/>
      <c r="T46" s="37"/>
      <c r="U46" s="37"/>
      <c r="V46" s="37"/>
      <c r="W46" s="37"/>
    </row>
    <row r="47" spans="2:23" x14ac:dyDescent="0.25">
      <c r="B47" t="s">
        <v>21</v>
      </c>
      <c r="C47" t="s">
        <v>22</v>
      </c>
      <c r="E47" s="16">
        <f>E51/E43</f>
        <v>0.96000055660334949</v>
      </c>
      <c r="F47" s="16">
        <f t="shared" ref="F47:J47" si="5">F51/F43</f>
        <v>0.97072435690453129</v>
      </c>
      <c r="G47" s="16">
        <f t="shared" si="5"/>
        <v>0.96633447583935794</v>
      </c>
      <c r="H47" s="16">
        <f t="shared" si="5"/>
        <v>0.94332301213071512</v>
      </c>
      <c r="I47" s="16">
        <f t="shared" si="5"/>
        <v>0.94157244837325915</v>
      </c>
      <c r="J47" s="16">
        <f t="shared" si="5"/>
        <v>0.95575494878661549</v>
      </c>
      <c r="K47" s="54">
        <f>AVERAGE(L47:V47)</f>
        <v>0.9562849664396379</v>
      </c>
      <c r="L47" s="44">
        <f>AVERAGE($E$47:$J$47)</f>
        <v>0.9562849664396379</v>
      </c>
      <c r="M47" s="44">
        <f t="shared" ref="M47:V47" si="6">AVERAGE($E$47:$J$47)</f>
        <v>0.9562849664396379</v>
      </c>
      <c r="N47" s="44">
        <f t="shared" si="6"/>
        <v>0.9562849664396379</v>
      </c>
      <c r="O47" s="44">
        <f t="shared" si="6"/>
        <v>0.9562849664396379</v>
      </c>
      <c r="P47" s="44">
        <f t="shared" si="6"/>
        <v>0.9562849664396379</v>
      </c>
      <c r="Q47" s="44">
        <f t="shared" si="6"/>
        <v>0.9562849664396379</v>
      </c>
      <c r="R47" s="44">
        <f t="shared" si="6"/>
        <v>0.9562849664396379</v>
      </c>
      <c r="S47" s="44">
        <f t="shared" si="6"/>
        <v>0.9562849664396379</v>
      </c>
      <c r="T47" s="44">
        <f t="shared" si="6"/>
        <v>0.9562849664396379</v>
      </c>
      <c r="U47" s="44">
        <f t="shared" si="6"/>
        <v>0.9562849664396379</v>
      </c>
      <c r="V47" s="44">
        <f t="shared" si="6"/>
        <v>0.9562849664396379</v>
      </c>
      <c r="W47" s="37"/>
    </row>
    <row r="48" spans="2:23" x14ac:dyDescent="0.25">
      <c r="B48" t="s">
        <v>23</v>
      </c>
      <c r="C48" t="s">
        <v>22</v>
      </c>
      <c r="E48" s="16">
        <f>E52/E44</f>
        <v>0.97502787068004459</v>
      </c>
      <c r="F48" s="16">
        <f t="shared" ref="F48:J48" si="7">F52/F44</f>
        <v>0.97604960477114588</v>
      </c>
      <c r="G48" s="16">
        <f t="shared" si="7"/>
        <v>0.97300223289803101</v>
      </c>
      <c r="H48" s="16">
        <f t="shared" si="7"/>
        <v>0.97183989875019772</v>
      </c>
      <c r="I48" s="16">
        <f t="shared" si="7"/>
        <v>0.97237546649359075</v>
      </c>
      <c r="J48" s="16">
        <f t="shared" si="7"/>
        <v>0.97393637408968958</v>
      </c>
      <c r="K48" s="54">
        <f>AVERAGE(L48:V48)</f>
        <v>0.97370524128045011</v>
      </c>
      <c r="L48" s="44">
        <f>AVERAGE($E$48:$J$48)</f>
        <v>0.97370524128045</v>
      </c>
      <c r="M48" s="44">
        <f t="shared" ref="M48:V48" si="8">AVERAGE($E$48:$J$48)</f>
        <v>0.97370524128045</v>
      </c>
      <c r="N48" s="44">
        <f t="shared" si="8"/>
        <v>0.97370524128045</v>
      </c>
      <c r="O48" s="44">
        <f t="shared" si="8"/>
        <v>0.97370524128045</v>
      </c>
      <c r="P48" s="44">
        <f t="shared" si="8"/>
        <v>0.97370524128045</v>
      </c>
      <c r="Q48" s="44">
        <f t="shared" si="8"/>
        <v>0.97370524128045</v>
      </c>
      <c r="R48" s="44">
        <f t="shared" si="8"/>
        <v>0.97370524128045</v>
      </c>
      <c r="S48" s="44">
        <f t="shared" si="8"/>
        <v>0.97370524128045</v>
      </c>
      <c r="T48" s="44">
        <f t="shared" si="8"/>
        <v>0.97370524128045</v>
      </c>
      <c r="U48" s="44">
        <f t="shared" si="8"/>
        <v>0.97370524128045</v>
      </c>
      <c r="V48" s="44">
        <f t="shared" si="8"/>
        <v>0.97370524128045</v>
      </c>
      <c r="W48" s="37"/>
    </row>
    <row r="49" spans="2:23" x14ac:dyDescent="0.25">
      <c r="K49" s="51"/>
      <c r="L49" s="37"/>
      <c r="M49" s="37"/>
      <c r="N49" s="37"/>
      <c r="O49" s="37"/>
      <c r="P49" s="37"/>
      <c r="Q49" s="37"/>
      <c r="R49" s="37"/>
      <c r="S49" s="37"/>
      <c r="T49" s="37"/>
      <c r="U49" s="37"/>
      <c r="V49" s="37"/>
      <c r="W49" s="37"/>
    </row>
    <row r="50" spans="2:23" ht="15.75" thickBot="1" x14ac:dyDescent="0.3">
      <c r="B50" s="7" t="s">
        <v>90</v>
      </c>
      <c r="K50" s="51"/>
      <c r="L50" s="37"/>
      <c r="M50" s="37"/>
      <c r="N50" s="37"/>
      <c r="O50" s="37"/>
      <c r="P50" s="37"/>
      <c r="Q50" s="37"/>
      <c r="R50" s="37"/>
      <c r="S50" s="37"/>
      <c r="T50" s="37"/>
      <c r="U50" s="37"/>
      <c r="V50" s="37"/>
      <c r="W50" s="37"/>
    </row>
    <row r="51" spans="2:23" x14ac:dyDescent="0.25">
      <c r="B51" s="23" t="s">
        <v>21</v>
      </c>
      <c r="C51" t="s">
        <v>40</v>
      </c>
      <c r="E51" s="10">
        <v>896869</v>
      </c>
      <c r="F51" s="10">
        <v>946995</v>
      </c>
      <c r="G51" s="10">
        <v>603903</v>
      </c>
      <c r="H51" s="10">
        <v>333293</v>
      </c>
      <c r="I51" s="10">
        <v>462700</v>
      </c>
      <c r="J51" s="10">
        <v>173092</v>
      </c>
      <c r="K51" s="49">
        <f>SUM(L51:V51)</f>
        <v>2891518.9329563305</v>
      </c>
      <c r="L51" s="38">
        <f>L43*L47</f>
        <v>126183.92385993563</v>
      </c>
      <c r="M51" s="38">
        <f t="shared" ref="M51:U51" si="9">M43*M47</f>
        <v>127570.560385869</v>
      </c>
      <c r="N51" s="38">
        <f t="shared" si="9"/>
        <v>127570.560385869</v>
      </c>
      <c r="O51" s="38">
        <f t="shared" si="9"/>
        <v>167053.84008550592</v>
      </c>
      <c r="P51" s="38">
        <f t="shared" si="9"/>
        <v>979202.55636495573</v>
      </c>
      <c r="Q51" s="38">
        <f t="shared" si="9"/>
        <v>1363937.4918741949</v>
      </c>
      <c r="R51" s="38">
        <f t="shared" si="9"/>
        <v>0</v>
      </c>
      <c r="S51" s="38">
        <f t="shared" si="9"/>
        <v>0</v>
      </c>
      <c r="T51" s="38">
        <f t="shared" si="9"/>
        <v>0</v>
      </c>
      <c r="U51" s="38">
        <f t="shared" si="9"/>
        <v>0</v>
      </c>
      <c r="V51" s="38">
        <f t="shared" ref="V51" si="10">V43*V47</f>
        <v>0</v>
      </c>
      <c r="W51" s="37"/>
    </row>
    <row r="52" spans="2:23" x14ac:dyDescent="0.25">
      <c r="B52" s="24" t="s">
        <v>23</v>
      </c>
      <c r="C52" t="s">
        <v>40</v>
      </c>
      <c r="E52" s="10">
        <v>26238</v>
      </c>
      <c r="F52" s="10">
        <v>20621</v>
      </c>
      <c r="G52" s="10">
        <v>14380</v>
      </c>
      <c r="H52" s="10">
        <v>18429</v>
      </c>
      <c r="I52" s="10">
        <v>23971</v>
      </c>
      <c r="J52" s="10">
        <v>5082</v>
      </c>
      <c r="K52" s="49">
        <f>SUM(L52:V52)</f>
        <v>62100.94823636541</v>
      </c>
      <c r="L52" s="38">
        <f>L44*L48</f>
        <v>5615.4261784859509</v>
      </c>
      <c r="M52" s="38">
        <f t="shared" ref="M52:U52" si="11">M44*M48</f>
        <v>5691.8410450307556</v>
      </c>
      <c r="N52" s="38">
        <f t="shared" si="11"/>
        <v>5803.4457714039081</v>
      </c>
      <c r="O52" s="38">
        <f t="shared" si="11"/>
        <v>5607.6628109610247</v>
      </c>
      <c r="P52" s="38">
        <f t="shared" si="11"/>
        <v>17868.026390046245</v>
      </c>
      <c r="Q52" s="38">
        <f t="shared" si="11"/>
        <v>21514.54604043753</v>
      </c>
      <c r="R52" s="38">
        <f t="shared" si="11"/>
        <v>0</v>
      </c>
      <c r="S52" s="38">
        <f t="shared" si="11"/>
        <v>0</v>
      </c>
      <c r="T52" s="38">
        <f t="shared" si="11"/>
        <v>0</v>
      </c>
      <c r="U52" s="38">
        <f t="shared" si="11"/>
        <v>0</v>
      </c>
      <c r="V52" s="38">
        <f t="shared" ref="V52" si="12">V44*V48</f>
        <v>0</v>
      </c>
      <c r="W52" s="37"/>
    </row>
    <row r="53" spans="2:23" x14ac:dyDescent="0.25">
      <c r="K53" s="51"/>
      <c r="L53" s="37"/>
      <c r="M53" s="37"/>
      <c r="N53" s="37"/>
      <c r="O53" s="37"/>
      <c r="P53" s="37"/>
      <c r="Q53" s="37"/>
      <c r="R53" s="37"/>
      <c r="S53" s="37"/>
      <c r="T53" s="37"/>
      <c r="U53" s="37"/>
      <c r="V53" s="37"/>
      <c r="W53" s="37"/>
    </row>
    <row r="54" spans="2:23" ht="15.75" thickBot="1" x14ac:dyDescent="0.3">
      <c r="B54" s="7" t="s">
        <v>43</v>
      </c>
      <c r="K54" s="51"/>
      <c r="L54" s="37"/>
      <c r="M54" s="37"/>
      <c r="N54" s="37"/>
      <c r="O54" s="37"/>
      <c r="P54" s="37"/>
      <c r="Q54" s="37"/>
      <c r="R54" s="37"/>
      <c r="S54" s="37"/>
      <c r="T54" s="37"/>
      <c r="U54" s="37"/>
      <c r="V54" s="37"/>
      <c r="W54" s="37"/>
    </row>
    <row r="55" spans="2:23" x14ac:dyDescent="0.25">
      <c r="B55" t="s">
        <v>21</v>
      </c>
      <c r="C55" t="s">
        <v>44</v>
      </c>
      <c r="E55" s="10">
        <v>15265000</v>
      </c>
      <c r="F55" s="10">
        <v>14310000</v>
      </c>
      <c r="G55" s="10">
        <v>10707000</v>
      </c>
      <c r="H55" s="10">
        <v>7471000</v>
      </c>
      <c r="I55" s="10">
        <v>10149000</v>
      </c>
      <c r="J55" s="10">
        <v>4257000</v>
      </c>
      <c r="K55" s="49">
        <f>SUM(L55:V55)</f>
        <v>71271568.750399113</v>
      </c>
      <c r="L55" s="38">
        <f>L51*L14</f>
        <v>2776046.324918584</v>
      </c>
      <c r="M55" s="38">
        <f t="shared" ref="M55:U55" si="13">M51*M14</f>
        <v>2806552.3284891183</v>
      </c>
      <c r="N55" s="38">
        <f t="shared" si="13"/>
        <v>2934122.8888749871</v>
      </c>
      <c r="O55" s="38">
        <f t="shared" si="13"/>
        <v>4176346.0021376479</v>
      </c>
      <c r="P55" s="38">
        <f t="shared" si="13"/>
        <v>24480063.909123894</v>
      </c>
      <c r="Q55" s="38">
        <f t="shared" si="13"/>
        <v>34098437.296854876</v>
      </c>
      <c r="R55" s="38">
        <f t="shared" si="13"/>
        <v>0</v>
      </c>
      <c r="S55" s="38">
        <f t="shared" si="13"/>
        <v>0</v>
      </c>
      <c r="T55" s="38">
        <f t="shared" si="13"/>
        <v>0</v>
      </c>
      <c r="U55" s="38">
        <f t="shared" si="13"/>
        <v>0</v>
      </c>
      <c r="V55" s="38">
        <f t="shared" ref="V55" si="14">V51*V14</f>
        <v>0</v>
      </c>
      <c r="W55" s="37"/>
    </row>
    <row r="56" spans="2:23" x14ac:dyDescent="0.25">
      <c r="B56" s="5" t="s">
        <v>23</v>
      </c>
      <c r="C56" t="s">
        <v>44</v>
      </c>
      <c r="E56" s="10">
        <v>33154000</v>
      </c>
      <c r="F56" s="10">
        <v>25495000</v>
      </c>
      <c r="G56" s="10">
        <v>21703000</v>
      </c>
      <c r="H56" s="10">
        <v>33970000</v>
      </c>
      <c r="I56" s="10">
        <v>38645000</v>
      </c>
      <c r="J56" s="10">
        <v>11488000</v>
      </c>
      <c r="K56" s="49">
        <f t="shared" ref="K56:K57" si="15">SUM(L56:V56)</f>
        <v>110209866.94813105</v>
      </c>
      <c r="L56" s="38">
        <f>L52*L15</f>
        <v>10500846.953768728</v>
      </c>
      <c r="M56" s="38">
        <f t="shared" ref="M56:U56" si="16">M52*M15</f>
        <v>10529905.933306897</v>
      </c>
      <c r="N56" s="38">
        <f t="shared" si="16"/>
        <v>10446202.388527034</v>
      </c>
      <c r="O56" s="38">
        <f t="shared" si="16"/>
        <v>9813409.9191817939</v>
      </c>
      <c r="P56" s="38">
        <f t="shared" si="16"/>
        <v>31269046.182580929</v>
      </c>
      <c r="Q56" s="38">
        <f t="shared" si="16"/>
        <v>37650455.570765674</v>
      </c>
      <c r="R56" s="38">
        <f t="shared" si="16"/>
        <v>0</v>
      </c>
      <c r="S56" s="38">
        <f t="shared" si="16"/>
        <v>0</v>
      </c>
      <c r="T56" s="38">
        <f t="shared" si="16"/>
        <v>0</v>
      </c>
      <c r="U56" s="38">
        <f t="shared" si="16"/>
        <v>0</v>
      </c>
      <c r="V56" s="38">
        <f t="shared" ref="V56" si="17">V52*V15</f>
        <v>0</v>
      </c>
      <c r="W56" s="37"/>
    </row>
    <row r="57" spans="2:23" x14ac:dyDescent="0.25">
      <c r="B57" t="s">
        <v>27</v>
      </c>
      <c r="C57" t="s">
        <v>44</v>
      </c>
      <c r="E57" s="10">
        <f>SUM(E55:E56)</f>
        <v>48419000</v>
      </c>
      <c r="F57" s="10">
        <f t="shared" ref="F57:J57" si="18">SUM(F55:F56)</f>
        <v>39805000</v>
      </c>
      <c r="G57" s="10">
        <f t="shared" si="18"/>
        <v>32410000</v>
      </c>
      <c r="H57" s="10">
        <f t="shared" si="18"/>
        <v>41441000</v>
      </c>
      <c r="I57" s="10">
        <f t="shared" si="18"/>
        <v>48794000</v>
      </c>
      <c r="J57" s="10">
        <f t="shared" si="18"/>
        <v>15745000</v>
      </c>
      <c r="K57" s="49">
        <f t="shared" si="15"/>
        <v>181481435.69853017</v>
      </c>
      <c r="L57" s="38">
        <f>SUM(L55:L56)</f>
        <v>13276893.278687313</v>
      </c>
      <c r="M57" s="38">
        <f t="shared" ref="M57:U57" si="19">SUM(M55:M56)</f>
        <v>13336458.261796016</v>
      </c>
      <c r="N57" s="38">
        <f t="shared" si="19"/>
        <v>13380325.277402021</v>
      </c>
      <c r="O57" s="38">
        <f t="shared" si="19"/>
        <v>13989755.921319442</v>
      </c>
      <c r="P57" s="38">
        <f t="shared" si="19"/>
        <v>55749110.091704823</v>
      </c>
      <c r="Q57" s="38">
        <f t="shared" si="19"/>
        <v>71748892.867620558</v>
      </c>
      <c r="R57" s="38">
        <f t="shared" si="19"/>
        <v>0</v>
      </c>
      <c r="S57" s="38">
        <f t="shared" si="19"/>
        <v>0</v>
      </c>
      <c r="T57" s="38">
        <f t="shared" si="19"/>
        <v>0</v>
      </c>
      <c r="U57" s="38">
        <f t="shared" si="19"/>
        <v>0</v>
      </c>
      <c r="V57" s="38">
        <f t="shared" ref="V57" si="20">SUM(V55:V56)</f>
        <v>0</v>
      </c>
      <c r="W57" s="37"/>
    </row>
    <row r="58" spans="2:23" x14ac:dyDescent="0.25">
      <c r="K58" s="51"/>
      <c r="L58" s="37"/>
      <c r="M58" s="37"/>
      <c r="N58" s="37"/>
      <c r="O58" s="37"/>
      <c r="P58" s="37"/>
      <c r="Q58" s="37"/>
      <c r="R58" s="37"/>
      <c r="S58" s="37"/>
      <c r="T58" s="37"/>
      <c r="U58" s="37"/>
      <c r="V58" s="37"/>
      <c r="W58" s="37"/>
    </row>
    <row r="59" spans="2:23" x14ac:dyDescent="0.25">
      <c r="B59" t="s">
        <v>87</v>
      </c>
      <c r="C59" t="s">
        <v>22</v>
      </c>
      <c r="E59" s="26">
        <f>E55/E57</f>
        <v>0.31526879943823705</v>
      </c>
      <c r="F59" s="26">
        <f t="shared" ref="F59:J59" si="21">F55/F57</f>
        <v>0.35950257505338523</v>
      </c>
      <c r="G59" s="26">
        <f t="shared" si="21"/>
        <v>0.33036099969145327</v>
      </c>
      <c r="H59" s="26">
        <f t="shared" si="21"/>
        <v>0.18028039863902898</v>
      </c>
      <c r="I59" s="26">
        <f t="shared" si="21"/>
        <v>0.20799688486289297</v>
      </c>
      <c r="J59" s="26">
        <f t="shared" si="21"/>
        <v>0.27037154652270562</v>
      </c>
      <c r="K59" s="58">
        <f>AVERAGE(L59:V59)</f>
        <v>0.30861734258993967</v>
      </c>
      <c r="L59" s="46">
        <f>IF(L57&gt;0,L55/L57,"")</f>
        <v>0.20908854704547658</v>
      </c>
      <c r="M59" s="46">
        <f t="shared" ref="M59:V59" si="22">IF(M57&gt;0,M55/M57,"")</f>
        <v>0.21044210339778477</v>
      </c>
      <c r="N59" s="46">
        <f t="shared" si="22"/>
        <v>0.21928636472167204</v>
      </c>
      <c r="O59" s="46">
        <f t="shared" si="22"/>
        <v>0.2985288682394508</v>
      </c>
      <c r="P59" s="46">
        <f t="shared" si="22"/>
        <v>0.43911129467098703</v>
      </c>
      <c r="Q59" s="46">
        <f t="shared" si="22"/>
        <v>0.47524687746426686</v>
      </c>
      <c r="R59" s="46" t="str">
        <f t="shared" si="22"/>
        <v/>
      </c>
      <c r="S59" s="46" t="str">
        <f t="shared" si="22"/>
        <v/>
      </c>
      <c r="T59" s="46" t="str">
        <f t="shared" si="22"/>
        <v/>
      </c>
      <c r="U59" s="46" t="str">
        <f t="shared" si="22"/>
        <v/>
      </c>
      <c r="V59" s="46" t="str">
        <f t="shared" si="22"/>
        <v/>
      </c>
      <c r="W59" s="37"/>
    </row>
    <row r="60" spans="2:23" x14ac:dyDescent="0.25">
      <c r="K60" s="51"/>
      <c r="L60" s="37"/>
      <c r="M60" s="37"/>
      <c r="N60" s="37"/>
      <c r="O60" s="37"/>
      <c r="P60" s="37"/>
      <c r="Q60" s="37"/>
      <c r="R60" s="37"/>
      <c r="S60" s="37"/>
      <c r="T60" s="37"/>
      <c r="U60" s="37"/>
      <c r="V60" s="37"/>
      <c r="W60" s="37"/>
    </row>
    <row r="61" spans="2:23" ht="15.75" thickBot="1" x14ac:dyDescent="0.3">
      <c r="B61" s="7" t="s">
        <v>45</v>
      </c>
      <c r="K61" s="51"/>
      <c r="L61" s="37"/>
      <c r="M61" s="37"/>
      <c r="N61" s="37"/>
      <c r="O61" s="37"/>
      <c r="P61" s="37"/>
      <c r="Q61" s="37"/>
      <c r="R61" s="37"/>
      <c r="S61" s="37"/>
      <c r="T61" s="37"/>
      <c r="U61" s="37"/>
      <c r="V61" s="37"/>
      <c r="W61" s="37"/>
    </row>
    <row r="62" spans="2:23" x14ac:dyDescent="0.25">
      <c r="B62" s="3"/>
      <c r="K62" s="51"/>
      <c r="L62" s="37"/>
      <c r="M62" s="37"/>
      <c r="N62" s="37"/>
      <c r="O62" s="37"/>
      <c r="P62" s="37"/>
      <c r="Q62" s="37"/>
      <c r="R62" s="37"/>
      <c r="S62" s="37"/>
      <c r="T62" s="37"/>
      <c r="U62" s="37"/>
      <c r="V62" s="37"/>
      <c r="W62" s="37"/>
    </row>
    <row r="63" spans="2:23" x14ac:dyDescent="0.25">
      <c r="B63" s="3" t="s">
        <v>3</v>
      </c>
      <c r="K63" s="51"/>
      <c r="L63" s="37"/>
      <c r="M63" s="37"/>
      <c r="N63" s="37"/>
      <c r="O63" s="37"/>
      <c r="P63" s="37"/>
      <c r="Q63" s="37"/>
      <c r="R63" s="37"/>
      <c r="S63" s="37"/>
      <c r="T63" s="37"/>
      <c r="U63" s="37"/>
      <c r="V63" s="37"/>
      <c r="W63" s="37"/>
    </row>
    <row r="64" spans="2:23" x14ac:dyDescent="0.25">
      <c r="B64" t="s">
        <v>80</v>
      </c>
      <c r="C64" t="s">
        <v>79</v>
      </c>
      <c r="E64" s="13">
        <f>E65/E30</f>
        <v>65.06251622199747</v>
      </c>
      <c r="F64" s="13">
        <f t="shared" ref="F64:J64" si="23">F65/F30</f>
        <v>62.361476520768555</v>
      </c>
      <c r="G64" s="13">
        <f t="shared" si="23"/>
        <v>77.310961516602049</v>
      </c>
      <c r="H64" s="13">
        <f t="shared" si="23"/>
        <v>70.114199786215096</v>
      </c>
      <c r="I64" s="13">
        <f t="shared" si="23"/>
        <v>79.371299406949348</v>
      </c>
      <c r="J64" s="13">
        <f t="shared" si="23"/>
        <v>91.797433599633919</v>
      </c>
      <c r="K64" s="48">
        <f>AVERAGEIF(L64:V64,"&gt;0")</f>
        <v>99.046015989475094</v>
      </c>
      <c r="L64" s="42">
        <f>J64*1.02</f>
        <v>93.633382271626601</v>
      </c>
      <c r="M64" s="42">
        <f>L64*1.02</f>
        <v>95.50604991705913</v>
      </c>
      <c r="N64" s="42">
        <f>M64*1.01</f>
        <v>96.461110416229715</v>
      </c>
      <c r="O64" s="42">
        <f>N64</f>
        <v>96.461110416229715</v>
      </c>
      <c r="P64" s="42">
        <f>IF(AND(P29*275&lt;=SUM(P18:P26),P30&gt;0),$O$64,IF(AND(P29*275&gt;SUM(P18:P26),P30&gt;0),$O$64*1.2,IF(P30=0,0)))</f>
        <v>96.461110416229715</v>
      </c>
      <c r="Q64" s="42">
        <f>IF(AND(Q29*366&lt;=SUM(Q18:Q26),Q30&gt;0),$O$64,IF(AND(Q29*366&gt;SUM(Q18:Q26),Q30&gt;0),$O$64*1.2,IF(Q30=0,0)))</f>
        <v>115.75333249947565</v>
      </c>
      <c r="R64" s="42">
        <f>IF(AND(R29*365&lt;=SUM(R18:R26),R30&gt;0),$O$64,IF(AND(R29*365&gt;SUM(R18:R26),R30&gt;0),$O$64*1.2,IF(R30=0,0)))</f>
        <v>0</v>
      </c>
      <c r="S64" s="42">
        <f>IF(AND(S29*365&lt;=SUM(S18:S26),S30&gt;0),$O$64,IF(AND(S29*365&gt;SUM(S18:S26),S30&gt;0),$O$64*1.2,IF(S30=0,0)))</f>
        <v>0</v>
      </c>
      <c r="T64" s="42">
        <f>IF(AND(T29*365&lt;=SUM(T18:T26),T30&gt;0),$O$64,IF(AND(T29*365&gt;SUM(T18:T26),T30&gt;0),$O$64*1.2,IF(T30=0,0)))</f>
        <v>0</v>
      </c>
      <c r="U64" s="42">
        <f>IF(AND(U29*366&lt;=SUM(U18:U26),U30&gt;0),$O$64,IF(AND(U29*366&gt;SUM(U18:U26),U30&gt;0),$O$64*1.2,IF(U30=0,0)))</f>
        <v>0</v>
      </c>
      <c r="V64" s="42">
        <f>IF(AND(V29*366&lt;=SUM(V18:V26),V30&gt;0),$O$64,IF(AND(V29*366&gt;SUM(V18:V26),V30&gt;0),$O$64*1.2,IF(V30=0,0)))</f>
        <v>0</v>
      </c>
      <c r="W64" s="37"/>
    </row>
    <row r="65" spans="2:23" x14ac:dyDescent="0.25">
      <c r="B65" t="s">
        <v>81</v>
      </c>
      <c r="C65" t="s">
        <v>44</v>
      </c>
      <c r="E65" s="10">
        <v>29078000</v>
      </c>
      <c r="F65" s="10">
        <v>27377000</v>
      </c>
      <c r="G65" s="10">
        <v>24485000</v>
      </c>
      <c r="H65" s="10">
        <v>23220000</v>
      </c>
      <c r="I65" s="10">
        <v>33218000</v>
      </c>
      <c r="J65" s="10">
        <v>9629000</v>
      </c>
      <c r="K65" s="49">
        <f>SUM(L65:V65)</f>
        <v>110531158.45449345</v>
      </c>
      <c r="L65" s="38">
        <f>L64*L30</f>
        <v>9202288.8096554615</v>
      </c>
      <c r="M65" s="38">
        <f t="shared" ref="M65:V65" si="24">M64*M30</f>
        <v>9489481.1197589952</v>
      </c>
      <c r="N65" s="38">
        <f t="shared" si="24"/>
        <v>9584375.9309565853</v>
      </c>
      <c r="O65" s="38">
        <f t="shared" si="24"/>
        <v>9376019.932457529</v>
      </c>
      <c r="P65" s="38">
        <f t="shared" si="24"/>
        <v>28648949.793620225</v>
      </c>
      <c r="Q65" s="38">
        <f t="shared" si="24"/>
        <v>44230042.868044645</v>
      </c>
      <c r="R65" s="38">
        <f t="shared" si="24"/>
        <v>0</v>
      </c>
      <c r="S65" s="38">
        <f t="shared" si="24"/>
        <v>0</v>
      </c>
      <c r="T65" s="38">
        <f t="shared" si="24"/>
        <v>0</v>
      </c>
      <c r="U65" s="38">
        <f t="shared" si="24"/>
        <v>0</v>
      </c>
      <c r="V65" s="38">
        <f t="shared" si="24"/>
        <v>0</v>
      </c>
      <c r="W65" s="37"/>
    </row>
    <row r="66" spans="2:23" x14ac:dyDescent="0.25">
      <c r="B66" s="22" t="s">
        <v>82</v>
      </c>
      <c r="C66" t="s">
        <v>20</v>
      </c>
      <c r="E66" s="14">
        <f>E65/(E51+E52*E15/E14)</f>
        <v>10.193709243039569</v>
      </c>
      <c r="F66" s="14">
        <f t="shared" ref="F66:J66" si="25">F65/(F51+F52*F15/F14)</f>
        <v>10.4634560117136</v>
      </c>
      <c r="G66" s="14">
        <f t="shared" si="25"/>
        <v>13.16982902667303</v>
      </c>
      <c r="H66" s="14">
        <f t="shared" si="25"/>
        <v>12.167962246827214</v>
      </c>
      <c r="I66" s="14">
        <f t="shared" si="25"/>
        <v>15.34991050505462</v>
      </c>
      <c r="J66" s="14">
        <f t="shared" si="25"/>
        <v>16.495425026528576</v>
      </c>
      <c r="K66" s="47">
        <f>AVERAGE(L66:V66)</f>
        <v>15.398517506650819</v>
      </c>
      <c r="L66" s="43">
        <f>IF(OR(L51&gt;0,L52&gt;0),L65/(L51+L52*L15/L14),"")</f>
        <v>15.248322748620938</v>
      </c>
      <c r="M66" s="43">
        <f t="shared" ref="M66:V66" si="26">IF(OR(M51&gt;0,M52&gt;0),M65/(M51+M52*M15/M14),"")</f>
        <v>15.65397503119266</v>
      </c>
      <c r="N66" s="43">
        <f t="shared" si="26"/>
        <v>16.47498411599177</v>
      </c>
      <c r="O66" s="43">
        <f t="shared" si="26"/>
        <v>16.755152815370263</v>
      </c>
      <c r="P66" s="43">
        <f t="shared" si="26"/>
        <v>12.847267761984886</v>
      </c>
      <c r="Q66" s="43">
        <f t="shared" si="26"/>
        <v>15.411402566744398</v>
      </c>
      <c r="R66" s="43" t="str">
        <f t="shared" si="26"/>
        <v/>
      </c>
      <c r="S66" s="43" t="str">
        <f t="shared" si="26"/>
        <v/>
      </c>
      <c r="T66" s="43" t="str">
        <f t="shared" si="26"/>
        <v/>
      </c>
      <c r="U66" s="43" t="str">
        <f t="shared" si="26"/>
        <v/>
      </c>
      <c r="V66" s="43" t="str">
        <f t="shared" si="26"/>
        <v/>
      </c>
      <c r="W66" s="37"/>
    </row>
    <row r="67" spans="2:23" x14ac:dyDescent="0.25">
      <c r="B67" s="22"/>
      <c r="K67" s="51"/>
      <c r="L67" s="37"/>
      <c r="M67" s="37"/>
      <c r="N67" s="37"/>
      <c r="O67" s="37"/>
      <c r="P67" s="37"/>
      <c r="Q67" s="37"/>
      <c r="R67" s="37"/>
      <c r="S67" s="37"/>
      <c r="T67" s="37"/>
      <c r="U67" s="37"/>
      <c r="V67" s="37"/>
      <c r="W67" s="37"/>
    </row>
    <row r="68" spans="2:23" x14ac:dyDescent="0.25">
      <c r="B68" s="22" t="s">
        <v>142</v>
      </c>
      <c r="C68" t="s">
        <v>44</v>
      </c>
      <c r="E68" s="10">
        <v>1734000</v>
      </c>
      <c r="F68" s="10">
        <v>1670000</v>
      </c>
      <c r="G68" s="10">
        <v>1776000</v>
      </c>
      <c r="H68" s="10">
        <v>2891000</v>
      </c>
      <c r="I68" s="10">
        <v>2082000</v>
      </c>
      <c r="J68" s="10">
        <v>876000</v>
      </c>
      <c r="K68" s="49">
        <f>SUM(L68:V68)</f>
        <v>7863655.555555556</v>
      </c>
      <c r="L68" s="38">
        <f>IF(L30&gt;0,SUM($H$68:$J$68)/9*1.1,0)</f>
        <v>714877.77777777787</v>
      </c>
      <c r="M68" s="38">
        <f>IF(M30&gt;0,SUM($H$68:$J$68)/9*1.1,0)</f>
        <v>714877.77777777787</v>
      </c>
      <c r="N68" s="38">
        <f>IF(N30&gt;0,SUM($H$68:$J$68)/9*1.1,0)</f>
        <v>714877.77777777787</v>
      </c>
      <c r="O68" s="38">
        <f>IF(O30&gt;0,SUM($H$68:$J$68)/9*1.1,0)</f>
        <v>714877.77777777787</v>
      </c>
      <c r="P68" s="38">
        <f>IF(P30&gt;0,SUM($H$68:$J$68)/9*3*1.1,0)</f>
        <v>2144633.3333333335</v>
      </c>
      <c r="Q68" s="38">
        <f>IF(Q30&gt;0,SUM($H$68:$J$68)/9*1.1*4,0)</f>
        <v>2859511.1111111115</v>
      </c>
      <c r="R68" s="38">
        <f t="shared" ref="R68:V68" si="27">IF(R30&gt;0,SUM($H$68:$J$68)/9*1.1*4,0)</f>
        <v>0</v>
      </c>
      <c r="S68" s="38">
        <f t="shared" si="27"/>
        <v>0</v>
      </c>
      <c r="T68" s="38">
        <f t="shared" si="27"/>
        <v>0</v>
      </c>
      <c r="U68" s="38">
        <f t="shared" si="27"/>
        <v>0</v>
      </c>
      <c r="V68" s="38">
        <f t="shared" si="27"/>
        <v>0</v>
      </c>
      <c r="W68" s="37"/>
    </row>
    <row r="69" spans="2:23" x14ac:dyDescent="0.25">
      <c r="B69" t="s">
        <v>94</v>
      </c>
      <c r="C69" t="s">
        <v>44</v>
      </c>
      <c r="E69" s="10">
        <v>778000</v>
      </c>
      <c r="F69" s="10">
        <v>741000</v>
      </c>
      <c r="G69" s="10">
        <v>820000</v>
      </c>
      <c r="H69" s="10">
        <v>707000</v>
      </c>
      <c r="I69" s="10">
        <v>1216000</v>
      </c>
      <c r="J69" s="10">
        <v>250000</v>
      </c>
      <c r="K69" s="49">
        <f t="shared" ref="K69:K71" si="28">SUM(L69:V69)</f>
        <v>4850000</v>
      </c>
      <c r="L69" s="38">
        <f>(1500000-$J$69)/3</f>
        <v>416666.66666666669</v>
      </c>
      <c r="M69" s="38">
        <f t="shared" ref="M69:N69" si="29">(1500000-$J$69)/3</f>
        <v>416666.66666666669</v>
      </c>
      <c r="N69" s="38">
        <f t="shared" si="29"/>
        <v>416666.66666666669</v>
      </c>
      <c r="O69" s="38">
        <f>1800000/4</f>
        <v>450000</v>
      </c>
      <c r="P69" s="38">
        <f>IF(P30&gt;0,1350000,0)</f>
        <v>1350000</v>
      </c>
      <c r="Q69" s="38">
        <f>IF(Q30&gt;0,1800000,0)</f>
        <v>1800000</v>
      </c>
      <c r="R69" s="38">
        <f t="shared" ref="R69:V69" si="30">IF(R30&gt;0,1800000,0)</f>
        <v>0</v>
      </c>
      <c r="S69" s="38">
        <f t="shared" si="30"/>
        <v>0</v>
      </c>
      <c r="T69" s="38">
        <f t="shared" si="30"/>
        <v>0</v>
      </c>
      <c r="U69" s="38">
        <f>IF(U30&gt;0,1800000,0)</f>
        <v>0</v>
      </c>
      <c r="V69" s="38">
        <f t="shared" si="30"/>
        <v>0</v>
      </c>
      <c r="W69" s="37"/>
    </row>
    <row r="70" spans="2:23" x14ac:dyDescent="0.25">
      <c r="B70" s="22" t="s">
        <v>84</v>
      </c>
      <c r="C70" t="s">
        <v>44</v>
      </c>
      <c r="E70" s="10">
        <v>866000</v>
      </c>
      <c r="F70" s="10">
        <v>557000</v>
      </c>
      <c r="G70" s="10">
        <v>669000</v>
      </c>
      <c r="H70" s="10">
        <v>2982000</v>
      </c>
      <c r="I70" s="10">
        <v>3249000</v>
      </c>
      <c r="J70" s="10">
        <v>954000</v>
      </c>
      <c r="K70" s="49">
        <f t="shared" si="28"/>
        <v>10166666.666666668</v>
      </c>
      <c r="L70" s="38">
        <f>940000</f>
        <v>940000</v>
      </c>
      <c r="M70" s="38">
        <v>900000</v>
      </c>
      <c r="N70" s="38">
        <v>900000</v>
      </c>
      <c r="O70" s="38">
        <f>IF(O30&gt;0,(SUM($H$70:$J$70)/9+130000),0)</f>
        <v>928333.33333333337</v>
      </c>
      <c r="P70" s="38">
        <f>IF(P30&gt;0,(SUM($H$70:$J$70)/9+130000)*3,0)</f>
        <v>2785000</v>
      </c>
      <c r="Q70" s="38">
        <f>IF(Q30&gt;0,(SUM($H$70:$J$70)/9+130000)*4,0)</f>
        <v>3713333.3333333335</v>
      </c>
      <c r="R70" s="38">
        <f>IF(R30&gt;0,(SUM($H$70:$J$70)/9+130000)*4,0)</f>
        <v>0</v>
      </c>
      <c r="S70" s="38">
        <f>IF(S30&gt;0,(SUM($H$70:$J$70)/9+130000)*4,0)</f>
        <v>0</v>
      </c>
      <c r="T70" s="38">
        <f>IF(T30&gt;0,(SUM($H$70:$J$70)/9+130000)*4,0)</f>
        <v>0</v>
      </c>
      <c r="U70" s="38">
        <f t="shared" ref="U70:V70" si="31">IF(U30&gt;0,(SUM($H$70:$J$70)/9+120000)*4,0)</f>
        <v>0</v>
      </c>
      <c r="V70" s="38">
        <f t="shared" si="31"/>
        <v>0</v>
      </c>
      <c r="W70" s="37"/>
    </row>
    <row r="71" spans="2:23" x14ac:dyDescent="0.25">
      <c r="B71" s="22" t="s">
        <v>85</v>
      </c>
      <c r="C71" t="s">
        <v>44</v>
      </c>
      <c r="E71" s="10">
        <v>1894000</v>
      </c>
      <c r="F71" s="10">
        <v>861000</v>
      </c>
      <c r="G71" s="10">
        <v>3631000</v>
      </c>
      <c r="H71" s="10">
        <v>8947000</v>
      </c>
      <c r="I71" s="10">
        <v>13491000</v>
      </c>
      <c r="J71" s="10">
        <v>2396000</v>
      </c>
      <c r="K71" s="49">
        <f t="shared" si="28"/>
        <v>35169491.666666664</v>
      </c>
      <c r="L71" s="38">
        <f>$I$71/4</f>
        <v>3372750</v>
      </c>
      <c r="M71" s="38">
        <f>L71*1.1</f>
        <v>3710025.0000000005</v>
      </c>
      <c r="N71" s="38">
        <f>M71</f>
        <v>3710025.0000000005</v>
      </c>
      <c r="O71" s="38">
        <f>N71</f>
        <v>3710025.0000000005</v>
      </c>
      <c r="P71" s="38">
        <f>IF(Auxiliary!F3=2,10000000,IF(Auxiliary!F3=1,8000000,IF(Auxiliary!F3=3,8000000,IF(Auxiliary!F3=4,9500000*0.76,IF(Auxiliary!F3&gt;=5,14150000*1.1*0.75*0.76,IF(Auxiliary!F3=0,0))))))</f>
        <v>10000000</v>
      </c>
      <c r="Q71" s="38">
        <f>IF(Auxiliary!F4=2,13300000,IF(Auxiliary!F4=1,8000000*4/3,IF(Auxiliary!F4=3,12500000,IF(Auxiliary!F4&gt;=4,13000000*0.85,0))))</f>
        <v>10666666.666666666</v>
      </c>
      <c r="R71" s="38">
        <f>IF(Auxiliary!F5=2,13300000,IF(Auxiliary!F5=1,8000000*4/3,IF(Auxiliary!F5=3,12500000,IF(Auxiliary!F5&gt;=4,13000000*0.85,0))))</f>
        <v>0</v>
      </c>
      <c r="S71" s="38">
        <f>IF(Auxiliary!F6=2,13300000,IF(Auxiliary!F6=1,8000000*4/3,IF(Auxiliary!F6=3,12500000,IF(Auxiliary!F6&gt;=4,13000000*0.85,0))))</f>
        <v>0</v>
      </c>
      <c r="T71" s="38">
        <f>IF(Auxiliary!F7=2,13300000,IF(Auxiliary!F7=1,8000000*4/3,IF(Auxiliary!F7=3,12500000,IF(Auxiliary!F7&gt;=4,13000000*0.85,0))))</f>
        <v>0</v>
      </c>
      <c r="U71" s="38">
        <f>IF(Auxiliary!F8=2,13300000,IF(Auxiliary!F8=1,8000000*4/3,IF(Auxiliary!F8=3,12500000,IF(Auxiliary!F8&gt;=4,13000000*0.85,0))))</f>
        <v>0</v>
      </c>
      <c r="V71" s="38">
        <f>IF(Auxiliary!F9=2,13300000,IF(Auxiliary!F9=1,8000000*4/3,IF(Auxiliary!F9=3,12500000,IF(Auxiliary!F9&gt;=4,13000000*0.85,0))))</f>
        <v>0</v>
      </c>
      <c r="W71" s="37"/>
    </row>
    <row r="72" spans="2:23" x14ac:dyDescent="0.25">
      <c r="E72" s="10"/>
      <c r="F72" s="10"/>
      <c r="G72" s="10"/>
      <c r="H72" s="10"/>
      <c r="I72" s="10"/>
      <c r="J72" s="10"/>
      <c r="K72" s="49"/>
      <c r="L72" s="38"/>
      <c r="M72" s="38"/>
      <c r="N72" s="38"/>
      <c r="O72" s="38"/>
      <c r="P72" s="38"/>
      <c r="Q72" s="38"/>
      <c r="R72" s="38"/>
      <c r="S72" s="38"/>
      <c r="T72" s="38"/>
      <c r="U72" s="38"/>
      <c r="V72" s="38"/>
      <c r="W72" s="37"/>
    </row>
    <row r="73" spans="2:23" x14ac:dyDescent="0.25">
      <c r="B73" s="22" t="s">
        <v>46</v>
      </c>
      <c r="C73" s="22" t="s">
        <v>44</v>
      </c>
      <c r="E73" s="10">
        <f>E65+SUM(E68:E71)</f>
        <v>34350000</v>
      </c>
      <c r="F73" s="10">
        <f t="shared" ref="F73:V73" si="32">F65+SUM(F68:F71)</f>
        <v>31206000</v>
      </c>
      <c r="G73" s="10">
        <f t="shared" si="32"/>
        <v>31381000</v>
      </c>
      <c r="H73" s="10">
        <f t="shared" si="32"/>
        <v>38747000</v>
      </c>
      <c r="I73" s="10">
        <f t="shared" si="32"/>
        <v>53256000</v>
      </c>
      <c r="J73" s="10">
        <f t="shared" si="32"/>
        <v>14105000</v>
      </c>
      <c r="K73" s="49">
        <f>SUM(L73:V73)</f>
        <v>168580972.34338233</v>
      </c>
      <c r="L73" s="38">
        <f t="shared" si="32"/>
        <v>14646583.254099905</v>
      </c>
      <c r="M73" s="38">
        <f t="shared" si="32"/>
        <v>15231050.564203441</v>
      </c>
      <c r="N73" s="38">
        <f t="shared" si="32"/>
        <v>15325945.375401031</v>
      </c>
      <c r="O73" s="38">
        <f t="shared" si="32"/>
        <v>15179256.043568641</v>
      </c>
      <c r="P73" s="38">
        <f t="shared" si="32"/>
        <v>44928583.126953557</v>
      </c>
      <c r="Q73" s="38">
        <f t="shared" si="32"/>
        <v>63269553.979155757</v>
      </c>
      <c r="R73" s="38">
        <f t="shared" si="32"/>
        <v>0</v>
      </c>
      <c r="S73" s="38">
        <f t="shared" si="32"/>
        <v>0</v>
      </c>
      <c r="T73" s="38">
        <f t="shared" si="32"/>
        <v>0</v>
      </c>
      <c r="U73" s="38">
        <f t="shared" si="32"/>
        <v>0</v>
      </c>
      <c r="V73" s="38">
        <f t="shared" si="32"/>
        <v>0</v>
      </c>
      <c r="W73" s="37"/>
    </row>
    <row r="74" spans="2:23" x14ac:dyDescent="0.25">
      <c r="B74" s="3"/>
      <c r="C74" s="3"/>
      <c r="K74" s="51"/>
      <c r="L74" s="37"/>
      <c r="M74" s="37"/>
      <c r="N74" s="37"/>
      <c r="O74" s="37"/>
      <c r="P74" s="37"/>
      <c r="Q74" s="37"/>
      <c r="R74" s="37"/>
      <c r="S74" s="37"/>
      <c r="T74" s="37"/>
      <c r="U74" s="37"/>
      <c r="V74" s="37"/>
      <c r="W74" s="37"/>
    </row>
    <row r="75" spans="2:23" ht="15.75" thickBot="1" x14ac:dyDescent="0.3">
      <c r="B75" s="7" t="s">
        <v>86</v>
      </c>
      <c r="C75" s="3"/>
      <c r="K75" s="51"/>
      <c r="L75" s="37"/>
      <c r="M75" s="37"/>
      <c r="N75" s="37"/>
      <c r="O75" s="37"/>
      <c r="P75" s="37"/>
      <c r="Q75" s="37"/>
      <c r="R75" s="37"/>
      <c r="S75" s="37"/>
      <c r="T75" s="37"/>
      <c r="U75" s="37"/>
      <c r="V75" s="37"/>
      <c r="W75" s="37"/>
    </row>
    <row r="76" spans="2:23" x14ac:dyDescent="0.25">
      <c r="B76" s="24" t="s">
        <v>150</v>
      </c>
      <c r="C76" s="22" t="s">
        <v>44</v>
      </c>
      <c r="E76" s="10">
        <v>943000</v>
      </c>
      <c r="F76" s="10">
        <v>615000</v>
      </c>
      <c r="G76" s="10"/>
      <c r="H76" s="10">
        <v>354000</v>
      </c>
      <c r="I76" s="10">
        <v>53000</v>
      </c>
      <c r="J76" s="10">
        <v>244000</v>
      </c>
      <c r="K76" s="49">
        <f>SUM(L76:V76)</f>
        <v>3605246.6266360879</v>
      </c>
      <c r="L76" s="38">
        <f>7.5%*(L57-L73+L71)</f>
        <v>150229.50184405557</v>
      </c>
      <c r="M76" s="38">
        <f t="shared" ref="M76:V76" si="33">7.5%*(M57-M73+M71)</f>
        <v>136157.45231944317</v>
      </c>
      <c r="N76" s="38">
        <f t="shared" si="33"/>
        <v>132330.36765007427</v>
      </c>
      <c r="O76" s="38">
        <f t="shared" si="33"/>
        <v>189039.3658313101</v>
      </c>
      <c r="P76" s="38">
        <f t="shared" si="33"/>
        <v>1561539.5223563449</v>
      </c>
      <c r="Q76" s="38">
        <f t="shared" si="33"/>
        <v>1435950.4166348598</v>
      </c>
      <c r="R76" s="38">
        <f t="shared" si="33"/>
        <v>0</v>
      </c>
      <c r="S76" s="38">
        <f t="shared" si="33"/>
        <v>0</v>
      </c>
      <c r="T76" s="38">
        <f t="shared" si="33"/>
        <v>0</v>
      </c>
      <c r="U76" s="38">
        <f t="shared" si="33"/>
        <v>0</v>
      </c>
      <c r="V76" s="38">
        <f t="shared" si="33"/>
        <v>0</v>
      </c>
      <c r="W76" s="37"/>
    </row>
    <row r="77" spans="2:23" x14ac:dyDescent="0.25">
      <c r="B77" s="24" t="s">
        <v>151</v>
      </c>
      <c r="C77" s="22" t="s">
        <v>44</v>
      </c>
      <c r="E77" s="10"/>
      <c r="F77" s="10"/>
      <c r="K77" s="49">
        <f>SUM(L77:V77)</f>
        <v>907407.17849265086</v>
      </c>
      <c r="L77" s="38">
        <f>0.5%*L57</f>
        <v>66384.466393436567</v>
      </c>
      <c r="M77" s="38">
        <f t="shared" ref="M77:V77" si="34">0.5%*M57</f>
        <v>66682.291308980086</v>
      </c>
      <c r="N77" s="38">
        <f t="shared" si="34"/>
        <v>66901.62638701011</v>
      </c>
      <c r="O77" s="38">
        <f t="shared" si="34"/>
        <v>69948.779606597207</v>
      </c>
      <c r="P77" s="38">
        <f t="shared" si="34"/>
        <v>278745.55045852414</v>
      </c>
      <c r="Q77" s="38">
        <f t="shared" si="34"/>
        <v>358744.46433810279</v>
      </c>
      <c r="R77" s="38">
        <f t="shared" si="34"/>
        <v>0</v>
      </c>
      <c r="S77" s="38">
        <f t="shared" si="34"/>
        <v>0</v>
      </c>
      <c r="T77" s="38">
        <f t="shared" si="34"/>
        <v>0</v>
      </c>
      <c r="U77" s="38">
        <f t="shared" si="34"/>
        <v>0</v>
      </c>
      <c r="V77" s="38">
        <f t="shared" si="34"/>
        <v>0</v>
      </c>
      <c r="W77" s="37"/>
    </row>
    <row r="78" spans="2:23" x14ac:dyDescent="0.25">
      <c r="B78" s="24"/>
      <c r="C78" s="22"/>
      <c r="K78" s="51"/>
      <c r="L78" s="37"/>
      <c r="M78" s="37"/>
      <c r="N78" s="37"/>
      <c r="O78" s="37"/>
      <c r="P78" s="37"/>
      <c r="Q78" s="37"/>
      <c r="R78" s="37"/>
      <c r="S78" s="37"/>
      <c r="T78" s="37"/>
      <c r="U78" s="37"/>
      <c r="V78" s="37"/>
      <c r="W78" s="37"/>
    </row>
    <row r="79" spans="2:23" ht="15.75" thickBot="1" x14ac:dyDescent="0.3">
      <c r="B79" s="7" t="s">
        <v>88</v>
      </c>
      <c r="C79" s="3"/>
      <c r="K79" s="51"/>
      <c r="L79" s="37"/>
      <c r="M79" s="37"/>
      <c r="N79" s="37"/>
      <c r="O79" s="37"/>
      <c r="P79" s="37"/>
      <c r="Q79" s="37"/>
      <c r="R79" s="37"/>
      <c r="S79" s="37"/>
      <c r="T79" s="37"/>
      <c r="U79" s="37"/>
      <c r="V79" s="37"/>
      <c r="W79" s="37"/>
    </row>
    <row r="80" spans="2:23" x14ac:dyDescent="0.25">
      <c r="B80" s="23" t="s">
        <v>49</v>
      </c>
      <c r="C80" s="22" t="s">
        <v>44</v>
      </c>
      <c r="E80" s="10">
        <v>17537000</v>
      </c>
      <c r="F80" s="10">
        <v>12480000</v>
      </c>
      <c r="G80" s="10">
        <v>2826000</v>
      </c>
      <c r="H80" s="10">
        <v>8168000</v>
      </c>
      <c r="I80" s="10">
        <v>3890000</v>
      </c>
      <c r="J80" s="10">
        <v>3711000</v>
      </c>
      <c r="K80" s="49">
        <f>SUM(L80:V80)</f>
        <v>8387809.5500191022</v>
      </c>
      <c r="L80" s="38">
        <f>L57-L73-SUM(L76:L77)</f>
        <v>-1586303.9436500845</v>
      </c>
      <c r="M80" s="38">
        <f t="shared" ref="M80:V80" si="35">M57-M73-SUM(M76:M77)</f>
        <v>-2097432.0460358481</v>
      </c>
      <c r="N80" s="38">
        <f t="shared" si="35"/>
        <v>-2144852.0920360945</v>
      </c>
      <c r="O80" s="38">
        <f t="shared" si="35"/>
        <v>-1448488.2676871065</v>
      </c>
      <c r="P80" s="38">
        <f t="shared" si="35"/>
        <v>8980241.8919363972</v>
      </c>
      <c r="Q80" s="38">
        <f t="shared" si="35"/>
        <v>6684644.0074918382</v>
      </c>
      <c r="R80" s="38">
        <f t="shared" si="35"/>
        <v>0</v>
      </c>
      <c r="S80" s="38">
        <f t="shared" si="35"/>
        <v>0</v>
      </c>
      <c r="T80" s="38">
        <f t="shared" si="35"/>
        <v>0</v>
      </c>
      <c r="U80" s="38">
        <f t="shared" si="35"/>
        <v>0</v>
      </c>
      <c r="V80" s="38">
        <f t="shared" si="35"/>
        <v>0</v>
      </c>
      <c r="W80" s="37"/>
    </row>
    <row r="81" spans="2:23" x14ac:dyDescent="0.25">
      <c r="B81" s="23" t="s">
        <v>145</v>
      </c>
      <c r="C81" s="22" t="s">
        <v>22</v>
      </c>
      <c r="E81" s="16">
        <f t="shared" ref="E81:F81" si="36">(E80-E82)/E80</f>
        <v>0.14301191765980498</v>
      </c>
      <c r="F81" s="16">
        <f t="shared" si="36"/>
        <v>7.828525641025641E-2</v>
      </c>
      <c r="G81" s="16"/>
      <c r="H81" s="16">
        <f t="shared" ref="H81:I81" si="37">(H80-H82)/H80</f>
        <v>0.20714985308521058</v>
      </c>
      <c r="I81" s="16">
        <f t="shared" si="37"/>
        <v>0.6691516709511568</v>
      </c>
      <c r="J81" s="16">
        <f>(J80-J82)/J80</f>
        <v>0.32363244408515224</v>
      </c>
      <c r="K81" s="54">
        <f>AVERAGE(L81:V81)</f>
        <v>0.29999999999999993</v>
      </c>
      <c r="L81" s="44">
        <v>0.3</v>
      </c>
      <c r="M81" s="44">
        <v>0.3</v>
      </c>
      <c r="N81" s="44">
        <v>0.3</v>
      </c>
      <c r="O81" s="44">
        <v>0.3</v>
      </c>
      <c r="P81" s="44">
        <v>0.3</v>
      </c>
      <c r="Q81" s="44">
        <v>0.3</v>
      </c>
      <c r="R81" s="44">
        <v>0.3</v>
      </c>
      <c r="S81" s="44">
        <v>0.3</v>
      </c>
      <c r="T81" s="44">
        <v>0.3</v>
      </c>
      <c r="U81" s="44">
        <v>0.3</v>
      </c>
      <c r="V81" s="44">
        <v>0.3</v>
      </c>
      <c r="W81" s="37"/>
    </row>
    <row r="82" spans="2:23" x14ac:dyDescent="0.25">
      <c r="B82" s="24" t="s">
        <v>89</v>
      </c>
      <c r="C82" s="22" t="s">
        <v>44</v>
      </c>
      <c r="E82" s="10">
        <v>15029000</v>
      </c>
      <c r="F82" s="10">
        <v>11503000</v>
      </c>
      <c r="G82" s="10">
        <v>4117000</v>
      </c>
      <c r="H82" s="10">
        <v>6476000</v>
      </c>
      <c r="I82" s="10">
        <v>1287000</v>
      </c>
      <c r="J82" s="10">
        <v>2510000</v>
      </c>
      <c r="K82" s="49">
        <f>SUM(L82:V82)</f>
        <v>3688343.7801906308</v>
      </c>
      <c r="L82" s="38">
        <f>IF(L80&gt;=0,L80*(1-L81),L80)</f>
        <v>-1586303.9436500845</v>
      </c>
      <c r="M82" s="38">
        <f t="shared" ref="M82:V82" si="38">IF(M80&gt;=0,M80*(1-M81),M80)</f>
        <v>-2097432.0460358481</v>
      </c>
      <c r="N82" s="38">
        <f t="shared" si="38"/>
        <v>-2144852.0920360945</v>
      </c>
      <c r="O82" s="38">
        <f t="shared" si="38"/>
        <v>-1448488.2676871065</v>
      </c>
      <c r="P82" s="38">
        <f t="shared" si="38"/>
        <v>6286169.3243554775</v>
      </c>
      <c r="Q82" s="38">
        <f t="shared" si="38"/>
        <v>4679250.8052442865</v>
      </c>
      <c r="R82" s="38">
        <f t="shared" si="38"/>
        <v>0</v>
      </c>
      <c r="S82" s="38">
        <f t="shared" si="38"/>
        <v>0</v>
      </c>
      <c r="T82" s="38">
        <f t="shared" si="38"/>
        <v>0</v>
      </c>
      <c r="U82" s="38">
        <f t="shared" si="38"/>
        <v>0</v>
      </c>
      <c r="V82" s="38">
        <f t="shared" si="38"/>
        <v>0</v>
      </c>
      <c r="W82" s="37"/>
    </row>
    <row r="83" spans="2:23" x14ac:dyDescent="0.25">
      <c r="K83" s="51"/>
      <c r="L83" s="37"/>
      <c r="M83" s="37"/>
      <c r="N83" s="37"/>
      <c r="O83" s="37"/>
      <c r="P83" s="37"/>
      <c r="Q83" s="37"/>
      <c r="R83" s="37"/>
      <c r="S83" s="37"/>
      <c r="T83" s="37"/>
      <c r="U83" s="37"/>
      <c r="V83" s="37"/>
      <c r="W83" s="37"/>
    </row>
    <row r="84" spans="2:23" ht="15.75" thickBot="1" x14ac:dyDescent="0.3">
      <c r="B84" s="7" t="s">
        <v>47</v>
      </c>
      <c r="K84" s="51"/>
      <c r="L84" s="37"/>
      <c r="M84" s="37"/>
      <c r="N84" s="37"/>
      <c r="O84" s="37"/>
      <c r="P84" s="37"/>
      <c r="Q84" s="37"/>
      <c r="R84" s="37"/>
      <c r="S84" s="37"/>
      <c r="T84" s="37"/>
      <c r="U84" s="37"/>
      <c r="V84" s="37"/>
      <c r="W84" s="37"/>
    </row>
    <row r="85" spans="2:23" x14ac:dyDescent="0.25">
      <c r="B85" t="s">
        <v>93</v>
      </c>
      <c r="C85" t="s">
        <v>44</v>
      </c>
      <c r="E85" s="10">
        <v>1647000</v>
      </c>
      <c r="F85" s="10">
        <v>3497000</v>
      </c>
      <c r="G85" s="10">
        <v>7798000</v>
      </c>
      <c r="H85" s="10">
        <v>11933000</v>
      </c>
      <c r="I85" s="10">
        <v>14150000</v>
      </c>
      <c r="J85" s="10">
        <v>2426000</v>
      </c>
      <c r="K85" s="49">
        <f>SUM(L85:V85)</f>
        <v>18774000</v>
      </c>
      <c r="L85" s="38">
        <f>(12200000-$J$85)/3</f>
        <v>3258000</v>
      </c>
      <c r="M85" s="38">
        <f t="shared" ref="M85:N85" si="39">(12200000-$J$85)/3</f>
        <v>3258000</v>
      </c>
      <c r="N85" s="38">
        <f t="shared" si="39"/>
        <v>3258000</v>
      </c>
      <c r="O85" s="38">
        <f>IF(Auxiliary!F3&gt;=2,2500000,300000)</f>
        <v>2500000</v>
      </c>
      <c r="P85" s="38">
        <f>IF(Auxiliary!F3=2,5000000,IF(Auxiliary!F3=1,1500000,IF(Auxiliary!F3=3,8000000,IF(Auxiliary!F3=4,9500000,IF(Auxiliary!F3&gt;=5,14150000*1.1*0.75,IF(Auxiliary!F3=0,0))))))</f>
        <v>5000000</v>
      </c>
      <c r="Q85" s="38">
        <f>IF(Auxiliary!F4=2,6700000,IF(Auxiliary!F4=1,1500000,IF(Auxiliary!F4=3,10500000,IF(Auxiliary!F4=4,13000000,IF(Auxiliary!F4&gt;=5,14150000*1.1,IF(Auxiliary!F4=0,0))))))</f>
        <v>1500000</v>
      </c>
      <c r="R85" s="38">
        <f>IF(Auxiliary!F5=2,6700000,IF(Auxiliary!F5=1,1500000,IF(Auxiliary!F5=3,10500000,IF(Auxiliary!F5=4,13000000,IF(Auxiliary!F5&gt;=5,14150000*1.1,IF(Auxiliary!F5=0,0))))))</f>
        <v>0</v>
      </c>
      <c r="S85" s="38">
        <f>IF(Auxiliary!F6=2,6700000,IF(Auxiliary!F6=1,1500000,IF(Auxiliary!F6=3,10500000,IF(Auxiliary!F6=4,13000000,IF(Auxiliary!F6&gt;=5,14150000*1.1,IF(Auxiliary!F6=0,0))))))</f>
        <v>0</v>
      </c>
      <c r="T85" s="38">
        <f>IF(Auxiliary!F7=2,6700000,IF(Auxiliary!F7=1,1500000,IF(Auxiliary!F7=3,10500000,IF(Auxiliary!F7=4,13000000,IF(Auxiliary!F7&gt;=5,14150000*1.1,IF(Auxiliary!F7=0,0))))))</f>
        <v>0</v>
      </c>
      <c r="U85" s="38">
        <f>IF(Auxiliary!F8=2,6700000,IF(Auxiliary!F8=1,1500000,IF(Auxiliary!F8=3,10500000,IF(Auxiliary!F8=4,13000000,IF(Auxiliary!F8&gt;=5,14150000*1.1,IF(Auxiliary!F8=0,0))))))</f>
        <v>0</v>
      </c>
      <c r="V85" s="38">
        <f>IF(Auxiliary!F9=2,6700000,IF(Auxiliary!F9=1,1500000,IF(Auxiliary!F9=3,10500000,IF(Auxiliary!F9=4,13000000,IF(Auxiliary!F9&gt;=5,14150000*1.1,IF(Auxiliary!F9=0,0))))))</f>
        <v>0</v>
      </c>
      <c r="W85" s="37"/>
    </row>
    <row r="86" spans="2:23" x14ac:dyDescent="0.25">
      <c r="B86" t="s">
        <v>153</v>
      </c>
      <c r="C86" t="s">
        <v>44</v>
      </c>
      <c r="K86" s="49">
        <f>SUM(L86:W86)</f>
        <v>2372451.6</v>
      </c>
      <c r="L86" s="37"/>
      <c r="M86" s="37"/>
      <c r="N86" s="37"/>
      <c r="O86" s="37"/>
      <c r="P86" s="38" t="str">
        <f>IF(AND(P30=0,O30&gt;0),1977043*1.2,"")</f>
        <v/>
      </c>
      <c r="Q86" s="38" t="str">
        <f t="shared" ref="Q86:V86" si="40">IF(AND(Q30=0,P30&gt;0),1977043*1.2,"")</f>
        <v/>
      </c>
      <c r="R86" s="38">
        <f t="shared" si="40"/>
        <v>2372451.6</v>
      </c>
      <c r="S86" s="38" t="str">
        <f t="shared" si="40"/>
        <v/>
      </c>
      <c r="T86" s="38" t="str">
        <f t="shared" si="40"/>
        <v/>
      </c>
      <c r="U86" s="38" t="str">
        <f t="shared" si="40"/>
        <v/>
      </c>
      <c r="V86" s="38" t="str">
        <f t="shared" si="40"/>
        <v/>
      </c>
      <c r="W86" s="37"/>
    </row>
    <row r="87" spans="2:23" x14ac:dyDescent="0.25">
      <c r="B87" t="s">
        <v>95</v>
      </c>
      <c r="C87" t="s">
        <v>20</v>
      </c>
      <c r="E87" s="14">
        <f>(E73-E71+SUM(E85:E86)+SUM(E76:E77))/(E51+E52*E15/E14)</f>
        <v>12.285877093732882</v>
      </c>
      <c r="F87" s="14">
        <f>(F73-F71+SUM(F85:F86)+SUM(F76:F77))/(F51+F52*F15/F14)</f>
        <v>13.169423377127352</v>
      </c>
      <c r="G87" s="14">
        <f t="shared" ref="G87:J87" si="41">(G73-G71+SUM(G85:G86)+SUM(G76:G77))/(G51+G52*G15/G14)</f>
        <v>19.12032192118329</v>
      </c>
      <c r="H87" s="14">
        <f t="shared" si="41"/>
        <v>22.054824594410722</v>
      </c>
      <c r="I87" s="14">
        <f t="shared" si="41"/>
        <v>24.938405988824968</v>
      </c>
      <c r="J87" s="14">
        <f t="shared" si="41"/>
        <v>24.632642689423033</v>
      </c>
      <c r="K87" s="47">
        <f>AVERAGE(L87:W87)</f>
        <v>23.116037437881648</v>
      </c>
      <c r="L87" s="43">
        <f>IF(OR(L51&gt;0,L52&gt;0),(L73-L71+SUM(L85:L86)+SUM(L76:L77))/(L51+L52*L15/L14),"")</f>
        <v>24.438385703700011</v>
      </c>
      <c r="M87" s="43">
        <f t="shared" ref="M87:V87" si="42">IF(OR(M51&gt;0,M52&gt;0),(M73-M71+SUM(M85:M86)+SUM(M76:M77))/(M51+M52*M15/M14),"")</f>
        <v>24.71428547986276</v>
      </c>
      <c r="N87" s="43">
        <f t="shared" si="42"/>
        <v>25.90987119592581</v>
      </c>
      <c r="O87" s="43">
        <f t="shared" si="42"/>
        <v>25.426139078173097</v>
      </c>
      <c r="P87" s="43">
        <f t="shared" si="42"/>
        <v>18.730733159265004</v>
      </c>
      <c r="Q87" s="43">
        <f t="shared" si="42"/>
        <v>19.476810010363238</v>
      </c>
      <c r="R87" s="43" t="str">
        <f t="shared" si="42"/>
        <v/>
      </c>
      <c r="S87" s="43" t="str">
        <f t="shared" si="42"/>
        <v/>
      </c>
      <c r="T87" s="43" t="str">
        <f t="shared" si="42"/>
        <v/>
      </c>
      <c r="U87" s="43" t="str">
        <f t="shared" si="42"/>
        <v/>
      </c>
      <c r="V87" s="43" t="str">
        <f t="shared" si="42"/>
        <v/>
      </c>
      <c r="W87" s="37"/>
    </row>
    <row r="88" spans="2:23" x14ac:dyDescent="0.25">
      <c r="K88" s="51"/>
      <c r="L88" s="37"/>
      <c r="M88" s="37"/>
      <c r="N88" s="37"/>
      <c r="O88" s="37"/>
      <c r="P88" s="37"/>
      <c r="Q88" s="37"/>
      <c r="R88" s="37"/>
      <c r="S88" s="37"/>
      <c r="T88" s="37"/>
      <c r="U88" s="37"/>
      <c r="V88" s="37"/>
      <c r="W88" s="37"/>
    </row>
    <row r="89" spans="2:23" ht="15.75" thickBot="1" x14ac:dyDescent="0.3">
      <c r="B89" s="7" t="s">
        <v>48</v>
      </c>
      <c r="K89" s="51"/>
      <c r="L89" s="37"/>
      <c r="M89" s="37"/>
      <c r="N89" s="37"/>
      <c r="O89" s="37"/>
      <c r="P89" s="37"/>
      <c r="Q89" s="37"/>
      <c r="R89" s="37"/>
      <c r="S89" s="37"/>
      <c r="T89" s="37"/>
      <c r="U89" s="37"/>
      <c r="V89" s="37"/>
      <c r="W89" s="37"/>
    </row>
    <row r="90" spans="2:23" x14ac:dyDescent="0.25">
      <c r="B90" s="22" t="s">
        <v>48</v>
      </c>
      <c r="C90" s="22" t="s">
        <v>44</v>
      </c>
      <c r="E90" s="10">
        <f>E82+E71-SUM(E85:E86)</f>
        <v>15276000</v>
      </c>
      <c r="F90" s="10">
        <f t="shared" ref="F90:V90" si="43">F82+F71-SUM(F85:F86)</f>
        <v>8867000</v>
      </c>
      <c r="G90" s="10">
        <f t="shared" si="43"/>
        <v>-50000</v>
      </c>
      <c r="H90" s="10">
        <f t="shared" si="43"/>
        <v>3490000</v>
      </c>
      <c r="I90" s="10">
        <f t="shared" si="43"/>
        <v>628000</v>
      </c>
      <c r="J90" s="10">
        <f t="shared" si="43"/>
        <v>2480000</v>
      </c>
      <c r="K90" s="49">
        <f>SUM(L90:W90)</f>
        <v>17711383.846857294</v>
      </c>
      <c r="L90" s="38">
        <f t="shared" si="43"/>
        <v>-1471553.9436500845</v>
      </c>
      <c r="M90" s="38">
        <f t="shared" si="43"/>
        <v>-1645407.0460358476</v>
      </c>
      <c r="N90" s="38">
        <f t="shared" si="43"/>
        <v>-1692827.0920360941</v>
      </c>
      <c r="O90" s="38">
        <f t="shared" si="43"/>
        <v>-238463.26768710604</v>
      </c>
      <c r="P90" s="38">
        <f t="shared" si="43"/>
        <v>11286169.324355477</v>
      </c>
      <c r="Q90" s="38">
        <f t="shared" si="43"/>
        <v>13845917.471910954</v>
      </c>
      <c r="R90" s="38">
        <f t="shared" si="43"/>
        <v>-2372451.6</v>
      </c>
      <c r="S90" s="38">
        <f t="shared" si="43"/>
        <v>0</v>
      </c>
      <c r="T90" s="38">
        <f t="shared" si="43"/>
        <v>0</v>
      </c>
      <c r="U90" s="38">
        <f t="shared" si="43"/>
        <v>0</v>
      </c>
      <c r="V90" s="38">
        <f t="shared" si="43"/>
        <v>0</v>
      </c>
      <c r="W90" s="37"/>
    </row>
    <row r="91" spans="2:23" x14ac:dyDescent="0.25">
      <c r="B91" s="3" t="s">
        <v>50</v>
      </c>
      <c r="C91" s="3" t="s">
        <v>44</v>
      </c>
      <c r="D91" s="34"/>
      <c r="K91" s="49">
        <f>SUM(L91:W91)</f>
        <v>15006136.660997311</v>
      </c>
      <c r="L91" s="49">
        <f>L90</f>
        <v>-1471553.9436500845</v>
      </c>
      <c r="M91" s="49">
        <f>M90/(1+$D$4)^(0.25)</f>
        <v>-1606661.5766619432</v>
      </c>
      <c r="N91" s="49">
        <f>N90/(1+$D$4)^(0.5)</f>
        <v>-1614041.5507706387</v>
      </c>
      <c r="O91" s="49">
        <f>O90/(1+$D$4)^(0.75)</f>
        <v>-222011.08311472222</v>
      </c>
      <c r="P91" s="49">
        <f>P90/(1+$D$4)^(1)</f>
        <v>10260080.808648789</v>
      </c>
      <c r="Q91" s="49">
        <f>Q90/(1+$D$4)^(2)</f>
        <v>11442743.898384895</v>
      </c>
      <c r="R91" s="49">
        <f>R90/(1+$D$4)^(3)</f>
        <v>-1782419.8918389848</v>
      </c>
      <c r="S91" s="49">
        <f>S90/(1+$D$4)^(4)</f>
        <v>0</v>
      </c>
      <c r="T91" s="49">
        <f>T90/(1+$D$4)^(5)</f>
        <v>0</v>
      </c>
      <c r="U91" s="49">
        <f>U90/(1+$D$4)^(6)</f>
        <v>0</v>
      </c>
      <c r="V91" s="49">
        <f>V90/(1+$D$4)^(7)</f>
        <v>0</v>
      </c>
      <c r="W91" s="37"/>
    </row>
    <row r="94" spans="2:23" x14ac:dyDescent="0.25">
      <c r="E94" s="14"/>
      <c r="F94" s="14"/>
      <c r="G94" s="14"/>
      <c r="H94" s="14"/>
      <c r="I94" s="14"/>
      <c r="J94" s="14"/>
      <c r="K94" s="14"/>
    </row>
    <row r="96" spans="2:23" x14ac:dyDescent="0.25">
      <c r="G96" s="14"/>
    </row>
  </sheetData>
  <dataValidations disablePrompts="1" count="1">
    <dataValidation type="list" allowBlank="1" showInputMessage="1" showErrorMessage="1" sqref="M10 G10" xr:uid="{8412035F-5158-41BC-BF1D-AF43E51065F9}">
      <formula1>"Bear case, Base case, Bull case"</formula1>
    </dataValidation>
  </dataValidations>
  <pageMargins left="0.7" right="0.7" top="0.75" bottom="0.75" header="0.3" footer="0.3"/>
  <pageSetup orientation="portrait" r:id="rId1"/>
  <ignoredErrors>
    <ignoredError sqref="H29 U30 U31:U32 U64 K35:K36 K73 K81 K90 K57" formula="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A68-AF4D-4ED8-8653-458D518E174E}">
  <dimension ref="A1:AJ98"/>
  <sheetViews>
    <sheetView showGridLines="0" zoomScale="89" zoomScaleNormal="89" workbookViewId="0">
      <selection activeCell="I25" sqref="I25"/>
    </sheetView>
  </sheetViews>
  <sheetFormatPr defaultRowHeight="15" x14ac:dyDescent="0.25"/>
  <cols>
    <col min="1" max="1" width="10.42578125" customWidth="1"/>
    <col min="2" max="2" width="45.5703125" bestFit="1" customWidth="1"/>
    <col min="3" max="3" width="12.5703125" bestFit="1" customWidth="1"/>
    <col min="4" max="4" width="15.28515625" bestFit="1" customWidth="1"/>
    <col min="5" max="5" width="19.5703125" bestFit="1" customWidth="1"/>
    <col min="6" max="6" width="19.5703125" customWidth="1"/>
    <col min="7" max="7" width="18.5703125" bestFit="1" customWidth="1"/>
    <col min="8" max="8" width="17.28515625" bestFit="1" customWidth="1"/>
    <col min="9" max="9" width="17.7109375" bestFit="1" customWidth="1"/>
    <col min="10" max="10" width="12" bestFit="1" customWidth="1"/>
    <col min="11" max="11" width="16.140625" bestFit="1" customWidth="1"/>
    <col min="12" max="12" width="15.42578125" bestFit="1" customWidth="1"/>
    <col min="13" max="13" width="19.7109375" bestFit="1" customWidth="1"/>
    <col min="14" max="14" width="18.7109375" bestFit="1" customWidth="1"/>
    <col min="15" max="15" width="18.5703125" bestFit="1" customWidth="1"/>
    <col min="16" max="16" width="17.7109375" bestFit="1" customWidth="1"/>
    <col min="17" max="22" width="12.85546875" bestFit="1" customWidth="1"/>
    <col min="23" max="23" width="11.85546875" bestFit="1" customWidth="1"/>
    <col min="24" max="24" width="11.140625" bestFit="1" customWidth="1"/>
    <col min="35" max="36" width="8.7109375" customWidth="1"/>
  </cols>
  <sheetData>
    <row r="1" spans="1:36" ht="23.25" x14ac:dyDescent="0.35">
      <c r="A1" s="1" t="s">
        <v>143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x14ac:dyDescent="0.25">
      <c r="A2" s="3" t="s">
        <v>0</v>
      </c>
    </row>
    <row r="3" spans="1:36" x14ac:dyDescent="0.25">
      <c r="A3" t="s">
        <v>112</v>
      </c>
      <c r="C3" s="3" t="s">
        <v>113</v>
      </c>
      <c r="D3" s="3">
        <v>0</v>
      </c>
    </row>
    <row r="4" spans="1:36" x14ac:dyDescent="0.25">
      <c r="A4" t="s">
        <v>1</v>
      </c>
      <c r="C4" s="3" t="s">
        <v>2</v>
      </c>
      <c r="D4" s="31">
        <f>WACC!C22</f>
        <v>0.1000078395914526</v>
      </c>
    </row>
    <row r="6" spans="1:36" x14ac:dyDescent="0.25">
      <c r="C6" s="3" t="s">
        <v>68</v>
      </c>
      <c r="D6" s="3" t="s">
        <v>24</v>
      </c>
      <c r="E6" s="3" t="s">
        <v>69</v>
      </c>
      <c r="F6" s="3" t="s">
        <v>70</v>
      </c>
      <c r="G6" s="3" t="s">
        <v>71</v>
      </c>
      <c r="H6" s="3" t="s">
        <v>72</v>
      </c>
      <c r="J6" s="3" t="s">
        <v>68</v>
      </c>
      <c r="K6" s="3" t="s">
        <v>24</v>
      </c>
      <c r="L6" s="3" t="s">
        <v>69</v>
      </c>
      <c r="M6" s="3" t="s">
        <v>70</v>
      </c>
      <c r="N6" s="3" t="s">
        <v>71</v>
      </c>
      <c r="O6" s="3" t="s">
        <v>72</v>
      </c>
    </row>
    <row r="7" spans="1:36" x14ac:dyDescent="0.25">
      <c r="C7" t="s">
        <v>26</v>
      </c>
      <c r="D7" s="10">
        <f>7380000</f>
        <v>7380000</v>
      </c>
      <c r="E7">
        <f>197</f>
        <v>197</v>
      </c>
      <c r="F7">
        <f>2.25</f>
        <v>2.25</v>
      </c>
      <c r="G7" s="10">
        <f>D7*E7/Auxiliary!$C$4</f>
        <v>46742684.406265475</v>
      </c>
      <c r="H7" s="10">
        <f>D7*F7/Auxiliary!$C$4</f>
        <v>533863.14677206764</v>
      </c>
      <c r="J7" s="17" t="s">
        <v>29</v>
      </c>
      <c r="K7" s="10">
        <f>5303000</f>
        <v>5303000</v>
      </c>
      <c r="L7" s="10">
        <f>254.3</f>
        <v>254.3</v>
      </c>
      <c r="M7" s="14">
        <f>3.675</f>
        <v>3.6749999999999998</v>
      </c>
      <c r="N7" s="10">
        <f>K7*L7/Auxiliary!$C$4</f>
        <v>43356982.522288315</v>
      </c>
      <c r="O7" s="10">
        <f>K7*M7/Auxiliary!$C$4</f>
        <v>626570.62827137066</v>
      </c>
    </row>
    <row r="8" spans="1:36" x14ac:dyDescent="0.25">
      <c r="J8" t="s">
        <v>30</v>
      </c>
      <c r="K8" s="11">
        <f>1058000</f>
        <v>1058000</v>
      </c>
      <c r="L8" s="11">
        <f>212.2</f>
        <v>212.2</v>
      </c>
      <c r="M8" s="12">
        <f>2.5</f>
        <v>2.5</v>
      </c>
      <c r="N8" s="11">
        <f>K8*L8/Auxiliary!$C$4</f>
        <v>7218086.9503309038</v>
      </c>
      <c r="O8" s="11">
        <f>K8*M8/Auxiliary!$C$4</f>
        <v>85038.72467402101</v>
      </c>
    </row>
    <row r="9" spans="1:36" x14ac:dyDescent="0.25">
      <c r="J9" s="20" t="s">
        <v>27</v>
      </c>
      <c r="K9" s="10">
        <f>SUM(K7:K8)</f>
        <v>6361000</v>
      </c>
      <c r="L9" s="21">
        <f>(L7*K7+L8*K8)/K9</f>
        <v>247.29767332180475</v>
      </c>
      <c r="M9" s="14">
        <f>(M7*K7+M8*K8)/K9</f>
        <v>3.4795668919981133</v>
      </c>
      <c r="N9" s="10">
        <f>SUM(N7:N8)</f>
        <v>50575069.472619221</v>
      </c>
      <c r="O9" s="10">
        <f>SUM(O7:O8)</f>
        <v>711609.35294539167</v>
      </c>
    </row>
    <row r="11" spans="1:36" x14ac:dyDescent="0.25">
      <c r="B11" s="6" t="s">
        <v>7</v>
      </c>
      <c r="C11" s="6" t="s">
        <v>8</v>
      </c>
      <c r="D11" s="6"/>
      <c r="E11" s="6" t="s">
        <v>55</v>
      </c>
      <c r="F11" s="6" t="s">
        <v>9</v>
      </c>
      <c r="G11" s="6" t="s">
        <v>56</v>
      </c>
      <c r="H11" s="6" t="s">
        <v>60</v>
      </c>
      <c r="I11" s="6" t="s">
        <v>61</v>
      </c>
      <c r="J11" s="6" t="s">
        <v>114</v>
      </c>
      <c r="K11" s="6" t="s">
        <v>57</v>
      </c>
      <c r="L11" s="6" t="s">
        <v>14</v>
      </c>
      <c r="M11" s="6" t="s">
        <v>15</v>
      </c>
      <c r="N11" s="6" t="s">
        <v>16</v>
      </c>
      <c r="O11" s="6" t="s">
        <v>17</v>
      </c>
      <c r="P11" s="6" t="s">
        <v>18</v>
      </c>
      <c r="Q11" s="6" t="s">
        <v>58</v>
      </c>
      <c r="R11" s="6" t="s">
        <v>59</v>
      </c>
      <c r="S11" s="6" t="s">
        <v>115</v>
      </c>
      <c r="T11" s="6" t="s">
        <v>116</v>
      </c>
      <c r="U11" s="6" t="s">
        <v>117</v>
      </c>
      <c r="V11" s="6" t="s">
        <v>118</v>
      </c>
      <c r="W11" s="6" t="s">
        <v>120</v>
      </c>
      <c r="X11" s="6" t="s">
        <v>121</v>
      </c>
      <c r="Y11" s="6" t="s">
        <v>122</v>
      </c>
      <c r="Z11" s="6" t="s">
        <v>123</v>
      </c>
      <c r="AA11" s="6" t="s">
        <v>124</v>
      </c>
      <c r="AB11" s="6" t="s">
        <v>125</v>
      </c>
      <c r="AC11" s="6" t="s">
        <v>126</v>
      </c>
      <c r="AD11" s="6" t="s">
        <v>127</v>
      </c>
      <c r="AE11" s="6" t="s">
        <v>128</v>
      </c>
      <c r="AF11" s="6" t="s">
        <v>129</v>
      </c>
      <c r="AG11" s="6" t="s">
        <v>130</v>
      </c>
      <c r="AH11" s="6" t="s">
        <v>131</v>
      </c>
      <c r="AI11" s="6"/>
      <c r="AJ11" s="6"/>
    </row>
    <row r="12" spans="1:36" x14ac:dyDescent="0.25">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row>
    <row r="13" spans="1:36" ht="15.75" thickBot="1" x14ac:dyDescent="0.3">
      <c r="B13" s="7" t="s">
        <v>19</v>
      </c>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row>
    <row r="14" spans="1:36" x14ac:dyDescent="0.25">
      <c r="B14" t="s">
        <v>53</v>
      </c>
      <c r="C14" t="s">
        <v>20</v>
      </c>
      <c r="E14">
        <v>24.38</v>
      </c>
      <c r="F14" s="47">
        <f>AVERAGE(G14:W14)</f>
        <v>24.529411764705884</v>
      </c>
      <c r="G14" s="37">
        <v>22</v>
      </c>
      <c r="H14" s="37">
        <v>22</v>
      </c>
      <c r="I14" s="42">
        <v>23</v>
      </c>
      <c r="J14" s="37">
        <v>25</v>
      </c>
      <c r="K14" s="37">
        <f>J14</f>
        <v>25</v>
      </c>
      <c r="L14" s="37">
        <f t="shared" ref="L14:Q15" si="0">K14</f>
        <v>25</v>
      </c>
      <c r="M14" s="37">
        <f t="shared" si="0"/>
        <v>25</v>
      </c>
      <c r="N14" s="37">
        <f t="shared" si="0"/>
        <v>25</v>
      </c>
      <c r="O14" s="37">
        <f t="shared" si="0"/>
        <v>25</v>
      </c>
      <c r="P14" s="37">
        <f t="shared" si="0"/>
        <v>25</v>
      </c>
      <c r="Q14" s="37">
        <f t="shared" si="0"/>
        <v>25</v>
      </c>
      <c r="R14" s="37">
        <f>Q14</f>
        <v>25</v>
      </c>
      <c r="S14" s="37">
        <f t="shared" ref="S14:W15" si="1">R14</f>
        <v>25</v>
      </c>
      <c r="T14" s="37">
        <f t="shared" si="1"/>
        <v>25</v>
      </c>
      <c r="U14" s="37">
        <f t="shared" si="1"/>
        <v>25</v>
      </c>
      <c r="V14" s="37">
        <f t="shared" si="1"/>
        <v>25</v>
      </c>
      <c r="W14" s="37">
        <f t="shared" si="1"/>
        <v>25</v>
      </c>
      <c r="X14" s="37"/>
      <c r="Y14" s="37"/>
      <c r="Z14" s="37"/>
      <c r="AA14" s="37"/>
      <c r="AB14" s="37"/>
      <c r="AC14" s="37"/>
      <c r="AD14" s="37"/>
      <c r="AE14" s="37"/>
      <c r="AF14" s="37"/>
      <c r="AG14" s="37"/>
      <c r="AH14" s="37"/>
    </row>
    <row r="15" spans="1:36" x14ac:dyDescent="0.25">
      <c r="B15" t="s">
        <v>54</v>
      </c>
      <c r="C15" t="s">
        <v>20</v>
      </c>
      <c r="E15" s="10">
        <v>1970</v>
      </c>
      <c r="F15" s="49">
        <f>AVERAGE(G15:W15)</f>
        <v>1765.8823529411766</v>
      </c>
      <c r="G15" s="38">
        <v>1870</v>
      </c>
      <c r="H15" s="38">
        <v>1850</v>
      </c>
      <c r="I15" s="38">
        <v>1800</v>
      </c>
      <c r="J15" s="38">
        <f>1750</f>
        <v>1750</v>
      </c>
      <c r="K15" s="38">
        <f>J15</f>
        <v>1750</v>
      </c>
      <c r="L15" s="38">
        <f t="shared" si="0"/>
        <v>1750</v>
      </c>
      <c r="M15" s="38">
        <f t="shared" si="0"/>
        <v>1750</v>
      </c>
      <c r="N15" s="38">
        <f t="shared" si="0"/>
        <v>1750</v>
      </c>
      <c r="O15" s="38">
        <f t="shared" si="0"/>
        <v>1750</v>
      </c>
      <c r="P15" s="38">
        <f t="shared" si="0"/>
        <v>1750</v>
      </c>
      <c r="Q15" s="38">
        <f t="shared" si="0"/>
        <v>1750</v>
      </c>
      <c r="R15" s="38">
        <f t="shared" ref="R15" si="2">Q15</f>
        <v>1750</v>
      </c>
      <c r="S15" s="38">
        <f t="shared" si="1"/>
        <v>1750</v>
      </c>
      <c r="T15" s="38">
        <f t="shared" si="1"/>
        <v>1750</v>
      </c>
      <c r="U15" s="38">
        <f t="shared" si="1"/>
        <v>1750</v>
      </c>
      <c r="V15" s="38">
        <f t="shared" si="1"/>
        <v>1750</v>
      </c>
      <c r="W15" s="38">
        <f t="shared" si="1"/>
        <v>1750</v>
      </c>
      <c r="X15" s="38"/>
      <c r="Y15" s="37"/>
      <c r="Z15" s="37"/>
      <c r="AA15" s="37"/>
      <c r="AB15" s="37"/>
      <c r="AC15" s="37"/>
      <c r="AD15" s="37"/>
      <c r="AE15" s="37"/>
      <c r="AF15" s="37"/>
      <c r="AG15" s="37"/>
      <c r="AH15" s="37"/>
    </row>
    <row r="16" spans="1:36" x14ac:dyDescent="0.25">
      <c r="F16" s="51"/>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row>
    <row r="17" spans="2:34" ht="15.75" thickBot="1" x14ac:dyDescent="0.3">
      <c r="B17" s="7" t="s">
        <v>74</v>
      </c>
      <c r="F17" s="51"/>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row>
    <row r="18" spans="2:34" x14ac:dyDescent="0.25">
      <c r="B18" t="s">
        <v>26</v>
      </c>
      <c r="C18" t="s">
        <v>35</v>
      </c>
      <c r="E18" s="10">
        <f>D7</f>
        <v>7380000</v>
      </c>
      <c r="F18" s="49">
        <f>D7</f>
        <v>7380000</v>
      </c>
      <c r="G18" s="38">
        <f>E18</f>
        <v>7380000</v>
      </c>
      <c r="H18" s="38">
        <f t="shared" ref="H18:J18" si="3">G18</f>
        <v>7380000</v>
      </c>
      <c r="I18" s="38">
        <f t="shared" si="3"/>
        <v>7380000</v>
      </c>
      <c r="J18" s="38">
        <f t="shared" si="3"/>
        <v>7380000</v>
      </c>
      <c r="K18" s="38">
        <f>J18</f>
        <v>7380000</v>
      </c>
      <c r="L18" s="38">
        <f>IF(K18-K22&gt;=0,K18-K22,0)</f>
        <v>7268000</v>
      </c>
      <c r="M18" s="38">
        <f t="shared" ref="M18:W18" si="4">IF(L18-L22&gt;=0,L18-L22,0)</f>
        <v>6647000</v>
      </c>
      <c r="N18" s="38">
        <f t="shared" si="4"/>
        <v>6026000</v>
      </c>
      <c r="O18" s="38">
        <f t="shared" si="4"/>
        <v>5405000</v>
      </c>
      <c r="P18" s="38">
        <f t="shared" si="4"/>
        <v>4784000</v>
      </c>
      <c r="Q18" s="38">
        <f t="shared" si="4"/>
        <v>4163000</v>
      </c>
      <c r="R18" s="38">
        <f t="shared" si="4"/>
        <v>3542000</v>
      </c>
      <c r="S18" s="38">
        <f t="shared" si="4"/>
        <v>2921000</v>
      </c>
      <c r="T18" s="38">
        <f t="shared" si="4"/>
        <v>2300000</v>
      </c>
      <c r="U18" s="38">
        <f t="shared" si="4"/>
        <v>1679000</v>
      </c>
      <c r="V18" s="38">
        <f t="shared" si="4"/>
        <v>1058000</v>
      </c>
      <c r="W18" s="38">
        <f t="shared" si="4"/>
        <v>437000</v>
      </c>
      <c r="X18" s="38"/>
      <c r="Y18" s="37"/>
      <c r="Z18" s="37"/>
      <c r="AA18" s="37"/>
      <c r="AB18" s="37"/>
      <c r="AC18" s="37"/>
      <c r="AD18" s="37"/>
      <c r="AE18" s="37"/>
      <c r="AF18" s="37"/>
      <c r="AG18" s="37"/>
      <c r="AH18" s="37"/>
    </row>
    <row r="19" spans="2:34" x14ac:dyDescent="0.25">
      <c r="F19" s="51"/>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row>
    <row r="20" spans="2:34" ht="15.75" thickBot="1" x14ac:dyDescent="0.3">
      <c r="B20" s="7" t="s">
        <v>31</v>
      </c>
      <c r="F20" s="51"/>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row>
    <row r="21" spans="2:34" x14ac:dyDescent="0.25">
      <c r="B21" t="s">
        <v>32</v>
      </c>
      <c r="C21" t="s">
        <v>33</v>
      </c>
      <c r="F21" s="49">
        <f>AVERAGE(G21:W21)</f>
        <v>1562.3311070245722</v>
      </c>
      <c r="G21" s="37"/>
      <c r="H21" s="37"/>
      <c r="I21" s="37"/>
      <c r="J21" s="37"/>
      <c r="K21" s="38">
        <f>K22/275</f>
        <v>407.27272727272725</v>
      </c>
      <c r="L21" s="38">
        <f>L22/366</f>
        <v>1696.7213114754099</v>
      </c>
      <c r="M21" s="38">
        <f>M22/365</f>
        <v>1701.3698630136987</v>
      </c>
      <c r="N21" s="38">
        <f t="shared" ref="N21:O21" si="5">N22/365</f>
        <v>1701.3698630136987</v>
      </c>
      <c r="O21" s="38">
        <f t="shared" si="5"/>
        <v>1701.3698630136987</v>
      </c>
      <c r="P21" s="38">
        <f>P22/366</f>
        <v>1696.7213114754099</v>
      </c>
      <c r="Q21" s="38">
        <f>Q22/365</f>
        <v>1701.3698630136987</v>
      </c>
      <c r="R21" s="38">
        <f t="shared" ref="R21:S21" si="6">R22/365</f>
        <v>1701.3698630136987</v>
      </c>
      <c r="S21" s="38">
        <f t="shared" si="6"/>
        <v>1701.3698630136987</v>
      </c>
      <c r="T21" s="38">
        <f>T22/365</f>
        <v>1701.3698630136987</v>
      </c>
      <c r="U21" s="38">
        <f>U22/365</f>
        <v>1701.3698630136987</v>
      </c>
      <c r="V21" s="38">
        <f t="shared" ref="V21:W21" si="7">V22/365</f>
        <v>1701.3698630136987</v>
      </c>
      <c r="W21" s="38">
        <f t="shared" si="7"/>
        <v>1197.2602739726028</v>
      </c>
      <c r="X21" s="38"/>
      <c r="Y21" s="37"/>
      <c r="Z21" s="37"/>
      <c r="AA21" s="37"/>
      <c r="AB21" s="37"/>
      <c r="AC21" s="37"/>
      <c r="AD21" s="37"/>
      <c r="AE21" s="37"/>
      <c r="AF21" s="37"/>
      <c r="AG21" s="37"/>
      <c r="AH21" s="37"/>
    </row>
    <row r="22" spans="2:34" x14ac:dyDescent="0.25">
      <c r="B22" t="s">
        <v>34</v>
      </c>
      <c r="C22" t="s">
        <v>35</v>
      </c>
      <c r="F22" s="49">
        <f>SUM(G22:W22)</f>
        <v>7380000</v>
      </c>
      <c r="G22" s="37"/>
      <c r="H22" s="37"/>
      <c r="I22" s="37"/>
      <c r="J22" s="37"/>
      <c r="K22" s="38">
        <v>112000</v>
      </c>
      <c r="L22" s="38">
        <v>621000</v>
      </c>
      <c r="M22" s="38">
        <v>621000</v>
      </c>
      <c r="N22" s="38">
        <v>621000</v>
      </c>
      <c r="O22" s="38">
        <v>621000</v>
      </c>
      <c r="P22" s="38">
        <v>621000</v>
      </c>
      <c r="Q22" s="38">
        <v>621000</v>
      </c>
      <c r="R22" s="38">
        <v>621000</v>
      </c>
      <c r="S22" s="38">
        <v>621000</v>
      </c>
      <c r="T22" s="38">
        <v>621000</v>
      </c>
      <c r="U22" s="38">
        <v>621000</v>
      </c>
      <c r="V22" s="38">
        <v>621000</v>
      </c>
      <c r="W22" s="38">
        <v>437000</v>
      </c>
      <c r="X22" s="38"/>
      <c r="Y22" s="37"/>
      <c r="Z22" s="37"/>
      <c r="AA22" s="37"/>
      <c r="AB22" s="37"/>
      <c r="AC22" s="37"/>
      <c r="AD22" s="37"/>
      <c r="AE22" s="37"/>
      <c r="AF22" s="37"/>
      <c r="AG22" s="37"/>
      <c r="AH22" s="37"/>
    </row>
    <row r="23" spans="2:34" x14ac:dyDescent="0.25">
      <c r="B23" t="s">
        <v>36</v>
      </c>
      <c r="C23" t="s">
        <v>37</v>
      </c>
      <c r="F23" s="48">
        <f>AVERAGE(G23:W23)</f>
        <v>196.30769230769232</v>
      </c>
      <c r="G23" s="37"/>
      <c r="H23" s="37"/>
      <c r="I23" s="37"/>
      <c r="J23" s="37"/>
      <c r="K23" s="37">
        <v>214</v>
      </c>
      <c r="L23" s="37">
        <v>236</v>
      </c>
      <c r="M23" s="37">
        <v>264</v>
      </c>
      <c r="N23" s="37">
        <v>279</v>
      </c>
      <c r="O23" s="37">
        <v>221</v>
      </c>
      <c r="P23" s="37">
        <v>174</v>
      </c>
      <c r="Q23" s="37">
        <v>198</v>
      </c>
      <c r="R23" s="37">
        <v>212</v>
      </c>
      <c r="S23" s="37">
        <v>178</v>
      </c>
      <c r="T23" s="37">
        <v>158</v>
      </c>
      <c r="U23" s="37">
        <v>138</v>
      </c>
      <c r="V23" s="37">
        <v>154</v>
      </c>
      <c r="W23" s="37">
        <v>126</v>
      </c>
      <c r="X23" s="37"/>
      <c r="Y23" s="37"/>
      <c r="Z23" s="37"/>
      <c r="AA23" s="37"/>
      <c r="AB23" s="37"/>
      <c r="AC23" s="37"/>
      <c r="AD23" s="37"/>
      <c r="AE23" s="37"/>
      <c r="AF23" s="37"/>
      <c r="AG23" s="37"/>
      <c r="AH23" s="37"/>
    </row>
    <row r="24" spans="2:34" x14ac:dyDescent="0.25">
      <c r="B24" t="s">
        <v>38</v>
      </c>
      <c r="C24" t="s">
        <v>37</v>
      </c>
      <c r="F24" s="47">
        <f>AVERAGE(G24:W24)</f>
        <v>2.5430769230769235</v>
      </c>
      <c r="G24" s="37"/>
      <c r="H24" s="37"/>
      <c r="I24" s="37"/>
      <c r="J24" s="37"/>
      <c r="K24" s="37">
        <v>7.07</v>
      </c>
      <c r="L24" s="37">
        <v>3.98</v>
      </c>
      <c r="M24" s="37">
        <v>2.0299999999999998</v>
      </c>
      <c r="N24" s="37">
        <v>1.85</v>
      </c>
      <c r="O24" s="37">
        <v>2.57</v>
      </c>
      <c r="P24" s="37">
        <v>2.74</v>
      </c>
      <c r="Q24" s="37">
        <v>2.0299999999999998</v>
      </c>
      <c r="R24" s="37">
        <v>1.68</v>
      </c>
      <c r="S24" s="37">
        <v>1.73</v>
      </c>
      <c r="T24" s="37">
        <v>1.91</v>
      </c>
      <c r="U24" s="37">
        <v>1.94</v>
      </c>
      <c r="V24" s="37">
        <v>1.72</v>
      </c>
      <c r="W24" s="37">
        <v>1.81</v>
      </c>
      <c r="X24" s="37"/>
      <c r="Y24" s="37"/>
      <c r="Z24" s="37"/>
      <c r="AA24" s="37"/>
      <c r="AB24" s="37"/>
      <c r="AC24" s="37"/>
      <c r="AD24" s="37"/>
      <c r="AE24" s="37"/>
      <c r="AF24" s="37"/>
      <c r="AG24" s="37"/>
      <c r="AH24" s="37"/>
    </row>
    <row r="25" spans="2:34" x14ac:dyDescent="0.25">
      <c r="F25" s="51"/>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row>
    <row r="26" spans="2:34" ht="15.75" thickBot="1" x14ac:dyDescent="0.3">
      <c r="B26" s="7" t="s">
        <v>39</v>
      </c>
      <c r="F26" s="51"/>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row>
    <row r="27" spans="2:34" x14ac:dyDescent="0.25">
      <c r="B27" t="s">
        <v>21</v>
      </c>
      <c r="C27" t="s">
        <v>40</v>
      </c>
      <c r="F27" s="49">
        <f>SUM(G27:W27)</f>
        <v>46704810.826807633</v>
      </c>
      <c r="G27" s="37"/>
      <c r="H27" s="37"/>
      <c r="I27" s="37"/>
      <c r="J27" s="37"/>
      <c r="K27" s="38">
        <f>K22*K23/Auxiliary!$C$4</f>
        <v>770589.09375687549</v>
      </c>
      <c r="L27" s="38">
        <f>L22*L23/Auxiliary!$C$4</f>
        <v>4711884.8141118428</v>
      </c>
      <c r="M27" s="38">
        <f>M22*M23/Auxiliary!$C$4</f>
        <v>5270921.9954471458</v>
      </c>
      <c r="N27" s="38">
        <f>N22*N23/Auxiliary!$C$4</f>
        <v>5570406.1997339157</v>
      </c>
      <c r="O27" s="38">
        <f>O22*O23/Auxiliary!$C$4</f>
        <v>4412400.6098250728</v>
      </c>
      <c r="P27" s="38">
        <f>P22*P23/Auxiliary!$C$4</f>
        <v>3474016.7697265279</v>
      </c>
      <c r="Q27" s="38">
        <f>Q22*Q23/Auxiliary!$C$4</f>
        <v>3953191.4965853593</v>
      </c>
      <c r="R27" s="38">
        <f>R22*R23/Auxiliary!$C$4</f>
        <v>4232710.0872530108</v>
      </c>
      <c r="S27" s="38">
        <f>S22*S23/Auxiliary!$C$4</f>
        <v>3553879.2242029998</v>
      </c>
      <c r="T27" s="38">
        <f>T22*T23/Auxiliary!$C$4</f>
        <v>3154566.9518206404</v>
      </c>
      <c r="U27" s="38">
        <f>U22*U23/Auxiliary!$C$4</f>
        <v>2755254.6794382809</v>
      </c>
      <c r="V27" s="38">
        <f>V22*V23/Auxiliary!$C$4</f>
        <v>3074704.4973441684</v>
      </c>
      <c r="W27" s="38">
        <f>W22*W23/Auxiliary!$C$4</f>
        <v>1770284.4075617939</v>
      </c>
      <c r="X27" s="37"/>
      <c r="Y27" s="37"/>
      <c r="Z27" s="37"/>
      <c r="AA27" s="37"/>
      <c r="AB27" s="37"/>
      <c r="AC27" s="37"/>
      <c r="AD27" s="37"/>
      <c r="AE27" s="37"/>
      <c r="AF27" s="37"/>
      <c r="AG27" s="37"/>
      <c r="AH27" s="37"/>
    </row>
    <row r="28" spans="2:34" x14ac:dyDescent="0.25">
      <c r="B28" t="s">
        <v>23</v>
      </c>
      <c r="C28" t="s">
        <v>40</v>
      </c>
      <c r="F28" s="49">
        <f>SUM(G28:W28)</f>
        <v>533657.06048656267</v>
      </c>
      <c r="G28" s="37"/>
      <c r="H28" s="37"/>
      <c r="I28" s="37"/>
      <c r="J28" s="37"/>
      <c r="K28" s="38">
        <f>K22*K24/Auxiliary!$C$4</f>
        <v>25458.247162902382</v>
      </c>
      <c r="L28" s="38">
        <f>L22*L24/Auxiliary!$C$4</f>
        <v>79463.142204089541</v>
      </c>
      <c r="M28" s="38">
        <f>M22*M24/Auxiliary!$C$4</f>
        <v>40530.195646809487</v>
      </c>
      <c r="N28" s="38">
        <f>N22*N24/Auxiliary!$C$4</f>
        <v>36936.385195368253</v>
      </c>
      <c r="O28" s="38">
        <f>O22*O24/Auxiliary!$C$4</f>
        <v>51311.627001133202</v>
      </c>
      <c r="P28" s="38">
        <f>P22*P24/Auxiliary!$C$4</f>
        <v>54705.781316383262</v>
      </c>
      <c r="Q28" s="38">
        <f>Q22*Q24/Auxiliary!$C$4</f>
        <v>40530.195646809487</v>
      </c>
      <c r="R28" s="38">
        <f>R22*R24/Auxiliary!$C$4</f>
        <v>33542.230880118201</v>
      </c>
      <c r="S28" s="38">
        <f>S22*S24/Auxiliary!$C$4</f>
        <v>34540.511561074098</v>
      </c>
      <c r="T28" s="38">
        <f>T22*T24/Auxiliary!$C$4</f>
        <v>38134.322012515338</v>
      </c>
      <c r="U28" s="38">
        <f>U22*U24/Auxiliary!$C$4</f>
        <v>38733.290421088874</v>
      </c>
      <c r="V28" s="38">
        <f>V22*V24/Auxiliary!$C$4</f>
        <v>34340.855424882917</v>
      </c>
      <c r="W28" s="38">
        <f>W22*W24/Auxiliary!$C$4</f>
        <v>25430.276013387673</v>
      </c>
      <c r="X28" s="37"/>
      <c r="Y28" s="37"/>
      <c r="Z28" s="37"/>
      <c r="AA28" s="37"/>
      <c r="AB28" s="37"/>
      <c r="AC28" s="37"/>
      <c r="AD28" s="37"/>
      <c r="AE28" s="37"/>
      <c r="AF28" s="37"/>
      <c r="AG28" s="37"/>
      <c r="AH28" s="37"/>
    </row>
    <row r="29" spans="2:34" x14ac:dyDescent="0.25">
      <c r="F29" s="51"/>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row>
    <row r="30" spans="2:34" ht="15.75" thickBot="1" x14ac:dyDescent="0.3">
      <c r="B30" s="7" t="s">
        <v>41</v>
      </c>
      <c r="F30" s="51"/>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2:34" x14ac:dyDescent="0.25">
      <c r="B31" t="s">
        <v>21</v>
      </c>
      <c r="C31" t="s">
        <v>22</v>
      </c>
      <c r="F31" s="54">
        <f>AVERAGE(G31:W31)</f>
        <v>0.87718390915072164</v>
      </c>
      <c r="G31" s="37"/>
      <c r="H31" s="37"/>
      <c r="I31" s="37"/>
      <c r="J31" s="37"/>
      <c r="K31" s="45">
        <f>K35/K27</f>
        <v>0.87984634806408535</v>
      </c>
      <c r="L31" s="45">
        <f t="shared" ref="L31:W31" si="8">L35/L27</f>
        <v>0.87650699516908204</v>
      </c>
      <c r="M31" s="45">
        <f t="shared" si="8"/>
        <v>0.87878363671497584</v>
      </c>
      <c r="N31" s="45">
        <f t="shared" si="8"/>
        <v>0.87857147657091395</v>
      </c>
      <c r="O31" s="45">
        <f t="shared" si="8"/>
        <v>0.87775348216932259</v>
      </c>
      <c r="P31" s="45">
        <f t="shared" si="8"/>
        <v>0.87593129270920089</v>
      </c>
      <c r="Q31" s="45">
        <f t="shared" si="8"/>
        <v>0.87600107482555012</v>
      </c>
      <c r="R31" s="45">
        <f t="shared" si="8"/>
        <v>0.87414444262145663</v>
      </c>
      <c r="S31" s="45">
        <f t="shared" si="8"/>
        <v>0.87650699516908204</v>
      </c>
      <c r="T31" s="45">
        <f t="shared" si="8"/>
        <v>0.87650699516908204</v>
      </c>
      <c r="U31" s="45">
        <f t="shared" si="8"/>
        <v>0.87432933803822721</v>
      </c>
      <c r="V31" s="45">
        <f t="shared" si="8"/>
        <v>0.87390511911663216</v>
      </c>
      <c r="W31" s="45">
        <f t="shared" si="8"/>
        <v>0.88460362262177183</v>
      </c>
      <c r="X31" s="37"/>
      <c r="Y31" s="37"/>
      <c r="Z31" s="37"/>
      <c r="AA31" s="37"/>
      <c r="AB31" s="37"/>
      <c r="AC31" s="37"/>
      <c r="AD31" s="37"/>
      <c r="AE31" s="37"/>
      <c r="AF31" s="37"/>
      <c r="AG31" s="37"/>
      <c r="AH31" s="37"/>
    </row>
    <row r="32" spans="2:34" x14ac:dyDescent="0.25">
      <c r="B32" t="s">
        <v>23</v>
      </c>
      <c r="C32" t="s">
        <v>22</v>
      </c>
      <c r="F32" s="54">
        <f>AVERAGE(G32:W32)</f>
        <v>0.76298729921792363</v>
      </c>
      <c r="G32" s="37"/>
      <c r="H32" s="37"/>
      <c r="I32" s="37"/>
      <c r="J32" s="37"/>
      <c r="K32" s="45">
        <f>K36/K28</f>
        <v>0.78560004041220444</v>
      </c>
      <c r="L32" s="45">
        <f t="shared" ref="L32:W32" si="9">L36/L28</f>
        <v>0.77016838627922224</v>
      </c>
      <c r="M32" s="45">
        <f t="shared" si="9"/>
        <v>0.75992724704314518</v>
      </c>
      <c r="N32" s="45">
        <f t="shared" si="9"/>
        <v>0.75806010393001699</v>
      </c>
      <c r="O32" s="45">
        <f t="shared" si="9"/>
        <v>0.76201052831820137</v>
      </c>
      <c r="P32" s="45">
        <f t="shared" si="9"/>
        <v>0.7640874327021403</v>
      </c>
      <c r="Q32" s="45">
        <f t="shared" si="9"/>
        <v>0.76239454329977874</v>
      </c>
      <c r="R32" s="45">
        <f t="shared" si="9"/>
        <v>0.75725434276512538</v>
      </c>
      <c r="S32" s="45">
        <f t="shared" si="9"/>
        <v>0.75852958789198854</v>
      </c>
      <c r="T32" s="45">
        <f t="shared" si="9"/>
        <v>0.75784748422996173</v>
      </c>
      <c r="U32" s="45">
        <f t="shared" si="9"/>
        <v>0.75903698550724641</v>
      </c>
      <c r="V32" s="45">
        <f t="shared" si="9"/>
        <v>0.75711567689023707</v>
      </c>
      <c r="W32" s="45">
        <f t="shared" si="9"/>
        <v>0.76680253056373826</v>
      </c>
      <c r="X32" s="37"/>
      <c r="Y32" s="37"/>
      <c r="Z32" s="37"/>
      <c r="AA32" s="37"/>
      <c r="AB32" s="37"/>
      <c r="AC32" s="37"/>
      <c r="AD32" s="37"/>
      <c r="AE32" s="37"/>
      <c r="AF32" s="37"/>
      <c r="AG32" s="37"/>
      <c r="AH32" s="37"/>
    </row>
    <row r="33" spans="2:34" x14ac:dyDescent="0.25">
      <c r="F33" s="51"/>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row>
    <row r="34" spans="2:34" ht="15.75" thickBot="1" x14ac:dyDescent="0.3">
      <c r="B34" s="7" t="s">
        <v>42</v>
      </c>
      <c r="F34" s="51"/>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row>
    <row r="35" spans="2:34" x14ac:dyDescent="0.25">
      <c r="B35" t="s">
        <v>21</v>
      </c>
      <c r="C35" t="s">
        <v>119</v>
      </c>
      <c r="F35" s="49">
        <f>SUM(G35:W35)</f>
        <v>40955000</v>
      </c>
      <c r="G35" s="37"/>
      <c r="H35" s="37"/>
      <c r="I35" s="37"/>
      <c r="J35" s="37"/>
      <c r="K35" s="38">
        <v>678000</v>
      </c>
      <c r="L35" s="38">
        <v>4130000</v>
      </c>
      <c r="M35" s="38">
        <v>4632000</v>
      </c>
      <c r="N35" s="38">
        <v>4894000</v>
      </c>
      <c r="O35" s="38">
        <v>3873000</v>
      </c>
      <c r="P35" s="38">
        <v>3043000</v>
      </c>
      <c r="Q35" s="38">
        <v>3463000</v>
      </c>
      <c r="R35" s="38">
        <v>3700000</v>
      </c>
      <c r="S35" s="38">
        <v>3115000</v>
      </c>
      <c r="T35" s="38">
        <v>2765000</v>
      </c>
      <c r="U35" s="38">
        <v>2409000</v>
      </c>
      <c r="V35" s="38">
        <v>2687000</v>
      </c>
      <c r="W35" s="38">
        <v>1566000</v>
      </c>
      <c r="X35" s="37"/>
      <c r="Y35" s="37"/>
      <c r="Z35" s="37"/>
      <c r="AA35" s="37"/>
      <c r="AB35" s="37"/>
      <c r="AC35" s="37"/>
      <c r="AD35" s="37"/>
      <c r="AE35" s="37"/>
      <c r="AF35" s="37"/>
      <c r="AG35" s="37"/>
      <c r="AH35" s="37"/>
    </row>
    <row r="36" spans="2:34" x14ac:dyDescent="0.25">
      <c r="B36" t="s">
        <v>23</v>
      </c>
      <c r="C36" t="s">
        <v>119</v>
      </c>
      <c r="F36" s="49">
        <f>SUM(G36:W36)</f>
        <v>407200</v>
      </c>
      <c r="G36" s="37"/>
      <c r="H36" s="37"/>
      <c r="I36" s="37"/>
      <c r="J36" s="37"/>
      <c r="K36" s="38">
        <v>20000</v>
      </c>
      <c r="L36" s="38">
        <v>61200</v>
      </c>
      <c r="M36" s="38">
        <v>30800</v>
      </c>
      <c r="N36" s="38">
        <v>28000</v>
      </c>
      <c r="O36" s="38">
        <v>39100</v>
      </c>
      <c r="P36" s="38">
        <v>41800</v>
      </c>
      <c r="Q36" s="38">
        <v>30900</v>
      </c>
      <c r="R36" s="38">
        <v>25400</v>
      </c>
      <c r="S36" s="38">
        <v>26200</v>
      </c>
      <c r="T36" s="38">
        <v>28900</v>
      </c>
      <c r="U36" s="38">
        <v>29400</v>
      </c>
      <c r="V36" s="38">
        <v>26000</v>
      </c>
      <c r="W36" s="38">
        <v>19500</v>
      </c>
      <c r="X36" s="37"/>
      <c r="Y36" s="37"/>
      <c r="Z36" s="37"/>
      <c r="AA36" s="37"/>
      <c r="AB36" s="37"/>
      <c r="AC36" s="37"/>
      <c r="AD36" s="37"/>
      <c r="AE36" s="37"/>
      <c r="AF36" s="37"/>
      <c r="AG36" s="37"/>
      <c r="AH36" s="37"/>
    </row>
    <row r="37" spans="2:34" x14ac:dyDescent="0.25">
      <c r="F37" s="51"/>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row>
    <row r="38" spans="2:34" ht="15.75" thickBot="1" x14ac:dyDescent="0.3">
      <c r="B38" s="7" t="s">
        <v>132</v>
      </c>
      <c r="F38" s="51"/>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row>
    <row r="39" spans="2:34" x14ac:dyDescent="0.25">
      <c r="B39" t="s">
        <v>21</v>
      </c>
      <c r="C39" t="s">
        <v>22</v>
      </c>
      <c r="F39" s="54">
        <f>AVERAGE(G39:W39)</f>
        <v>0.95985301637172293</v>
      </c>
      <c r="G39" s="37"/>
      <c r="H39" s="37"/>
      <c r="I39" s="37"/>
      <c r="J39" s="37"/>
      <c r="K39" s="45">
        <f>K43/K35</f>
        <v>0.96165191740412981</v>
      </c>
      <c r="L39" s="45">
        <f t="shared" ref="L39:W39" si="10">L43/L35</f>
        <v>0.96222760290556897</v>
      </c>
      <c r="M39" s="45">
        <f t="shared" si="10"/>
        <v>0.96221934369602768</v>
      </c>
      <c r="N39" s="45">
        <f t="shared" si="10"/>
        <v>0.96219861054352263</v>
      </c>
      <c r="O39" s="45">
        <f t="shared" si="10"/>
        <v>0.96204492641363282</v>
      </c>
      <c r="P39" s="45">
        <f t="shared" si="10"/>
        <v>0.96220834702596125</v>
      </c>
      <c r="Q39" s="45">
        <f t="shared" si="10"/>
        <v>0.96217152757724511</v>
      </c>
      <c r="R39" s="45">
        <f t="shared" si="10"/>
        <v>0.96216216216216222</v>
      </c>
      <c r="S39" s="45">
        <f t="shared" si="10"/>
        <v>0.96211878009630813</v>
      </c>
      <c r="T39" s="45">
        <f t="shared" si="10"/>
        <v>0.95623869801084993</v>
      </c>
      <c r="U39" s="45">
        <f t="shared" si="10"/>
        <v>0.954337899543379</v>
      </c>
      <c r="V39" s="45">
        <f t="shared" si="10"/>
        <v>0.95831782657238551</v>
      </c>
      <c r="W39" s="45">
        <f t="shared" si="10"/>
        <v>0.95019157088122608</v>
      </c>
      <c r="X39" s="37"/>
      <c r="Y39" s="37"/>
      <c r="Z39" s="37"/>
      <c r="AA39" s="37"/>
      <c r="AB39" s="37"/>
      <c r="AC39" s="37"/>
      <c r="AD39" s="37"/>
      <c r="AE39" s="37"/>
      <c r="AF39" s="37"/>
      <c r="AG39" s="37"/>
      <c r="AH39" s="37"/>
    </row>
    <row r="40" spans="2:34" x14ac:dyDescent="0.25">
      <c r="B40" t="s">
        <v>23</v>
      </c>
      <c r="C40" t="s">
        <v>22</v>
      </c>
      <c r="F40" s="54">
        <f>AVERAGE(G40:W40)</f>
        <v>0.96305729865567791</v>
      </c>
      <c r="G40" s="37"/>
      <c r="H40" s="37"/>
      <c r="I40" s="37"/>
      <c r="J40" s="37"/>
      <c r="K40" s="45">
        <f>K44/K36</f>
        <v>0.97499999999999998</v>
      </c>
      <c r="L40" s="45">
        <f t="shared" ref="L40:W40" si="11">L44/L36</f>
        <v>0.97712418300653592</v>
      </c>
      <c r="M40" s="45">
        <f t="shared" si="11"/>
        <v>0.96103896103896103</v>
      </c>
      <c r="N40" s="45">
        <f t="shared" si="11"/>
        <v>0.96071428571428574</v>
      </c>
      <c r="O40" s="45">
        <f t="shared" si="11"/>
        <v>0.97186700767263423</v>
      </c>
      <c r="P40" s="45">
        <f t="shared" si="11"/>
        <v>0.9569377990430622</v>
      </c>
      <c r="Q40" s="45">
        <f t="shared" si="11"/>
        <v>0.96116504854368934</v>
      </c>
      <c r="R40" s="45">
        <f t="shared" si="11"/>
        <v>0.95669291338582674</v>
      </c>
      <c r="S40" s="45">
        <f t="shared" si="11"/>
        <v>0.9580152671755725</v>
      </c>
      <c r="T40" s="45">
        <f t="shared" si="11"/>
        <v>0.96193771626297575</v>
      </c>
      <c r="U40" s="45">
        <f t="shared" si="11"/>
        <v>0.9625850340136054</v>
      </c>
      <c r="V40" s="45">
        <f t="shared" si="11"/>
        <v>0.95769230769230773</v>
      </c>
      <c r="W40" s="45">
        <f t="shared" si="11"/>
        <v>0.95897435897435901</v>
      </c>
      <c r="X40" s="37"/>
      <c r="Y40" s="37"/>
      <c r="Z40" s="37"/>
      <c r="AA40" s="37"/>
      <c r="AB40" s="37"/>
      <c r="AC40" s="37"/>
      <c r="AD40" s="37"/>
      <c r="AE40" s="37"/>
      <c r="AF40" s="37"/>
      <c r="AG40" s="37"/>
      <c r="AH40" s="37"/>
    </row>
    <row r="41" spans="2:34" x14ac:dyDescent="0.25">
      <c r="F41" s="51"/>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row>
    <row r="42" spans="2:34" ht="15.75" thickBot="1" x14ac:dyDescent="0.3">
      <c r="B42" s="7" t="s">
        <v>90</v>
      </c>
      <c r="F42" s="51"/>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2:34" x14ac:dyDescent="0.25">
      <c r="B43" t="s">
        <v>21</v>
      </c>
      <c r="C43" t="s">
        <v>119</v>
      </c>
      <c r="F43" s="49">
        <f>SUM(G43:W43)</f>
        <v>39341000</v>
      </c>
      <c r="G43" s="37"/>
      <c r="H43" s="37"/>
      <c r="I43" s="37"/>
      <c r="J43" s="37"/>
      <c r="K43" s="38">
        <v>652000</v>
      </c>
      <c r="L43" s="38">
        <v>3974000</v>
      </c>
      <c r="M43" s="38">
        <v>4457000</v>
      </c>
      <c r="N43" s="38">
        <v>4709000</v>
      </c>
      <c r="O43" s="38">
        <v>3726000</v>
      </c>
      <c r="P43" s="38">
        <v>2928000</v>
      </c>
      <c r="Q43" s="38">
        <v>3332000</v>
      </c>
      <c r="R43" s="38">
        <v>3560000</v>
      </c>
      <c r="S43" s="38">
        <v>2997000</v>
      </c>
      <c r="T43" s="38">
        <v>2644000</v>
      </c>
      <c r="U43" s="38">
        <v>2299000</v>
      </c>
      <c r="V43" s="38">
        <v>2575000</v>
      </c>
      <c r="W43" s="38">
        <v>1488000</v>
      </c>
      <c r="X43" s="37"/>
      <c r="Y43" s="37"/>
      <c r="Z43" s="37"/>
      <c r="AA43" s="37"/>
      <c r="AB43" s="37"/>
      <c r="AC43" s="37"/>
      <c r="AD43" s="37"/>
      <c r="AE43" s="37"/>
      <c r="AF43" s="37"/>
      <c r="AG43" s="37"/>
      <c r="AH43" s="37"/>
    </row>
    <row r="44" spans="2:34" x14ac:dyDescent="0.25">
      <c r="B44" t="s">
        <v>23</v>
      </c>
      <c r="C44" t="s">
        <v>119</v>
      </c>
      <c r="F44" s="49">
        <f>SUM(G44:W44)</f>
        <v>392600</v>
      </c>
      <c r="G44" s="37"/>
      <c r="H44" s="37"/>
      <c r="I44" s="37"/>
      <c r="J44" s="37"/>
      <c r="K44" s="38">
        <v>19500</v>
      </c>
      <c r="L44" s="38">
        <v>59800</v>
      </c>
      <c r="M44" s="38">
        <v>29600</v>
      </c>
      <c r="N44" s="38">
        <v>26900</v>
      </c>
      <c r="O44" s="38">
        <v>38000</v>
      </c>
      <c r="P44" s="38">
        <v>40000</v>
      </c>
      <c r="Q44" s="38">
        <v>29700</v>
      </c>
      <c r="R44" s="38">
        <v>24300</v>
      </c>
      <c r="S44" s="38">
        <v>25100</v>
      </c>
      <c r="T44" s="38">
        <v>27800</v>
      </c>
      <c r="U44" s="38">
        <v>28300</v>
      </c>
      <c r="V44" s="38">
        <v>24900</v>
      </c>
      <c r="W44" s="38">
        <v>18700</v>
      </c>
      <c r="X44" s="37"/>
      <c r="Y44" s="37"/>
      <c r="Z44" s="37"/>
      <c r="AA44" s="37"/>
      <c r="AB44" s="37"/>
      <c r="AC44" s="37"/>
      <c r="AD44" s="37"/>
      <c r="AE44" s="37"/>
      <c r="AF44" s="37"/>
      <c r="AG44" s="37"/>
      <c r="AH44" s="37"/>
    </row>
    <row r="45" spans="2:34" x14ac:dyDescent="0.25">
      <c r="F45" s="51"/>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row>
    <row r="46" spans="2:34" ht="15.75" thickBot="1" x14ac:dyDescent="0.3">
      <c r="B46" s="7" t="s">
        <v>43</v>
      </c>
      <c r="F46" s="51"/>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row>
    <row r="47" spans="2:34" x14ac:dyDescent="0.25">
      <c r="B47" t="s">
        <v>21</v>
      </c>
      <c r="C47" t="s">
        <v>44</v>
      </c>
      <c r="F47" s="49">
        <f t="shared" ref="F47:F48" si="12">SUM(G47:W47)</f>
        <v>983525000</v>
      </c>
      <c r="G47" s="37"/>
      <c r="H47" s="37"/>
      <c r="I47" s="37"/>
      <c r="J47" s="37"/>
      <c r="K47" s="38">
        <f>K43*K14</f>
        <v>16300000</v>
      </c>
      <c r="L47" s="38">
        <f t="shared" ref="L47:W47" si="13">L43*L14</f>
        <v>99350000</v>
      </c>
      <c r="M47" s="38">
        <f t="shared" si="13"/>
        <v>111425000</v>
      </c>
      <c r="N47" s="38">
        <f t="shared" si="13"/>
        <v>117725000</v>
      </c>
      <c r="O47" s="38">
        <f t="shared" si="13"/>
        <v>93150000</v>
      </c>
      <c r="P47" s="38">
        <f t="shared" si="13"/>
        <v>73200000</v>
      </c>
      <c r="Q47" s="38">
        <f t="shared" si="13"/>
        <v>83300000</v>
      </c>
      <c r="R47" s="38">
        <f t="shared" si="13"/>
        <v>89000000</v>
      </c>
      <c r="S47" s="38">
        <f t="shared" si="13"/>
        <v>74925000</v>
      </c>
      <c r="T47" s="38">
        <f t="shared" si="13"/>
        <v>66100000</v>
      </c>
      <c r="U47" s="38">
        <f t="shared" si="13"/>
        <v>57475000</v>
      </c>
      <c r="V47" s="38">
        <f t="shared" si="13"/>
        <v>64375000</v>
      </c>
      <c r="W47" s="38">
        <f t="shared" si="13"/>
        <v>37200000</v>
      </c>
      <c r="X47" s="37"/>
      <c r="Y47" s="37"/>
      <c r="Z47" s="37"/>
      <c r="AA47" s="37"/>
      <c r="AB47" s="37"/>
      <c r="AC47" s="37"/>
      <c r="AD47" s="37"/>
      <c r="AE47" s="37"/>
      <c r="AF47" s="37"/>
      <c r="AG47" s="37"/>
      <c r="AH47" s="37"/>
    </row>
    <row r="48" spans="2:34" x14ac:dyDescent="0.25">
      <c r="B48" s="5" t="s">
        <v>23</v>
      </c>
      <c r="C48" t="s">
        <v>44</v>
      </c>
      <c r="F48" s="50">
        <f t="shared" si="12"/>
        <v>687050000</v>
      </c>
      <c r="G48" s="37"/>
      <c r="H48" s="37"/>
      <c r="I48" s="37"/>
      <c r="J48" s="37"/>
      <c r="K48" s="38">
        <f>K44*K15</f>
        <v>34125000</v>
      </c>
      <c r="L48" s="38">
        <f t="shared" ref="L48:W48" si="14">L44*L15</f>
        <v>104650000</v>
      </c>
      <c r="M48" s="38">
        <f t="shared" si="14"/>
        <v>51800000</v>
      </c>
      <c r="N48" s="38">
        <f t="shared" si="14"/>
        <v>47075000</v>
      </c>
      <c r="O48" s="38">
        <f t="shared" si="14"/>
        <v>66500000</v>
      </c>
      <c r="P48" s="38">
        <f t="shared" si="14"/>
        <v>70000000</v>
      </c>
      <c r="Q48" s="38">
        <f t="shared" si="14"/>
        <v>51975000</v>
      </c>
      <c r="R48" s="38">
        <f t="shared" si="14"/>
        <v>42525000</v>
      </c>
      <c r="S48" s="38">
        <f t="shared" si="14"/>
        <v>43925000</v>
      </c>
      <c r="T48" s="38">
        <f t="shared" si="14"/>
        <v>48650000</v>
      </c>
      <c r="U48" s="38">
        <f t="shared" si="14"/>
        <v>49525000</v>
      </c>
      <c r="V48" s="38">
        <f t="shared" si="14"/>
        <v>43575000</v>
      </c>
      <c r="W48" s="38">
        <f t="shared" si="14"/>
        <v>32725000</v>
      </c>
      <c r="X48" s="37"/>
      <c r="Y48" s="37"/>
      <c r="Z48" s="37"/>
      <c r="AA48" s="37"/>
      <c r="AB48" s="37"/>
      <c r="AC48" s="37"/>
      <c r="AD48" s="37"/>
      <c r="AE48" s="37"/>
      <c r="AF48" s="37"/>
      <c r="AG48" s="37"/>
      <c r="AH48" s="37"/>
    </row>
    <row r="49" spans="2:34" x14ac:dyDescent="0.25">
      <c r="B49" t="s">
        <v>27</v>
      </c>
      <c r="C49" t="s">
        <v>44</v>
      </c>
      <c r="F49" s="49">
        <f>SUM(G49:W49)</f>
        <v>1670575000</v>
      </c>
      <c r="G49" s="37"/>
      <c r="H49" s="37"/>
      <c r="I49" s="37"/>
      <c r="J49" s="37"/>
      <c r="K49" s="38">
        <f>SUM(K47:K48)</f>
        <v>50425000</v>
      </c>
      <c r="L49" s="38">
        <f t="shared" ref="L49:W49" si="15">SUM(L47:L48)</f>
        <v>204000000</v>
      </c>
      <c r="M49" s="38">
        <f t="shared" si="15"/>
        <v>163225000</v>
      </c>
      <c r="N49" s="38">
        <f t="shared" si="15"/>
        <v>164800000</v>
      </c>
      <c r="O49" s="38">
        <f t="shared" si="15"/>
        <v>159650000</v>
      </c>
      <c r="P49" s="38">
        <f t="shared" si="15"/>
        <v>143200000</v>
      </c>
      <c r="Q49" s="38">
        <f t="shared" si="15"/>
        <v>135275000</v>
      </c>
      <c r="R49" s="38">
        <f t="shared" si="15"/>
        <v>131525000</v>
      </c>
      <c r="S49" s="38">
        <f t="shared" si="15"/>
        <v>118850000</v>
      </c>
      <c r="T49" s="38">
        <f t="shared" si="15"/>
        <v>114750000</v>
      </c>
      <c r="U49" s="38">
        <f t="shared" si="15"/>
        <v>107000000</v>
      </c>
      <c r="V49" s="38">
        <f t="shared" si="15"/>
        <v>107950000</v>
      </c>
      <c r="W49" s="38">
        <f t="shared" si="15"/>
        <v>69925000</v>
      </c>
      <c r="X49" s="37"/>
      <c r="Y49" s="37"/>
      <c r="Z49" s="37"/>
      <c r="AA49" s="37"/>
      <c r="AB49" s="37"/>
      <c r="AC49" s="37"/>
      <c r="AD49" s="37"/>
      <c r="AE49" s="37"/>
      <c r="AF49" s="37"/>
      <c r="AG49" s="37"/>
      <c r="AH49" s="37"/>
    </row>
    <row r="50" spans="2:34" x14ac:dyDescent="0.25">
      <c r="F50" s="51"/>
      <c r="G50" s="37"/>
      <c r="H50" s="37"/>
      <c r="I50" s="37"/>
      <c r="J50" s="37"/>
      <c r="K50" s="38"/>
      <c r="L50" s="38"/>
      <c r="M50" s="38"/>
      <c r="N50" s="38"/>
      <c r="O50" s="38"/>
      <c r="P50" s="38"/>
      <c r="Q50" s="38"/>
      <c r="R50" s="38"/>
      <c r="S50" s="38"/>
      <c r="T50" s="38"/>
      <c r="U50" s="38"/>
      <c r="V50" s="38"/>
      <c r="W50" s="38"/>
      <c r="X50" s="37"/>
      <c r="Y50" s="37"/>
      <c r="Z50" s="37"/>
      <c r="AA50" s="37"/>
      <c r="AB50" s="37"/>
      <c r="AC50" s="37"/>
      <c r="AD50" s="37"/>
      <c r="AE50" s="37"/>
      <c r="AF50" s="37"/>
      <c r="AG50" s="37"/>
      <c r="AH50" s="37"/>
    </row>
    <row r="51" spans="2:34" x14ac:dyDescent="0.25">
      <c r="B51" t="s">
        <v>87</v>
      </c>
      <c r="F51" s="55">
        <f>AVERAGE(G51:W51)</f>
        <v>0.57433053888899821</v>
      </c>
      <c r="G51" s="37"/>
      <c r="H51" s="37"/>
      <c r="I51" s="37"/>
      <c r="J51" s="37"/>
      <c r="K51" s="46">
        <f>K47/K49</f>
        <v>0.32325235498264748</v>
      </c>
      <c r="L51" s="46">
        <f t="shared" ref="L51:W51" si="16">L47/L49</f>
        <v>0.48700980392156862</v>
      </c>
      <c r="M51" s="46">
        <f t="shared" si="16"/>
        <v>0.68264665339255626</v>
      </c>
      <c r="N51" s="46">
        <f t="shared" si="16"/>
        <v>0.71435072815533984</v>
      </c>
      <c r="O51" s="46">
        <f t="shared" si="16"/>
        <v>0.58346382712182898</v>
      </c>
      <c r="P51" s="46">
        <f t="shared" si="16"/>
        <v>0.51117318435754189</v>
      </c>
      <c r="Q51" s="46">
        <f t="shared" si="16"/>
        <v>0.61578266494178524</v>
      </c>
      <c r="R51" s="46">
        <f t="shared" si="16"/>
        <v>0.67667743774947731</v>
      </c>
      <c r="S51" s="46">
        <f t="shared" si="16"/>
        <v>0.63041649137568367</v>
      </c>
      <c r="T51" s="46">
        <f t="shared" si="16"/>
        <v>0.57603485838779955</v>
      </c>
      <c r="U51" s="46">
        <f t="shared" si="16"/>
        <v>0.53714953271028032</v>
      </c>
      <c r="V51" s="46">
        <f t="shared" si="16"/>
        <v>0.59634089856415007</v>
      </c>
      <c r="W51" s="46">
        <f t="shared" si="16"/>
        <v>0.53199856989631744</v>
      </c>
      <c r="X51" s="37"/>
      <c r="Y51" s="37"/>
      <c r="Z51" s="37"/>
      <c r="AA51" s="37"/>
      <c r="AB51" s="37"/>
      <c r="AC51" s="37"/>
      <c r="AD51" s="37"/>
      <c r="AE51" s="37"/>
      <c r="AF51" s="37"/>
      <c r="AG51" s="37"/>
      <c r="AH51" s="37"/>
    </row>
    <row r="52" spans="2:34" x14ac:dyDescent="0.25">
      <c r="F52" s="51"/>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row>
    <row r="53" spans="2:34" ht="15.75" thickBot="1" x14ac:dyDescent="0.3">
      <c r="B53" s="7" t="s">
        <v>133</v>
      </c>
      <c r="F53" s="51"/>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row>
    <row r="54" spans="2:34" x14ac:dyDescent="0.25">
      <c r="B54" t="s">
        <v>134</v>
      </c>
      <c r="C54" t="s">
        <v>44</v>
      </c>
      <c r="F54" s="49">
        <f t="shared" ref="F54:F57" si="17">SUM(G54:W54)</f>
        <v>74494200.000000015</v>
      </c>
      <c r="G54" s="37"/>
      <c r="H54" s="37"/>
      <c r="I54" s="37"/>
      <c r="J54" s="37"/>
      <c r="K54" s="38">
        <f>1030000*Auxiliary!$B$9</f>
        <v>1133000</v>
      </c>
      <c r="L54" s="38">
        <f>5694000*Auxiliary!B9</f>
        <v>6263400.0000000009</v>
      </c>
      <c r="M54" s="38">
        <f>5694000*Auxiliary!B9</f>
        <v>6263400.0000000009</v>
      </c>
      <c r="N54" s="38">
        <f>5694000*Auxiliary!B9</f>
        <v>6263400.0000000009</v>
      </c>
      <c r="O54" s="38">
        <f>5694000*Auxiliary!B9</f>
        <v>6263400.0000000009</v>
      </c>
      <c r="P54" s="38">
        <f>5694000*Auxiliary!B9</f>
        <v>6263400.0000000009</v>
      </c>
      <c r="Q54" s="38">
        <f>5694000*Auxiliary!B9</f>
        <v>6263400.0000000009</v>
      </c>
      <c r="R54" s="38">
        <f>5694000*Auxiliary!B9</f>
        <v>6263400.0000000009</v>
      </c>
      <c r="S54" s="38">
        <f>5694000*Auxiliary!B9</f>
        <v>6263400.0000000009</v>
      </c>
      <c r="T54" s="38">
        <f>5694000*Auxiliary!B9</f>
        <v>6263400.0000000009</v>
      </c>
      <c r="U54" s="38">
        <f>5694000*Auxiliary!B9</f>
        <v>6263400.0000000009</v>
      </c>
      <c r="V54" s="38">
        <f>5694000*Auxiliary!B9</f>
        <v>6263400.0000000009</v>
      </c>
      <c r="W54" s="38">
        <f>4058000*Auxiliary!B9</f>
        <v>4463800</v>
      </c>
      <c r="X54" s="37"/>
      <c r="Y54" s="37"/>
      <c r="Z54" s="37"/>
      <c r="AA54" s="37"/>
      <c r="AB54" s="37"/>
      <c r="AC54" s="37"/>
      <c r="AD54" s="37"/>
      <c r="AE54" s="37"/>
      <c r="AF54" s="37"/>
      <c r="AG54" s="37"/>
      <c r="AH54" s="37"/>
    </row>
    <row r="55" spans="2:34" x14ac:dyDescent="0.25">
      <c r="B55" t="s">
        <v>148</v>
      </c>
      <c r="C55" t="s">
        <v>44</v>
      </c>
      <c r="F55" s="49">
        <f t="shared" si="17"/>
        <v>28127000</v>
      </c>
      <c r="G55" s="37"/>
      <c r="H55" s="37"/>
      <c r="I55" s="37"/>
      <c r="J55" s="37"/>
      <c r="K55" s="38">
        <f>424000*Auxiliary!B9</f>
        <v>466400.00000000006</v>
      </c>
      <c r="L55" s="38">
        <f>2583000*Auxiliary!B9</f>
        <v>2841300</v>
      </c>
      <c r="M55" s="38">
        <f>2897000*Auxiliary!B9</f>
        <v>3186700.0000000005</v>
      </c>
      <c r="N55" s="38">
        <f>3061000*Auxiliary!B9</f>
        <v>3367100.0000000005</v>
      </c>
      <c r="O55" s="38">
        <f>2422000*Auxiliary!B9</f>
        <v>2664200</v>
      </c>
      <c r="P55" s="38">
        <f>1903000*Auxiliary!B9</f>
        <v>2093300.0000000002</v>
      </c>
      <c r="Q55" s="38">
        <f>2166000*Auxiliary!B9</f>
        <v>2382600</v>
      </c>
      <c r="R55" s="38">
        <f>2314000*Auxiliary!B9</f>
        <v>2545400</v>
      </c>
      <c r="S55" s="38">
        <f>1948000*Auxiliary!B9</f>
        <v>2142800</v>
      </c>
      <c r="T55" s="38">
        <f>1717000*Auxiliary!B9</f>
        <v>1888700.0000000002</v>
      </c>
      <c r="U55" s="38">
        <f>1494000*Auxiliary!B9</f>
        <v>1643400.0000000002</v>
      </c>
      <c r="V55" s="38">
        <f>1674000*Auxiliary!B9</f>
        <v>1841400.0000000002</v>
      </c>
      <c r="W55" s="38">
        <f>967000*Auxiliary!B9</f>
        <v>1063700</v>
      </c>
      <c r="X55" s="37"/>
      <c r="Y55" s="37"/>
      <c r="Z55" s="37"/>
      <c r="AA55" s="37"/>
      <c r="AB55" s="37"/>
      <c r="AC55" s="37"/>
      <c r="AD55" s="37"/>
      <c r="AE55" s="37"/>
      <c r="AF55" s="37"/>
      <c r="AG55" s="37"/>
      <c r="AH55" s="37"/>
    </row>
    <row r="56" spans="2:34" x14ac:dyDescent="0.25">
      <c r="B56" t="s">
        <v>137</v>
      </c>
      <c r="C56" t="s">
        <v>44</v>
      </c>
      <c r="F56" s="49">
        <f t="shared" si="17"/>
        <v>2813800</v>
      </c>
      <c r="G56" s="37"/>
      <c r="H56" s="37"/>
      <c r="I56" s="37"/>
      <c r="J56" s="37"/>
      <c r="K56" s="38">
        <f>127000*Auxiliary!B9</f>
        <v>139700</v>
      </c>
      <c r="L56" s="38">
        <f>389000*Auxiliary!B9</f>
        <v>427900.00000000006</v>
      </c>
      <c r="M56" s="38">
        <f>193000*Auxiliary!B9</f>
        <v>212300.00000000003</v>
      </c>
      <c r="N56" s="38">
        <f>175000*Auxiliary!B9</f>
        <v>192500.00000000003</v>
      </c>
      <c r="O56" s="38">
        <f>247000*Auxiliary!B9</f>
        <v>271700</v>
      </c>
      <c r="P56" s="38">
        <f>264000*Auxiliary!B9</f>
        <v>290400</v>
      </c>
      <c r="Q56" s="38">
        <f>193000*Auxiliary!B9</f>
        <v>212300.00000000003</v>
      </c>
      <c r="R56" s="38">
        <f>158000*Auxiliary!B9</f>
        <v>173800</v>
      </c>
      <c r="S56" s="38">
        <f>163000*Auxiliary!B9</f>
        <v>179300</v>
      </c>
      <c r="T56" s="38">
        <f>181000*Auxiliary!B9</f>
        <v>199100.00000000003</v>
      </c>
      <c r="U56" s="38">
        <f>184000*Auxiliary!B9</f>
        <v>202400.00000000003</v>
      </c>
      <c r="V56" s="38">
        <f>162000*Auxiliary!B9</f>
        <v>178200</v>
      </c>
      <c r="W56" s="38">
        <f>122000*Auxiliary!B9</f>
        <v>134200</v>
      </c>
      <c r="X56" s="37"/>
      <c r="Y56" s="37"/>
      <c r="Z56" s="37"/>
      <c r="AA56" s="37"/>
      <c r="AB56" s="37"/>
      <c r="AC56" s="37"/>
      <c r="AD56" s="37"/>
      <c r="AE56" s="37"/>
      <c r="AF56" s="37"/>
      <c r="AG56" s="37"/>
      <c r="AH56" s="37"/>
    </row>
    <row r="57" spans="2:34" x14ac:dyDescent="0.25">
      <c r="B57" t="s">
        <v>135</v>
      </c>
      <c r="C57" t="s">
        <v>44</v>
      </c>
      <c r="F57" s="49">
        <f t="shared" si="17"/>
        <v>1534000</v>
      </c>
      <c r="G57" s="37"/>
      <c r="H57" s="37"/>
      <c r="I57" s="37"/>
      <c r="J57" s="37"/>
      <c r="K57" s="38">
        <v>23000</v>
      </c>
      <c r="L57" s="38">
        <v>129000</v>
      </c>
      <c r="M57" s="38">
        <v>129000</v>
      </c>
      <c r="N57" s="38">
        <v>129000</v>
      </c>
      <c r="O57" s="38">
        <v>129000</v>
      </c>
      <c r="P57" s="38">
        <v>129000</v>
      </c>
      <c r="Q57" s="38">
        <v>129000</v>
      </c>
      <c r="R57" s="38">
        <v>129000</v>
      </c>
      <c r="S57" s="38">
        <v>129000</v>
      </c>
      <c r="T57" s="38">
        <v>129000</v>
      </c>
      <c r="U57" s="38">
        <v>129000</v>
      </c>
      <c r="V57" s="38">
        <v>129000</v>
      </c>
      <c r="W57" s="38">
        <v>92000</v>
      </c>
      <c r="X57" s="37"/>
      <c r="Y57" s="37"/>
      <c r="Z57" s="37"/>
      <c r="AA57" s="37"/>
      <c r="AB57" s="37"/>
      <c r="AC57" s="37"/>
      <c r="AD57" s="37"/>
      <c r="AE57" s="37"/>
      <c r="AF57" s="37"/>
      <c r="AG57" s="37"/>
      <c r="AH57" s="37"/>
    </row>
    <row r="58" spans="2:34" x14ac:dyDescent="0.25">
      <c r="B58" s="5" t="s">
        <v>136</v>
      </c>
      <c r="C58" t="s">
        <v>44</v>
      </c>
      <c r="F58" s="50">
        <f>SUM(G58:W58)</f>
        <v>16784900</v>
      </c>
      <c r="G58" s="37"/>
      <c r="H58" s="37"/>
      <c r="I58" s="37"/>
      <c r="J58" s="37"/>
      <c r="K58" s="38">
        <f>232000*Auxiliary!B9</f>
        <v>255200.00000000003</v>
      </c>
      <c r="L58" s="38">
        <f>1283000*Auxiliary!B9</f>
        <v>1411300</v>
      </c>
      <c r="M58" s="38">
        <f>1283000*Auxiliary!B9</f>
        <v>1411300</v>
      </c>
      <c r="N58" s="38">
        <f>1283000*Auxiliary!B9</f>
        <v>1411300</v>
      </c>
      <c r="O58" s="38">
        <f>1283000*Auxiliary!B9</f>
        <v>1411300</v>
      </c>
      <c r="P58" s="38">
        <f>1283000*Auxiliary!$B$9</f>
        <v>1411300</v>
      </c>
      <c r="Q58" s="38">
        <f>1283000*Auxiliary!$B$9</f>
        <v>1411300</v>
      </c>
      <c r="R58" s="38">
        <f>1283000*Auxiliary!$B$9</f>
        <v>1411300</v>
      </c>
      <c r="S58" s="38">
        <f>1283000*Auxiliary!$B$9</f>
        <v>1411300</v>
      </c>
      <c r="T58" s="38">
        <f>1283000*Auxiliary!$B$9</f>
        <v>1411300</v>
      </c>
      <c r="U58" s="38">
        <f>1283000*Auxiliary!$B$9</f>
        <v>1411300</v>
      </c>
      <c r="V58" s="38">
        <f>1283000*Auxiliary!$B$9</f>
        <v>1411300</v>
      </c>
      <c r="W58" s="38">
        <f>914000*Auxiliary!B9</f>
        <v>1005400.0000000001</v>
      </c>
      <c r="X58" s="37"/>
      <c r="Y58" s="37"/>
      <c r="Z58" s="37"/>
      <c r="AA58" s="37"/>
      <c r="AB58" s="37"/>
      <c r="AC58" s="37"/>
      <c r="AD58" s="37"/>
      <c r="AE58" s="37"/>
      <c r="AF58" s="37"/>
      <c r="AG58" s="37"/>
      <c r="AH58" s="37"/>
    </row>
    <row r="59" spans="2:34" x14ac:dyDescent="0.25">
      <c r="B59" t="s">
        <v>133</v>
      </c>
      <c r="C59" t="s">
        <v>44</v>
      </c>
      <c r="F59" s="49">
        <f>SUM(G59:W59)</f>
        <v>1546821100</v>
      </c>
      <c r="G59" s="37"/>
      <c r="H59" s="37"/>
      <c r="I59" s="37"/>
      <c r="J59" s="37"/>
      <c r="K59" s="38">
        <f>K49-SUM(K54:K58)</f>
        <v>48407700</v>
      </c>
      <c r="L59" s="38">
        <f t="shared" ref="L59:W59" si="18">L49-SUM(L54:L58)</f>
        <v>192927100</v>
      </c>
      <c r="M59" s="38">
        <f t="shared" si="18"/>
        <v>152022300</v>
      </c>
      <c r="N59" s="38">
        <f t="shared" si="18"/>
        <v>153436700</v>
      </c>
      <c r="O59" s="38">
        <f t="shared" si="18"/>
        <v>148910400</v>
      </c>
      <c r="P59" s="38">
        <f t="shared" si="18"/>
        <v>133012600</v>
      </c>
      <c r="Q59" s="38">
        <f t="shared" si="18"/>
        <v>124876400</v>
      </c>
      <c r="R59" s="38">
        <f t="shared" si="18"/>
        <v>121002100</v>
      </c>
      <c r="S59" s="38">
        <f t="shared" si="18"/>
        <v>108724200</v>
      </c>
      <c r="T59" s="38">
        <f t="shared" si="18"/>
        <v>104858500</v>
      </c>
      <c r="U59" s="38">
        <f t="shared" si="18"/>
        <v>97350500</v>
      </c>
      <c r="V59" s="38">
        <f t="shared" si="18"/>
        <v>98126700</v>
      </c>
      <c r="W59" s="38">
        <f t="shared" si="18"/>
        <v>63165900</v>
      </c>
      <c r="X59" s="37"/>
      <c r="Y59" s="37"/>
      <c r="Z59" s="37"/>
      <c r="AA59" s="37"/>
      <c r="AB59" s="37"/>
      <c r="AC59" s="37"/>
      <c r="AD59" s="37"/>
      <c r="AE59" s="37"/>
      <c r="AF59" s="37"/>
      <c r="AG59" s="37"/>
      <c r="AH59" s="37"/>
    </row>
    <row r="60" spans="2:34" x14ac:dyDescent="0.25">
      <c r="F60" s="51"/>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row>
    <row r="61" spans="2:34" ht="15.75" thickBot="1" x14ac:dyDescent="0.3">
      <c r="B61" s="7" t="s">
        <v>45</v>
      </c>
      <c r="F61" s="51"/>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row>
    <row r="62" spans="2:34" x14ac:dyDescent="0.25">
      <c r="B62" t="s">
        <v>138</v>
      </c>
      <c r="C62" t="s">
        <v>44</v>
      </c>
      <c r="F62" s="49">
        <f>SUM(G62:W62)</f>
        <v>123753900</v>
      </c>
      <c r="G62" s="37"/>
      <c r="H62" s="37"/>
      <c r="I62" s="37"/>
      <c r="J62" s="37"/>
      <c r="K62" s="38">
        <f>SUM(K54:K58)</f>
        <v>2017300</v>
      </c>
      <c r="L62" s="38">
        <f t="shared" ref="L62:W62" si="19">SUM(L54:L58)</f>
        <v>11072900</v>
      </c>
      <c r="M62" s="38">
        <f t="shared" si="19"/>
        <v>11202700.000000002</v>
      </c>
      <c r="N62" s="38">
        <f t="shared" si="19"/>
        <v>11363300.000000002</v>
      </c>
      <c r="O62" s="38">
        <f t="shared" si="19"/>
        <v>10739600</v>
      </c>
      <c r="P62" s="38">
        <f t="shared" si="19"/>
        <v>10187400</v>
      </c>
      <c r="Q62" s="38">
        <f t="shared" si="19"/>
        <v>10398600</v>
      </c>
      <c r="R62" s="38">
        <f t="shared" si="19"/>
        <v>10522900</v>
      </c>
      <c r="S62" s="38">
        <f t="shared" si="19"/>
        <v>10125800</v>
      </c>
      <c r="T62" s="38">
        <f t="shared" si="19"/>
        <v>9891500</v>
      </c>
      <c r="U62" s="38">
        <f t="shared" si="19"/>
        <v>9649500</v>
      </c>
      <c r="V62" s="38">
        <f t="shared" si="19"/>
        <v>9823300</v>
      </c>
      <c r="W62" s="38">
        <f t="shared" si="19"/>
        <v>6759100</v>
      </c>
      <c r="X62" s="37"/>
      <c r="Y62" s="37"/>
      <c r="Z62" s="37"/>
      <c r="AA62" s="37"/>
      <c r="AB62" s="37"/>
      <c r="AC62" s="37"/>
      <c r="AD62" s="37"/>
      <c r="AE62" s="37"/>
      <c r="AF62" s="37"/>
      <c r="AG62" s="37"/>
      <c r="AH62" s="37"/>
    </row>
    <row r="63" spans="2:34" x14ac:dyDescent="0.25">
      <c r="B63" t="s">
        <v>85</v>
      </c>
      <c r="C63" t="s">
        <v>44</v>
      </c>
      <c r="F63" s="49">
        <f>SUM(G63:W63)</f>
        <v>283230000</v>
      </c>
      <c r="G63" s="37"/>
      <c r="H63" s="37"/>
      <c r="I63" s="37"/>
      <c r="J63" s="37"/>
      <c r="K63" s="38">
        <v>0</v>
      </c>
      <c r="L63" s="38">
        <f>106689000-3070000/0.075</f>
        <v>65755666.666666664</v>
      </c>
      <c r="M63" s="38">
        <f>69348000-3647000/0.075</f>
        <v>20721333.333333328</v>
      </c>
      <c r="N63" s="38">
        <f>79671000-3725000/0.075</f>
        <v>30004333.333333328</v>
      </c>
      <c r="O63" s="38">
        <f>73385000-3937000/0.075</f>
        <v>20891666.666666664</v>
      </c>
      <c r="P63" s="38">
        <f>61450000-2921000/0.075</f>
        <v>22503333.333333328</v>
      </c>
      <c r="Q63" s="38">
        <f>53255000-2424000/0.075</f>
        <v>20935000</v>
      </c>
      <c r="R63" s="38">
        <f>60521000-2935000/0.075</f>
        <v>21387666.666666664</v>
      </c>
      <c r="S63" s="38">
        <f>53188000-2339000/0.075</f>
        <v>22001333.333333332</v>
      </c>
      <c r="T63" s="38">
        <f>50237000-2100000/0.075</f>
        <v>22237000</v>
      </c>
      <c r="U63" s="38">
        <f>46918000-1822000/0.075</f>
        <v>22624666.666666664</v>
      </c>
      <c r="V63" s="38">
        <f>46893000-2997000/0.075</f>
        <v>6933000</v>
      </c>
      <c r="W63" s="38">
        <f>29795000-1692000/0.075</f>
        <v>7235000</v>
      </c>
      <c r="X63" s="37"/>
      <c r="Y63" s="37"/>
      <c r="Z63" s="37"/>
      <c r="AA63" s="37"/>
      <c r="AB63" s="37"/>
      <c r="AC63" s="37"/>
      <c r="AD63" s="37"/>
      <c r="AE63" s="37"/>
      <c r="AF63" s="37"/>
      <c r="AG63" s="37"/>
      <c r="AH63" s="37"/>
    </row>
    <row r="64" spans="2:34" x14ac:dyDescent="0.25">
      <c r="B64" t="s">
        <v>152</v>
      </c>
      <c r="C64" t="s">
        <v>44</v>
      </c>
      <c r="E64" s="10">
        <v>400000</v>
      </c>
      <c r="F64" s="49">
        <f>SUM(G64:W64)</f>
        <v>2000000</v>
      </c>
      <c r="G64" s="38">
        <f>(2400000-$E$64)/3</f>
        <v>666666.66666666663</v>
      </c>
      <c r="H64" s="38">
        <f t="shared" ref="H64:I64" si="20">(2400000-$E$64)/3</f>
        <v>666666.66666666663</v>
      </c>
      <c r="I64" s="38">
        <f t="shared" si="20"/>
        <v>666666.66666666663</v>
      </c>
      <c r="J64" s="38"/>
      <c r="K64" s="38"/>
      <c r="L64" s="38"/>
      <c r="M64" s="38"/>
      <c r="N64" s="38"/>
      <c r="O64" s="38"/>
      <c r="P64" s="38"/>
      <c r="Q64" s="38"/>
      <c r="R64" s="38"/>
      <c r="S64" s="38"/>
      <c r="T64" s="38"/>
      <c r="U64" s="38"/>
      <c r="V64" s="38"/>
      <c r="W64" s="38"/>
      <c r="X64" s="37"/>
      <c r="Y64" s="37"/>
      <c r="Z64" s="37"/>
      <c r="AA64" s="37"/>
      <c r="AB64" s="37"/>
      <c r="AC64" s="37"/>
      <c r="AD64" s="37"/>
      <c r="AE64" s="37"/>
      <c r="AF64" s="37"/>
      <c r="AG64" s="37"/>
      <c r="AH64" s="37"/>
    </row>
    <row r="65" spans="2:34" x14ac:dyDescent="0.25">
      <c r="F65" s="51"/>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row>
    <row r="66" spans="2:34" x14ac:dyDescent="0.25">
      <c r="B66" s="3" t="s">
        <v>139</v>
      </c>
      <c r="F66" s="51"/>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2:34" x14ac:dyDescent="0.25">
      <c r="B67" t="s">
        <v>140</v>
      </c>
      <c r="C67" t="s">
        <v>44</v>
      </c>
      <c r="F67" s="49">
        <f>SUM(G67:W67)</f>
        <v>248231500.00000003</v>
      </c>
      <c r="G67" s="37"/>
      <c r="H67" s="37"/>
      <c r="I67" s="37"/>
      <c r="J67" s="37"/>
      <c r="K67" s="38">
        <f>1429000*Auxiliary!B9</f>
        <v>1571900.0000000002</v>
      </c>
      <c r="L67" s="38">
        <f>30149000*Auxiliary!B9</f>
        <v>33163900.000000004</v>
      </c>
      <c r="M67" s="38">
        <f>30193000*Auxiliary!B9</f>
        <v>33212300.000000004</v>
      </c>
      <c r="N67" s="38">
        <f>20835000*Auxiliary!B9</f>
        <v>22918500</v>
      </c>
      <c r="O67" s="38">
        <f>25602000*Auxiliary!B9</f>
        <v>28162200.000000004</v>
      </c>
      <c r="P67" s="38">
        <f>26094000*Auxiliary!B9</f>
        <v>28703400.000000004</v>
      </c>
      <c r="Q67" s="38">
        <f>25681000*Auxiliary!B9</f>
        <v>28249100.000000004</v>
      </c>
      <c r="R67" s="38">
        <f>14448000*Auxiliary!B9</f>
        <v>15892800.000000002</v>
      </c>
      <c r="S67" s="38">
        <f>11936000*Auxiliary!B9</f>
        <v>13129600.000000002</v>
      </c>
      <c r="T67" s="38">
        <f>12782000*Auxiliary!B9</f>
        <v>14060200.000000002</v>
      </c>
      <c r="U67" s="38">
        <f>10362000*Auxiliary!B9</f>
        <v>11398200</v>
      </c>
      <c r="V67" s="38">
        <f>10158000*Auxiliary!B9</f>
        <v>11173800</v>
      </c>
      <c r="W67" s="38">
        <f>5996000*Auxiliary!B9</f>
        <v>6595600.0000000009</v>
      </c>
      <c r="X67" s="37"/>
      <c r="Y67" s="37"/>
      <c r="Z67" s="37"/>
      <c r="AA67" s="37"/>
      <c r="AB67" s="37"/>
      <c r="AC67" s="37"/>
      <c r="AD67" s="37"/>
      <c r="AE67" s="37"/>
      <c r="AF67" s="37"/>
      <c r="AG67" s="37"/>
      <c r="AH67" s="37"/>
    </row>
    <row r="68" spans="2:34" x14ac:dyDescent="0.25">
      <c r="B68" t="s">
        <v>141</v>
      </c>
      <c r="C68" t="s">
        <v>44</v>
      </c>
      <c r="F68" s="49">
        <f t="shared" ref="F68:F69" si="21">SUM(G68:W68)</f>
        <v>206186200</v>
      </c>
      <c r="G68" s="37"/>
      <c r="H68" s="37"/>
      <c r="I68" s="37"/>
      <c r="J68" s="37"/>
      <c r="K68" s="38">
        <f>3007000*Auxiliary!B9</f>
        <v>3307700.0000000005</v>
      </c>
      <c r="L68" s="38">
        <f>15809000*Auxiliary!B9</f>
        <v>17389900</v>
      </c>
      <c r="M68" s="38">
        <f>16135000*Auxiliary!B9</f>
        <v>17748500</v>
      </c>
      <c r="N68" s="38">
        <f>15658000*Auxiliary!B9</f>
        <v>17223800</v>
      </c>
      <c r="O68" s="38">
        <f>15658000*Auxiliary!B9</f>
        <v>17223800</v>
      </c>
      <c r="P68" s="38">
        <f>16084000*Auxiliary!B9</f>
        <v>17692400</v>
      </c>
      <c r="Q68" s="38">
        <f>15658000*Auxiliary!B9</f>
        <v>17223800</v>
      </c>
      <c r="R68" s="38">
        <f>15658000*Auxiliary!B9</f>
        <v>17223800</v>
      </c>
      <c r="S68" s="38">
        <f>15658000*Auxiliary!B9</f>
        <v>17223800</v>
      </c>
      <c r="T68" s="38">
        <f>15658000*Auxiliary!B9</f>
        <v>17223800</v>
      </c>
      <c r="U68" s="38">
        <f>15658000*Auxiliary!B9</f>
        <v>17223800</v>
      </c>
      <c r="V68" s="38">
        <f>15658000*Auxiliary!B9</f>
        <v>17223800</v>
      </c>
      <c r="W68" s="38">
        <f>11143000*Auxiliary!B9</f>
        <v>12257300.000000002</v>
      </c>
      <c r="X68" s="37"/>
      <c r="Y68" s="37"/>
      <c r="Z68" s="37"/>
      <c r="AA68" s="37"/>
      <c r="AB68" s="37"/>
      <c r="AC68" s="37"/>
      <c r="AD68" s="37"/>
      <c r="AE68" s="37"/>
      <c r="AF68" s="37"/>
      <c r="AG68" s="37"/>
      <c r="AH68" s="37"/>
    </row>
    <row r="69" spans="2:34" x14ac:dyDescent="0.25">
      <c r="B69" t="s">
        <v>83</v>
      </c>
      <c r="C69" t="s">
        <v>44</v>
      </c>
      <c r="F69" s="49">
        <f t="shared" si="21"/>
        <v>88519200</v>
      </c>
      <c r="G69" s="37"/>
      <c r="H69" s="37"/>
      <c r="I69" s="37"/>
      <c r="J69" s="37"/>
      <c r="K69" s="38">
        <f>1244000*Auxiliary!B9</f>
        <v>1368400</v>
      </c>
      <c r="L69" s="38">
        <f>6766000*Auxiliary!$B$9</f>
        <v>7442600.0000000009</v>
      </c>
      <c r="M69" s="38">
        <f>6766000*Auxiliary!$B$9</f>
        <v>7442600.0000000009</v>
      </c>
      <c r="N69" s="38">
        <f>6766000*Auxiliary!$B$9</f>
        <v>7442600.0000000009</v>
      </c>
      <c r="O69" s="38">
        <f>6766000*Auxiliary!$B$9</f>
        <v>7442600.0000000009</v>
      </c>
      <c r="P69" s="38">
        <f>6766000*Auxiliary!$B$9</f>
        <v>7442600.0000000009</v>
      </c>
      <c r="Q69" s="38">
        <f>6766000*Auxiliary!$B$9</f>
        <v>7442600.0000000009</v>
      </c>
      <c r="R69" s="38">
        <f>6766000*Auxiliary!$B$9</f>
        <v>7442600.0000000009</v>
      </c>
      <c r="S69" s="38">
        <f>6766000*Auxiliary!$B$9</f>
        <v>7442600.0000000009</v>
      </c>
      <c r="T69" s="38">
        <f>6766000*Auxiliary!$B$9</f>
        <v>7442600.0000000009</v>
      </c>
      <c r="U69" s="38">
        <f>6766000*Auxiliary!$B$9</f>
        <v>7442600.0000000009</v>
      </c>
      <c r="V69" s="38">
        <f>6766000*Auxiliary!$B$9</f>
        <v>7442600.0000000009</v>
      </c>
      <c r="W69" s="38">
        <f>4802000*Auxiliary!B9</f>
        <v>5282200</v>
      </c>
      <c r="X69" s="37"/>
      <c r="Y69" s="37"/>
      <c r="Z69" s="37"/>
      <c r="AA69" s="37"/>
      <c r="AB69" s="37"/>
      <c r="AC69" s="37"/>
      <c r="AD69" s="37"/>
      <c r="AE69" s="37"/>
      <c r="AF69" s="37"/>
      <c r="AG69" s="37"/>
      <c r="AH69" s="37"/>
    </row>
    <row r="70" spans="2:34" x14ac:dyDescent="0.25">
      <c r="F70" s="51"/>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row>
    <row r="71" spans="2:34" x14ac:dyDescent="0.25">
      <c r="B71" s="3" t="s">
        <v>3</v>
      </c>
      <c r="F71" s="51"/>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row>
    <row r="72" spans="2:34" x14ac:dyDescent="0.25">
      <c r="B72" t="s">
        <v>80</v>
      </c>
      <c r="C72" t="s">
        <v>79</v>
      </c>
      <c r="F72" s="48">
        <f>AVERAGE(G72:W72)</f>
        <v>88.846986351748924</v>
      </c>
      <c r="G72" s="37"/>
      <c r="H72" s="37"/>
      <c r="I72" s="37"/>
      <c r="J72" s="37"/>
      <c r="K72" s="42">
        <f>K73/K22</f>
        <v>73.797321428571436</v>
      </c>
      <c r="L72" s="42">
        <f t="shared" ref="L72:W72" si="22">L73/L22</f>
        <v>111.22270531400966</v>
      </c>
      <c r="M72" s="42">
        <f t="shared" si="22"/>
        <v>112.08711755233495</v>
      </c>
      <c r="N72" s="42">
        <f t="shared" si="22"/>
        <v>94.924637681159425</v>
      </c>
      <c r="O72" s="42">
        <f t="shared" si="22"/>
        <v>102.36425120772947</v>
      </c>
      <c r="P72" s="42">
        <f t="shared" si="22"/>
        <v>103.10112721417069</v>
      </c>
      <c r="Q72" s="42">
        <f t="shared" si="22"/>
        <v>101.95507246376812</v>
      </c>
      <c r="R72" s="42">
        <f t="shared" si="22"/>
        <v>82.257809983896934</v>
      </c>
      <c r="S72" s="42">
        <f t="shared" si="22"/>
        <v>77.16876006441224</v>
      </c>
      <c r="T72" s="42">
        <f t="shared" si="22"/>
        <v>78.290016103059585</v>
      </c>
      <c r="U72" s="42">
        <f t="shared" si="22"/>
        <v>73.613687600644127</v>
      </c>
      <c r="V72" s="42">
        <f t="shared" si="22"/>
        <v>73.532206119162637</v>
      </c>
      <c r="W72" s="42">
        <f t="shared" si="22"/>
        <v>70.696109839816941</v>
      </c>
      <c r="X72" s="37"/>
      <c r="Y72" s="37"/>
      <c r="Z72" s="37"/>
      <c r="AA72" s="37"/>
      <c r="AB72" s="37"/>
      <c r="AC72" s="37"/>
      <c r="AD72" s="37"/>
      <c r="AE72" s="37"/>
      <c r="AF72" s="37"/>
      <c r="AG72" s="37"/>
      <c r="AH72" s="37"/>
    </row>
    <row r="73" spans="2:34" x14ac:dyDescent="0.25">
      <c r="B73" t="s">
        <v>81</v>
      </c>
      <c r="C73" t="s">
        <v>44</v>
      </c>
      <c r="F73" s="49">
        <f>SUM(G73:W73)</f>
        <v>666690800</v>
      </c>
      <c r="G73" s="37"/>
      <c r="H73" s="37"/>
      <c r="I73" s="37"/>
      <c r="J73" s="37"/>
      <c r="K73" s="38">
        <f>SUM(K67:K69)+K62</f>
        <v>8265300.0000000009</v>
      </c>
      <c r="L73" s="38">
        <f t="shared" ref="L73:W73" si="23">SUM(L67:L69)+L62</f>
        <v>69069300</v>
      </c>
      <c r="M73" s="38">
        <f t="shared" si="23"/>
        <v>69606100</v>
      </c>
      <c r="N73" s="38">
        <f t="shared" si="23"/>
        <v>58948200</v>
      </c>
      <c r="O73" s="38">
        <f t="shared" si="23"/>
        <v>63568200</v>
      </c>
      <c r="P73" s="38">
        <f t="shared" si="23"/>
        <v>64025800</v>
      </c>
      <c r="Q73" s="38">
        <f t="shared" si="23"/>
        <v>63314100</v>
      </c>
      <c r="R73" s="38">
        <f t="shared" si="23"/>
        <v>51082100</v>
      </c>
      <c r="S73" s="38">
        <f t="shared" si="23"/>
        <v>47921800</v>
      </c>
      <c r="T73" s="38">
        <f t="shared" si="23"/>
        <v>48618100</v>
      </c>
      <c r="U73" s="38">
        <f t="shared" si="23"/>
        <v>45714100</v>
      </c>
      <c r="V73" s="38">
        <f t="shared" si="23"/>
        <v>45663500</v>
      </c>
      <c r="W73" s="38">
        <f t="shared" si="23"/>
        <v>30894200.000000004</v>
      </c>
      <c r="X73" s="37"/>
      <c r="Y73" s="37"/>
      <c r="Z73" s="37"/>
      <c r="AA73" s="37"/>
      <c r="AB73" s="37"/>
      <c r="AC73" s="37"/>
      <c r="AD73" s="37"/>
      <c r="AE73" s="37"/>
      <c r="AF73" s="37"/>
      <c r="AG73" s="37"/>
      <c r="AH73" s="37"/>
    </row>
    <row r="74" spans="2:34" x14ac:dyDescent="0.25">
      <c r="B74" s="22" t="s">
        <v>82</v>
      </c>
      <c r="C74" t="s">
        <v>20</v>
      </c>
      <c r="F74" s="47">
        <f>AVERAGE(K74:W74)</f>
        <v>9.8217076371879291</v>
      </c>
      <c r="G74" s="37"/>
      <c r="H74" s="37"/>
      <c r="I74" s="37"/>
      <c r="J74" s="37"/>
      <c r="K74" s="43">
        <f>K73/(K43+K44*K15/K14)</f>
        <v>4.097818542389688</v>
      </c>
      <c r="L74" s="43">
        <f t="shared" ref="L74:W74" si="24">L73/(L43+L44*L15/L14)</f>
        <v>8.4643750000000004</v>
      </c>
      <c r="M74" s="43">
        <f t="shared" si="24"/>
        <v>10.661066013172002</v>
      </c>
      <c r="N74" s="43">
        <f t="shared" si="24"/>
        <v>8.9423847087378636</v>
      </c>
      <c r="O74" s="43">
        <f t="shared" si="24"/>
        <v>9.9543062950203574</v>
      </c>
      <c r="P74" s="43">
        <f t="shared" si="24"/>
        <v>11.177688547486033</v>
      </c>
      <c r="Q74" s="43">
        <f t="shared" si="24"/>
        <v>11.700997967104048</v>
      </c>
      <c r="R74" s="43">
        <f t="shared" si="24"/>
        <v>9.7095799277703865</v>
      </c>
      <c r="S74" s="43">
        <f t="shared" si="24"/>
        <v>10.080311316785865</v>
      </c>
      <c r="T74" s="43">
        <f t="shared" si="24"/>
        <v>10.592178649237473</v>
      </c>
      <c r="U74" s="43">
        <f t="shared" si="24"/>
        <v>10.680864485981308</v>
      </c>
      <c r="V74" s="43">
        <f t="shared" si="24"/>
        <v>10.575150532654007</v>
      </c>
      <c r="W74" s="43">
        <f t="shared" si="24"/>
        <v>11.045477297104041</v>
      </c>
      <c r="X74" s="37"/>
      <c r="Y74" s="37"/>
      <c r="Z74" s="37"/>
      <c r="AA74" s="37"/>
      <c r="AB74" s="37"/>
      <c r="AC74" s="37"/>
      <c r="AD74" s="37"/>
      <c r="AE74" s="37"/>
      <c r="AF74" s="37"/>
      <c r="AG74" s="37"/>
      <c r="AH74" s="37"/>
    </row>
    <row r="75" spans="2:34" x14ac:dyDescent="0.25">
      <c r="F75" s="51"/>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row>
    <row r="76" spans="2:34" ht="15.75" thickBot="1" x14ac:dyDescent="0.3">
      <c r="B76" s="7" t="s">
        <v>86</v>
      </c>
      <c r="F76" s="51"/>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row>
    <row r="77" spans="2:34" x14ac:dyDescent="0.25">
      <c r="B77" t="s">
        <v>144</v>
      </c>
      <c r="C77" t="s">
        <v>44</v>
      </c>
      <c r="F77" s="49">
        <f>SUM(G77:W77)</f>
        <v>30936422</v>
      </c>
      <c r="G77" s="37"/>
      <c r="H77" s="37"/>
      <c r="I77" s="37"/>
      <c r="J77" s="37"/>
      <c r="K77" s="38">
        <f>2%*K59</f>
        <v>968154</v>
      </c>
      <c r="L77" s="38">
        <f t="shared" ref="L77:W77" si="25">2%*L59</f>
        <v>3858542</v>
      </c>
      <c r="M77" s="38">
        <f t="shared" si="25"/>
        <v>3040446</v>
      </c>
      <c r="N77" s="38">
        <f t="shared" si="25"/>
        <v>3068734</v>
      </c>
      <c r="O77" s="38">
        <f t="shared" si="25"/>
        <v>2978208</v>
      </c>
      <c r="P77" s="38">
        <f t="shared" si="25"/>
        <v>2660252</v>
      </c>
      <c r="Q77" s="38">
        <f t="shared" si="25"/>
        <v>2497528</v>
      </c>
      <c r="R77" s="38">
        <f t="shared" si="25"/>
        <v>2420042</v>
      </c>
      <c r="S77" s="38">
        <f t="shared" si="25"/>
        <v>2174484</v>
      </c>
      <c r="T77" s="38">
        <f t="shared" si="25"/>
        <v>2097170</v>
      </c>
      <c r="U77" s="38">
        <f t="shared" si="25"/>
        <v>1947010</v>
      </c>
      <c r="V77" s="38">
        <f t="shared" si="25"/>
        <v>1962534</v>
      </c>
      <c r="W77" s="38">
        <f t="shared" si="25"/>
        <v>1263318</v>
      </c>
      <c r="X77" s="37"/>
      <c r="Y77" s="37"/>
      <c r="Z77" s="37"/>
      <c r="AA77" s="37"/>
      <c r="AB77" s="37"/>
      <c r="AC77" s="37"/>
      <c r="AD77" s="37"/>
      <c r="AE77" s="37"/>
      <c r="AF77" s="37"/>
      <c r="AG77" s="37"/>
      <c r="AH77" s="37"/>
    </row>
    <row r="78" spans="2:34" x14ac:dyDescent="0.25">
      <c r="B78" s="24" t="s">
        <v>150</v>
      </c>
      <c r="C78" s="22" t="s">
        <v>44</v>
      </c>
      <c r="F78" s="49">
        <f t="shared" ref="F78:F79" si="26">SUM(G78:W78)</f>
        <v>75291315</v>
      </c>
      <c r="G78" s="37"/>
      <c r="H78" s="37"/>
      <c r="I78" s="37"/>
      <c r="J78" s="37"/>
      <c r="K78" s="38">
        <f>7.5%*(K49-K73)</f>
        <v>3161977.5</v>
      </c>
      <c r="L78" s="38">
        <f t="shared" ref="L78:W78" si="27">7.5%*(L49-L73)</f>
        <v>10119802.5</v>
      </c>
      <c r="M78" s="38">
        <f t="shared" si="27"/>
        <v>7021417.5</v>
      </c>
      <c r="N78" s="38">
        <f t="shared" si="27"/>
        <v>7938885</v>
      </c>
      <c r="O78" s="38">
        <f t="shared" si="27"/>
        <v>7206135</v>
      </c>
      <c r="P78" s="38">
        <f t="shared" si="27"/>
        <v>5938065</v>
      </c>
      <c r="Q78" s="38">
        <f t="shared" si="27"/>
        <v>5397067.5</v>
      </c>
      <c r="R78" s="38">
        <f t="shared" si="27"/>
        <v>6033217.5</v>
      </c>
      <c r="S78" s="38">
        <f t="shared" si="27"/>
        <v>5319615</v>
      </c>
      <c r="T78" s="38">
        <f t="shared" si="27"/>
        <v>4959892.5</v>
      </c>
      <c r="U78" s="38">
        <f t="shared" si="27"/>
        <v>4596442.5</v>
      </c>
      <c r="V78" s="38">
        <f t="shared" si="27"/>
        <v>4671487.5</v>
      </c>
      <c r="W78" s="38">
        <f t="shared" si="27"/>
        <v>2927310</v>
      </c>
      <c r="X78" s="37"/>
      <c r="Y78" s="37"/>
      <c r="Z78" s="37"/>
      <c r="AA78" s="37"/>
      <c r="AB78" s="37"/>
      <c r="AC78" s="37"/>
      <c r="AD78" s="37"/>
      <c r="AE78" s="37"/>
      <c r="AF78" s="37"/>
      <c r="AG78" s="37"/>
      <c r="AH78" s="37"/>
    </row>
    <row r="79" spans="2:34" x14ac:dyDescent="0.25">
      <c r="B79" s="24" t="s">
        <v>151</v>
      </c>
      <c r="C79" s="22" t="s">
        <v>44</v>
      </c>
      <c r="F79" s="49">
        <f t="shared" si="26"/>
        <v>8352875</v>
      </c>
      <c r="G79" s="37"/>
      <c r="H79" s="37"/>
      <c r="I79" s="37"/>
      <c r="J79" s="37"/>
      <c r="K79" s="38">
        <f>0.5%*K49</f>
        <v>252125</v>
      </c>
      <c r="L79" s="38">
        <f t="shared" ref="L79:W79" si="28">0.5%*L49</f>
        <v>1020000</v>
      </c>
      <c r="M79" s="38">
        <f t="shared" si="28"/>
        <v>816125</v>
      </c>
      <c r="N79" s="38">
        <f t="shared" si="28"/>
        <v>824000</v>
      </c>
      <c r="O79" s="38">
        <f t="shared" si="28"/>
        <v>798250</v>
      </c>
      <c r="P79" s="38">
        <f t="shared" si="28"/>
        <v>716000</v>
      </c>
      <c r="Q79" s="38">
        <f t="shared" si="28"/>
        <v>676375</v>
      </c>
      <c r="R79" s="38">
        <f t="shared" si="28"/>
        <v>657625</v>
      </c>
      <c r="S79" s="38">
        <f t="shared" si="28"/>
        <v>594250</v>
      </c>
      <c r="T79" s="38">
        <f t="shared" si="28"/>
        <v>573750</v>
      </c>
      <c r="U79" s="38">
        <f t="shared" si="28"/>
        <v>535000</v>
      </c>
      <c r="V79" s="38">
        <f t="shared" si="28"/>
        <v>539750</v>
      </c>
      <c r="W79" s="38">
        <f t="shared" si="28"/>
        <v>349625</v>
      </c>
      <c r="X79" s="37"/>
      <c r="Y79" s="37"/>
      <c r="Z79" s="37"/>
      <c r="AA79" s="37"/>
      <c r="AB79" s="37"/>
      <c r="AC79" s="37"/>
      <c r="AD79" s="37"/>
      <c r="AE79" s="37"/>
      <c r="AF79" s="37"/>
      <c r="AG79" s="37"/>
      <c r="AH79" s="37"/>
    </row>
    <row r="80" spans="2:34" x14ac:dyDescent="0.25">
      <c r="F80" s="51"/>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2:34" ht="15.75" thickBot="1" x14ac:dyDescent="0.3">
      <c r="B81" s="7" t="s">
        <v>88</v>
      </c>
      <c r="F81" s="51"/>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row>
    <row r="82" spans="2:34" x14ac:dyDescent="0.25">
      <c r="B82" s="23" t="s">
        <v>49</v>
      </c>
      <c r="C82" s="22" t="s">
        <v>44</v>
      </c>
      <c r="F82" s="49">
        <f>SUM(G82:W82)</f>
        <v>606073588.00000012</v>
      </c>
      <c r="G82" s="37"/>
      <c r="H82" s="37"/>
      <c r="I82" s="37"/>
      <c r="J82" s="37"/>
      <c r="K82" s="38">
        <f>K49-K63-K73-SUM(K77:K79)</f>
        <v>37777443.5</v>
      </c>
      <c r="L82" s="38">
        <f t="shared" ref="L82:W82" si="29">L49-L63-L73-SUM(L77:L79)</f>
        <v>54176688.833333343</v>
      </c>
      <c r="M82" s="38">
        <f t="shared" si="29"/>
        <v>62019578.166666687</v>
      </c>
      <c r="N82" s="38">
        <f t="shared" si="29"/>
        <v>64015847.666666687</v>
      </c>
      <c r="O82" s="38">
        <f t="shared" si="29"/>
        <v>64207540.333333343</v>
      </c>
      <c r="P82" s="38">
        <f t="shared" si="29"/>
        <v>47356549.666666672</v>
      </c>
      <c r="Q82" s="38">
        <f t="shared" si="29"/>
        <v>42454929.5</v>
      </c>
      <c r="R82" s="38">
        <f t="shared" si="29"/>
        <v>49944348.833333343</v>
      </c>
      <c r="S82" s="38">
        <f t="shared" si="29"/>
        <v>40838517.666666672</v>
      </c>
      <c r="T82" s="38">
        <f t="shared" si="29"/>
        <v>36264087.5</v>
      </c>
      <c r="U82" s="38">
        <f t="shared" si="29"/>
        <v>31582780.833333343</v>
      </c>
      <c r="V82" s="38">
        <f t="shared" si="29"/>
        <v>48179728.5</v>
      </c>
      <c r="W82" s="38">
        <f t="shared" si="29"/>
        <v>27255546.999999996</v>
      </c>
      <c r="X82" s="37"/>
      <c r="Y82" s="37"/>
      <c r="Z82" s="37"/>
      <c r="AA82" s="37"/>
      <c r="AB82" s="37"/>
      <c r="AC82" s="37"/>
      <c r="AD82" s="37"/>
      <c r="AE82" s="37"/>
      <c r="AF82" s="37"/>
      <c r="AG82" s="37"/>
      <c r="AH82" s="37"/>
    </row>
    <row r="83" spans="2:34" x14ac:dyDescent="0.25">
      <c r="B83" s="24" t="s">
        <v>146</v>
      </c>
      <c r="C83" s="22" t="s">
        <v>44</v>
      </c>
      <c r="F83" s="49">
        <f>SUM(G83:W83)</f>
        <v>19250000</v>
      </c>
      <c r="G83" s="37"/>
      <c r="H83" s="37"/>
      <c r="I83" s="37"/>
      <c r="J83" s="37"/>
      <c r="K83" s="38">
        <v>19250000</v>
      </c>
      <c r="L83" s="38"/>
      <c r="M83" s="38"/>
      <c r="N83" s="38"/>
      <c r="O83" s="38"/>
      <c r="P83" s="38"/>
      <c r="Q83" s="38"/>
      <c r="R83" s="38"/>
      <c r="S83" s="38"/>
      <c r="T83" s="38"/>
      <c r="U83" s="38"/>
      <c r="V83" s="38"/>
      <c r="W83" s="38"/>
      <c r="X83" s="37"/>
      <c r="Y83" s="37"/>
      <c r="Z83" s="37"/>
      <c r="AA83" s="37"/>
      <c r="AB83" s="37"/>
      <c r="AC83" s="37"/>
      <c r="AD83" s="37"/>
      <c r="AE83" s="37"/>
      <c r="AF83" s="37"/>
      <c r="AG83" s="37"/>
      <c r="AH83" s="37"/>
    </row>
    <row r="84" spans="2:34" x14ac:dyDescent="0.25">
      <c r="B84" s="24" t="s">
        <v>145</v>
      </c>
      <c r="C84" s="22" t="s">
        <v>22</v>
      </c>
      <c r="F84" s="54">
        <f>AVERAGE(G84:W84)</f>
        <v>0.29999999999999993</v>
      </c>
      <c r="G84" s="44"/>
      <c r="H84" s="44"/>
      <c r="I84" s="44"/>
      <c r="J84" s="44"/>
      <c r="K84" s="44">
        <v>0.3</v>
      </c>
      <c r="L84" s="44">
        <v>0.3</v>
      </c>
      <c r="M84" s="44">
        <v>0.3</v>
      </c>
      <c r="N84" s="44">
        <v>0.3</v>
      </c>
      <c r="O84" s="44">
        <v>0.3</v>
      </c>
      <c r="P84" s="44">
        <v>0.3</v>
      </c>
      <c r="Q84" s="44">
        <v>0.3</v>
      </c>
      <c r="R84" s="44">
        <v>0.3</v>
      </c>
      <c r="S84" s="44">
        <v>0.3</v>
      </c>
      <c r="T84" s="44">
        <v>0.3</v>
      </c>
      <c r="U84" s="44">
        <v>0.3</v>
      </c>
      <c r="V84" s="44">
        <v>0.3</v>
      </c>
      <c r="W84" s="44">
        <v>0.3</v>
      </c>
      <c r="X84" s="57"/>
      <c r="Y84" s="37"/>
      <c r="Z84" s="37"/>
      <c r="AA84" s="37"/>
      <c r="AB84" s="37"/>
      <c r="AC84" s="37"/>
      <c r="AD84" s="37"/>
      <c r="AE84" s="37"/>
      <c r="AF84" s="37"/>
      <c r="AG84" s="37"/>
      <c r="AH84" s="37"/>
    </row>
    <row r="85" spans="2:34" x14ac:dyDescent="0.25">
      <c r="B85" s="24" t="s">
        <v>89</v>
      </c>
      <c r="C85" s="22" t="s">
        <v>44</v>
      </c>
      <c r="F85" s="49">
        <f>SUM(G85:W85)</f>
        <v>430026511.60000008</v>
      </c>
      <c r="G85" s="37"/>
      <c r="H85" s="37"/>
      <c r="I85" s="37"/>
      <c r="J85" s="37"/>
      <c r="K85" s="38">
        <f>IF(K82&gt;=0,K82-(K82-K83)*K84,K82)</f>
        <v>32219210.449999999</v>
      </c>
      <c r="L85" s="38">
        <f t="shared" ref="L85:W85" si="30">IF(L82&gt;=0,L82-(L82-L83)*L84,L82)</f>
        <v>37923682.183333337</v>
      </c>
      <c r="M85" s="38">
        <f t="shared" si="30"/>
        <v>43413704.716666684</v>
      </c>
      <c r="N85" s="38">
        <f t="shared" si="30"/>
        <v>44811093.366666682</v>
      </c>
      <c r="O85" s="38">
        <f t="shared" si="30"/>
        <v>44945278.233333342</v>
      </c>
      <c r="P85" s="38">
        <f t="shared" si="30"/>
        <v>33149584.766666673</v>
      </c>
      <c r="Q85" s="38">
        <f t="shared" si="30"/>
        <v>29718450.649999999</v>
      </c>
      <c r="R85" s="38">
        <f t="shared" si="30"/>
        <v>34961044.183333337</v>
      </c>
      <c r="S85" s="38">
        <f t="shared" si="30"/>
        <v>28586962.366666671</v>
      </c>
      <c r="T85" s="38">
        <f t="shared" si="30"/>
        <v>25384861.25</v>
      </c>
      <c r="U85" s="38">
        <f t="shared" si="30"/>
        <v>22107946.583333343</v>
      </c>
      <c r="V85" s="38">
        <f t="shared" si="30"/>
        <v>33725809.950000003</v>
      </c>
      <c r="W85" s="38">
        <f t="shared" si="30"/>
        <v>19078882.899999999</v>
      </c>
      <c r="X85" s="37"/>
      <c r="Y85" s="37"/>
      <c r="Z85" s="37"/>
      <c r="AA85" s="37"/>
      <c r="AB85" s="37"/>
      <c r="AC85" s="37"/>
      <c r="AD85" s="37"/>
      <c r="AE85" s="37"/>
      <c r="AF85" s="37"/>
      <c r="AG85" s="37"/>
      <c r="AH85" s="37"/>
    </row>
    <row r="86" spans="2:34" x14ac:dyDescent="0.25">
      <c r="F86" s="51"/>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row>
    <row r="87" spans="2:34" ht="15.75" thickBot="1" x14ac:dyDescent="0.3">
      <c r="B87" s="7" t="s">
        <v>47</v>
      </c>
      <c r="F87" s="51"/>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row>
    <row r="88" spans="2:34" x14ac:dyDescent="0.25">
      <c r="B88" t="s">
        <v>147</v>
      </c>
      <c r="C88" t="s">
        <v>44</v>
      </c>
      <c r="E88" s="10">
        <f>9500000</f>
        <v>9500000</v>
      </c>
      <c r="F88" s="49">
        <f>SUM(G88:W88)</f>
        <v>181048300</v>
      </c>
      <c r="G88" s="38">
        <f>9500000</f>
        <v>9500000</v>
      </c>
      <c r="H88" s="38">
        <f>(103787000-E88-G88)*Auxiliary!$B$9/2</f>
        <v>46632850.000000007</v>
      </c>
      <c r="I88" s="38">
        <f>(103787000-E88-G88)*Auxiliary!$B$9/2</f>
        <v>46632850.000000007</v>
      </c>
      <c r="J88" s="38">
        <f>71166000*Auxiliary!B9*0.4</f>
        <v>31313040</v>
      </c>
      <c r="K88" s="38">
        <f>71166000*Auxiliary!B9*0.6</f>
        <v>46969560</v>
      </c>
      <c r="L88" s="38"/>
      <c r="M88" s="38"/>
      <c r="N88" s="38"/>
      <c r="O88" s="38"/>
      <c r="P88" s="38"/>
      <c r="Q88" s="38"/>
      <c r="R88" s="38"/>
      <c r="S88" s="38"/>
      <c r="T88" s="38"/>
      <c r="U88" s="38"/>
      <c r="V88" s="38"/>
      <c r="W88" s="38"/>
      <c r="X88" s="37"/>
      <c r="Y88" s="37"/>
      <c r="Z88" s="37"/>
      <c r="AA88" s="37"/>
      <c r="AB88" s="37"/>
      <c r="AC88" s="37"/>
      <c r="AD88" s="37"/>
      <c r="AE88" s="37"/>
      <c r="AF88" s="37"/>
      <c r="AG88" s="37"/>
      <c r="AH88" s="37"/>
    </row>
    <row r="89" spans="2:34" x14ac:dyDescent="0.25">
      <c r="B89" t="s">
        <v>93</v>
      </c>
      <c r="C89" t="s">
        <v>44</v>
      </c>
      <c r="E89" s="10"/>
      <c r="F89" s="49">
        <f>SUM(G89:AG89)</f>
        <v>119396200.00000001</v>
      </c>
      <c r="G89" s="38"/>
      <c r="H89" s="38"/>
      <c r="I89" s="38"/>
      <c r="J89" s="38"/>
      <c r="K89" s="38">
        <f>6974000*Auxiliary!B9</f>
        <v>7671400.0000000009</v>
      </c>
      <c r="L89" s="38">
        <f>22491000*Auxiliary!B9</f>
        <v>24740100.000000004</v>
      </c>
      <c r="M89" s="38">
        <f>22122000*Auxiliary!B9</f>
        <v>24334200.000000004</v>
      </c>
      <c r="N89" s="38">
        <f>22399000*Auxiliary!B9</f>
        <v>24638900.000000004</v>
      </c>
      <c r="O89" s="38">
        <f>10314000*Auxiliary!B9</f>
        <v>11345400</v>
      </c>
      <c r="P89" s="38">
        <f>6573000*Auxiliary!B9</f>
        <v>7230300.0000000009</v>
      </c>
      <c r="Q89" s="38">
        <f>5288000*Auxiliary!B9</f>
        <v>5816800.0000000009</v>
      </c>
      <c r="R89" s="38">
        <f>6074000*Auxiliary!B9</f>
        <v>6681400.0000000009</v>
      </c>
      <c r="S89" s="38">
        <f>2431000*Auxiliary!B9</f>
        <v>2674100</v>
      </c>
      <c r="T89" s="38">
        <f>3876000*Auxiliary!B9</f>
        <v>4263600</v>
      </c>
      <c r="U89" s="38"/>
      <c r="V89" s="38"/>
      <c r="W89" s="38"/>
      <c r="X89" s="37"/>
      <c r="Y89" s="37"/>
      <c r="Z89" s="37"/>
      <c r="AA89" s="37"/>
      <c r="AB89" s="37"/>
      <c r="AC89" s="37"/>
      <c r="AD89" s="37"/>
      <c r="AE89" s="37"/>
      <c r="AF89" s="37"/>
      <c r="AG89" s="37"/>
      <c r="AH89" s="37"/>
    </row>
    <row r="90" spans="2:34" x14ac:dyDescent="0.25">
      <c r="B90" t="s">
        <v>153</v>
      </c>
      <c r="C90" t="s">
        <v>44</v>
      </c>
      <c r="E90" s="10"/>
      <c r="F90" s="49">
        <f>SUM(G90:AG90)</f>
        <v>7761600</v>
      </c>
      <c r="G90" s="38"/>
      <c r="H90" s="38"/>
      <c r="I90" s="38"/>
      <c r="J90" s="38"/>
      <c r="K90" s="38"/>
      <c r="L90" s="38"/>
      <c r="M90" s="38"/>
      <c r="N90" s="38"/>
      <c r="O90" s="38"/>
      <c r="P90" s="38"/>
      <c r="Q90" s="38"/>
      <c r="R90" s="38"/>
      <c r="S90" s="38"/>
      <c r="T90" s="38"/>
      <c r="U90" s="38"/>
      <c r="V90" s="38"/>
      <c r="W90" s="38">
        <f>1587000*Auxiliary!B9</f>
        <v>1745700.0000000002</v>
      </c>
      <c r="X90" s="38">
        <f>4797000*Auxiliary!B9</f>
        <v>5276700</v>
      </c>
      <c r="Y90" s="38">
        <f>35000*Auxiliary!$B$9</f>
        <v>38500</v>
      </c>
      <c r="Z90" s="38">
        <f>35000*Auxiliary!$B$9</f>
        <v>38500</v>
      </c>
      <c r="AA90" s="38">
        <f>86000*Auxiliary!$B$9</f>
        <v>94600.000000000015</v>
      </c>
      <c r="AB90" s="38">
        <f>86000*Auxiliary!$B$9</f>
        <v>94600.000000000015</v>
      </c>
      <c r="AC90" s="38">
        <f>86000*Auxiliary!$B$9</f>
        <v>94600.000000000015</v>
      </c>
      <c r="AD90" s="38">
        <f>86000*Auxiliary!$B$9</f>
        <v>94600.000000000015</v>
      </c>
      <c r="AE90" s="38">
        <f>86000*Auxiliary!$B$9</f>
        <v>94600.000000000015</v>
      </c>
      <c r="AF90" s="38">
        <f>86000*Auxiliary!$B$9</f>
        <v>94600.000000000015</v>
      </c>
      <c r="AG90" s="38">
        <f>86000*Auxiliary!$B$9</f>
        <v>94600.000000000015</v>
      </c>
      <c r="AH90" s="37"/>
    </row>
    <row r="91" spans="2:34" x14ac:dyDescent="0.25">
      <c r="B91" t="s">
        <v>95</v>
      </c>
      <c r="C91" t="s">
        <v>20</v>
      </c>
      <c r="F91" s="47">
        <f>AVERAGE(G91:W91)</f>
        <v>13.224403799963358</v>
      </c>
      <c r="G91" s="37"/>
      <c r="H91" s="37"/>
      <c r="I91" s="37"/>
      <c r="J91" s="37"/>
      <c r="K91" s="43">
        <f>(K73+SUM(K89:K90)+SUM(K77:K79))/(K43+K44*K15/K14)</f>
        <v>10.073850520575112</v>
      </c>
      <c r="L91" s="43">
        <f t="shared" ref="L91:W91" si="31">(L73+SUM(L89:L90)+SUM(L77:L79))/(L43+L44*L15/L14)</f>
        <v>13.334282414215686</v>
      </c>
      <c r="M91" s="43">
        <f t="shared" si="31"/>
        <v>16.054263822943788</v>
      </c>
      <c r="N91" s="43">
        <f t="shared" si="31"/>
        <v>14.47492703276699</v>
      </c>
      <c r="O91" s="43">
        <f t="shared" si="31"/>
        <v>13.450703570310052</v>
      </c>
      <c r="P91" s="43">
        <f t="shared" si="31"/>
        <v>14.066064420391061</v>
      </c>
      <c r="Q91" s="43">
        <f t="shared" si="31"/>
        <v>14.359983459619293</v>
      </c>
      <c r="R91" s="43">
        <f t="shared" si="31"/>
        <v>12.711344706329594</v>
      </c>
      <c r="S91" s="43">
        <f t="shared" si="31"/>
        <v>12.344183634833824</v>
      </c>
      <c r="T91" s="43">
        <f t="shared" si="31"/>
        <v>13.183553921568627</v>
      </c>
      <c r="U91" s="43">
        <f t="shared" si="31"/>
        <v>12.334708528037384</v>
      </c>
      <c r="V91" s="43">
        <f t="shared" si="31"/>
        <v>12.236514937471052</v>
      </c>
      <c r="W91" s="43">
        <f t="shared" si="31"/>
        <v>13.292868430461208</v>
      </c>
      <c r="X91" s="37"/>
      <c r="Y91" s="37"/>
      <c r="Z91" s="37"/>
      <c r="AA91" s="37"/>
      <c r="AB91" s="37"/>
      <c r="AC91" s="37"/>
      <c r="AD91" s="37"/>
      <c r="AE91" s="37"/>
      <c r="AF91" s="37"/>
      <c r="AG91" s="37"/>
      <c r="AH91" s="37"/>
    </row>
    <row r="92" spans="2:34" x14ac:dyDescent="0.25">
      <c r="F92" s="51"/>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2:34" ht="15.75" thickBot="1" x14ac:dyDescent="0.3">
      <c r="B93" s="7" t="s">
        <v>154</v>
      </c>
      <c r="F93" s="51"/>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row>
    <row r="94" spans="2:34" x14ac:dyDescent="0.25">
      <c r="B94" t="s">
        <v>155</v>
      </c>
      <c r="C94" t="s">
        <v>44</v>
      </c>
      <c r="F94" s="59"/>
      <c r="G94" s="37"/>
      <c r="H94" s="37"/>
      <c r="I94" s="37"/>
      <c r="J94" s="37"/>
      <c r="K94" s="38">
        <f>4701000</f>
        <v>4701000</v>
      </c>
      <c r="L94" s="38">
        <f>11130000</f>
        <v>11130000</v>
      </c>
      <c r="M94" s="38">
        <f>-4705000</f>
        <v>-4705000</v>
      </c>
      <c r="N94" s="38">
        <f>870000</f>
        <v>870000</v>
      </c>
      <c r="O94" s="38">
        <f>-584000</f>
        <v>-584000</v>
      </c>
      <c r="P94" s="38">
        <f>-1469000</f>
        <v>-1469000</v>
      </c>
      <c r="Q94" s="38">
        <f>-1073000</f>
        <v>-1073000</v>
      </c>
      <c r="R94" s="38">
        <f>422000</f>
        <v>422000</v>
      </c>
      <c r="S94" s="38">
        <f>-1021000</f>
        <v>-1021000</v>
      </c>
      <c r="T94" s="38">
        <f>-353000</f>
        <v>-353000</v>
      </c>
      <c r="U94" s="38">
        <f>-527000</f>
        <v>-527000</v>
      </c>
      <c r="V94" s="38">
        <f>-5000</f>
        <v>-5000</v>
      </c>
      <c r="W94" s="38">
        <f>-7385000</f>
        <v>-7385000</v>
      </c>
      <c r="X94" s="37"/>
      <c r="Y94" s="37"/>
      <c r="Z94" s="37"/>
      <c r="AA94" s="37"/>
      <c r="AB94" s="37"/>
      <c r="AC94" s="37"/>
      <c r="AD94" s="37"/>
      <c r="AE94" s="37"/>
      <c r="AF94" s="37"/>
      <c r="AG94" s="37"/>
      <c r="AH94" s="37"/>
    </row>
    <row r="95" spans="2:34" x14ac:dyDescent="0.25">
      <c r="F95" s="51"/>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row>
    <row r="96" spans="2:34" ht="15.75" thickBot="1" x14ac:dyDescent="0.3">
      <c r="B96" s="7" t="s">
        <v>48</v>
      </c>
      <c r="F96" s="51"/>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row>
    <row r="97" spans="2:34" x14ac:dyDescent="0.25">
      <c r="B97" s="22" t="s">
        <v>48</v>
      </c>
      <c r="C97" t="s">
        <v>44</v>
      </c>
      <c r="F97" s="49">
        <f>SUM(G97:AG97)</f>
        <v>405049411.59999996</v>
      </c>
      <c r="G97" s="38">
        <f t="shared" ref="G97:J97" si="32">G85+G63-SUM(G88:G90)-G94</f>
        <v>-9500000</v>
      </c>
      <c r="H97" s="38">
        <f t="shared" si="32"/>
        <v>-46632850.000000007</v>
      </c>
      <c r="I97" s="38">
        <f t="shared" si="32"/>
        <v>-46632850.000000007</v>
      </c>
      <c r="J97" s="38">
        <f t="shared" si="32"/>
        <v>-31313040</v>
      </c>
      <c r="K97" s="38">
        <f>K85+K63-SUM(K88:K90)-K94</f>
        <v>-27122749.550000001</v>
      </c>
      <c r="L97" s="38">
        <f t="shared" ref="L97:AG97" si="33">L85+L63-SUM(L88:L90)-L94</f>
        <v>67809248.849999994</v>
      </c>
      <c r="M97" s="38">
        <f t="shared" si="33"/>
        <v>44505838.050000012</v>
      </c>
      <c r="N97" s="38">
        <f t="shared" si="33"/>
        <v>49306526.700000018</v>
      </c>
      <c r="O97" s="38">
        <f t="shared" si="33"/>
        <v>55075544.900000006</v>
      </c>
      <c r="P97" s="38">
        <f t="shared" si="33"/>
        <v>49891618.100000001</v>
      </c>
      <c r="Q97" s="38">
        <f t="shared" si="33"/>
        <v>45909650.649999999</v>
      </c>
      <c r="R97" s="38">
        <f t="shared" si="33"/>
        <v>49245310.850000001</v>
      </c>
      <c r="S97" s="38">
        <f t="shared" si="33"/>
        <v>48935195.700000003</v>
      </c>
      <c r="T97" s="38">
        <f t="shared" si="33"/>
        <v>43711261.25</v>
      </c>
      <c r="U97" s="38">
        <f t="shared" si="33"/>
        <v>45259613.250000007</v>
      </c>
      <c r="V97" s="38">
        <f t="shared" si="33"/>
        <v>40663809.950000003</v>
      </c>
      <c r="W97" s="38">
        <f t="shared" si="33"/>
        <v>31953182.899999999</v>
      </c>
      <c r="X97" s="38">
        <f t="shared" si="33"/>
        <v>-5276700</v>
      </c>
      <c r="Y97" s="38">
        <f t="shared" si="33"/>
        <v>-38500</v>
      </c>
      <c r="Z97" s="38">
        <f t="shared" si="33"/>
        <v>-38500</v>
      </c>
      <c r="AA97" s="38">
        <f t="shared" si="33"/>
        <v>-94600.000000000015</v>
      </c>
      <c r="AB97" s="38">
        <f t="shared" si="33"/>
        <v>-94600.000000000015</v>
      </c>
      <c r="AC97" s="38">
        <f t="shared" si="33"/>
        <v>-94600.000000000015</v>
      </c>
      <c r="AD97" s="38">
        <f t="shared" si="33"/>
        <v>-94600.000000000015</v>
      </c>
      <c r="AE97" s="38">
        <f t="shared" si="33"/>
        <v>-94600.000000000015</v>
      </c>
      <c r="AF97" s="38">
        <f t="shared" si="33"/>
        <v>-94600.000000000015</v>
      </c>
      <c r="AG97" s="38">
        <f t="shared" si="33"/>
        <v>-94600.000000000015</v>
      </c>
      <c r="AH97" s="38"/>
    </row>
    <row r="98" spans="2:34" x14ac:dyDescent="0.25">
      <c r="B98" s="3" t="s">
        <v>50</v>
      </c>
      <c r="C98" s="3" t="s">
        <v>44</v>
      </c>
      <c r="F98" s="49">
        <f>SUM(G98:AG98)</f>
        <v>154049888.60143712</v>
      </c>
      <c r="G98" s="49">
        <f>G97</f>
        <v>-9500000</v>
      </c>
      <c r="H98" s="49">
        <f>H97/(1+$D$4)^(0.25)</f>
        <v>-45534755.965550669</v>
      </c>
      <c r="I98" s="49">
        <f>I97/(1+$D$4)^(0.5)</f>
        <v>-44462519.465189278</v>
      </c>
      <c r="J98" s="49">
        <f>J97/(1+$D$4)^(0.75+D3)</f>
        <v>-29152674.092918649</v>
      </c>
      <c r="K98" s="49">
        <f>K97/(1+$D$4)^(1.5+D3)</f>
        <v>-23509318.688844897</v>
      </c>
      <c r="L98" s="49">
        <f>L97/(1+$D$4)^(2+D3)</f>
        <v>56039902.744365461</v>
      </c>
      <c r="M98" s="49">
        <f>M97/(1+$D$4)^(3+D3)</f>
        <v>33437179.937952958</v>
      </c>
      <c r="N98" s="49">
        <f>N97/(1+$D$4)^(4+D3)</f>
        <v>33676061.139295682</v>
      </c>
      <c r="O98" s="49">
        <f>O97/(1+$D$4)^(5+D3)</f>
        <v>34196361.61966861</v>
      </c>
      <c r="P98" s="49">
        <f>P97/(1+$D$4)^(6+D3)</f>
        <v>28161313.506778624</v>
      </c>
      <c r="Q98" s="49">
        <f>Q97/(1+$D$4)^(7+D3)</f>
        <v>23557734.655503493</v>
      </c>
      <c r="R98" s="49">
        <f>R97/(1+$D$4)^(8+D3)</f>
        <v>22971991.166662887</v>
      </c>
      <c r="S98" s="49">
        <f>S97/(1+$D$4)^(9+D3)</f>
        <v>20751968.837908056</v>
      </c>
      <c r="T98" s="49">
        <f>T97/(1+$D$4)^(10+D3)</f>
        <v>16851382.42752441</v>
      </c>
      <c r="U98" s="49">
        <f>U97/(1+$D$4)^(11+D3)</f>
        <v>15861974.7786803</v>
      </c>
      <c r="V98" s="49">
        <f>V97/(1+$D$4)^(12+D3)</f>
        <v>12955634.969770905</v>
      </c>
      <c r="W98" s="49">
        <f>W97/(1+$D$4)^(13+D3)</f>
        <v>9254841.4102352839</v>
      </c>
      <c r="X98" s="49">
        <f>X97/(1+$D$4)^(14+D3)</f>
        <v>-1389381.3953973767</v>
      </c>
      <c r="Y98" s="49">
        <f>Y97/(1+$D$4)^(15+D3)</f>
        <v>-9215.6086705582256</v>
      </c>
      <c r="Z98" s="49">
        <f>Z97/(1+$D$4)^(16+D3)</f>
        <v>-8377.7663566297306</v>
      </c>
      <c r="AA98" s="49">
        <f>AA97/(1+$D$4)^(17+D3)</f>
        <v>-18713.838230143865</v>
      </c>
      <c r="AB98" s="49">
        <f>AB97/(1+$D$4)^(18+D3)</f>
        <v>-17012.458963105448</v>
      </c>
      <c r="AC98" s="49">
        <f>AC97/(1+$D$4)^(19+D3)</f>
        <v>-15465.761561684818</v>
      </c>
      <c r="AD98" s="49">
        <f>AD97/(1+$D$4)^(20+D3)</f>
        <v>-14059.683035921698</v>
      </c>
      <c r="AE98" s="49">
        <f>AE97/(1+$D$4)^(21+D3)</f>
        <v>-12781.438940602025</v>
      </c>
      <c r="AF98" s="49">
        <f>AF97/(1+$D$4)^(22+D3)</f>
        <v>-11619.407135633784</v>
      </c>
      <c r="AG98" s="49">
        <f>AG97/(1+$D$4)^(23+D3)</f>
        <v>-10563.022114414458</v>
      </c>
      <c r="AH98" s="37"/>
    </row>
  </sheetData>
  <pageMargins left="0.7" right="0.7" top="0.75" bottom="0.75" header="0.3" footer="0.3"/>
  <pageSetup orientation="portrait" r:id="rId1"/>
  <ignoredErrors>
    <ignoredError sqref="P21 F22 F84 F88" formula="1"/>
  </ignoredError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DA9E-4AEA-4E66-B974-DC63EFD57537}">
  <dimension ref="A1:D22"/>
  <sheetViews>
    <sheetView showGridLines="0" zoomScale="130" zoomScaleNormal="130" workbookViewId="0">
      <selection activeCell="C18" sqref="C18"/>
    </sheetView>
  </sheetViews>
  <sheetFormatPr defaultRowHeight="15" x14ac:dyDescent="0.25"/>
  <cols>
    <col min="2" max="2" width="29.140625" bestFit="1" customWidth="1"/>
  </cols>
  <sheetData>
    <row r="1" spans="1:4" x14ac:dyDescent="0.25">
      <c r="B1" s="8" t="s">
        <v>106</v>
      </c>
    </row>
    <row r="2" spans="1:4" x14ac:dyDescent="0.25">
      <c r="A2" s="6"/>
      <c r="B2" s="6" t="s">
        <v>2</v>
      </c>
      <c r="C2" s="6"/>
      <c r="D2" s="6"/>
    </row>
    <row r="4" spans="1:4" ht="15.75" thickBot="1" x14ac:dyDescent="0.3">
      <c r="B4" s="7" t="s">
        <v>97</v>
      </c>
      <c r="C4" s="29"/>
    </row>
    <row r="5" spans="1:4" x14ac:dyDescent="0.25">
      <c r="B5" t="s">
        <v>107</v>
      </c>
      <c r="C5" s="13">
        <v>12.289</v>
      </c>
    </row>
    <row r="6" spans="1:4" x14ac:dyDescent="0.25">
      <c r="B6" t="s">
        <v>219</v>
      </c>
      <c r="C6" s="13">
        <v>1.014</v>
      </c>
    </row>
    <row r="7" spans="1:4" x14ac:dyDescent="0.25">
      <c r="B7" t="s">
        <v>218</v>
      </c>
      <c r="C7" s="69">
        <v>6.0999999999999999E-2</v>
      </c>
    </row>
    <row r="8" spans="1:4" ht="15.75" thickBot="1" x14ac:dyDescent="0.3">
      <c r="B8" s="29" t="s">
        <v>220</v>
      </c>
      <c r="C8" s="30">
        <v>7.3200000000000001E-2</v>
      </c>
    </row>
    <row r="9" spans="1:4" x14ac:dyDescent="0.25">
      <c r="B9" s="3" t="s">
        <v>97</v>
      </c>
      <c r="C9" s="31">
        <f>(C5*C7+C6*C8)/SUM(C5:C6)</f>
        <v>6.1929925580696085E-2</v>
      </c>
    </row>
    <row r="11" spans="1:4" ht="15.75" thickBot="1" x14ac:dyDescent="0.3">
      <c r="B11" s="7" t="s">
        <v>98</v>
      </c>
      <c r="C11" s="29"/>
    </row>
    <row r="12" spans="1:4" x14ac:dyDescent="0.25">
      <c r="B12" t="s">
        <v>99</v>
      </c>
      <c r="C12" s="27">
        <v>3.1649999999999998E-2</v>
      </c>
    </row>
    <row r="13" spans="1:4" x14ac:dyDescent="0.25">
      <c r="B13" t="s">
        <v>100</v>
      </c>
      <c r="C13" s="27">
        <v>6.6000000000000003E-2</v>
      </c>
    </row>
    <row r="14" spans="1:4" ht="15.75" thickBot="1" x14ac:dyDescent="0.3">
      <c r="B14" s="29" t="s">
        <v>101</v>
      </c>
      <c r="C14" s="29">
        <v>1.05</v>
      </c>
    </row>
    <row r="15" spans="1:4" x14ac:dyDescent="0.25">
      <c r="B15" s="3" t="s">
        <v>98</v>
      </c>
      <c r="C15" s="31">
        <f>C12+C13*C14</f>
        <v>0.10095</v>
      </c>
    </row>
    <row r="17" spans="2:3" ht="15.75" thickBot="1" x14ac:dyDescent="0.3">
      <c r="B17" s="7" t="s">
        <v>2</v>
      </c>
      <c r="C17" s="29"/>
    </row>
    <row r="18" spans="2:3" x14ac:dyDescent="0.25">
      <c r="B18" t="s">
        <v>102</v>
      </c>
      <c r="C18" s="15">
        <v>0.3</v>
      </c>
    </row>
    <row r="19" spans="2:3" x14ac:dyDescent="0.25">
      <c r="B19" t="s">
        <v>103</v>
      </c>
      <c r="C19" s="10">
        <f>C5</f>
        <v>12.289</v>
      </c>
    </row>
    <row r="20" spans="2:3" x14ac:dyDescent="0.25">
      <c r="B20" t="s">
        <v>104</v>
      </c>
      <c r="C20" s="10">
        <v>739</v>
      </c>
    </row>
    <row r="21" spans="2:3" ht="15.75" thickBot="1" x14ac:dyDescent="0.3">
      <c r="B21" s="29" t="s">
        <v>105</v>
      </c>
      <c r="C21" s="32">
        <f>SUM(C19:C20)</f>
        <v>751.28899999999999</v>
      </c>
    </row>
    <row r="22" spans="2:3" x14ac:dyDescent="0.25">
      <c r="B22" s="3" t="s">
        <v>2</v>
      </c>
      <c r="C22" s="33">
        <f>(1-C18)*C19/C21*C9+C20*C15/C21</f>
        <v>0.1000078395914526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8EAA-EFAC-43FD-A8AD-5DDDB9D58B50}">
  <dimension ref="A1:F9"/>
  <sheetViews>
    <sheetView showGridLines="0" workbookViewId="0">
      <selection activeCell="D26" sqref="D26"/>
    </sheetView>
  </sheetViews>
  <sheetFormatPr defaultRowHeight="15" x14ac:dyDescent="0.25"/>
  <cols>
    <col min="1" max="1" width="21.140625" bestFit="1" customWidth="1"/>
    <col min="5" max="6" width="21.5703125" bestFit="1" customWidth="1"/>
  </cols>
  <sheetData>
    <row r="1" spans="1:6" x14ac:dyDescent="0.25">
      <c r="E1" s="3" t="s">
        <v>109</v>
      </c>
      <c r="F1" s="3" t="s">
        <v>110</v>
      </c>
    </row>
    <row r="2" spans="1:6" x14ac:dyDescent="0.25">
      <c r="A2" s="4" t="s">
        <v>4</v>
      </c>
      <c r="B2" s="5"/>
      <c r="C2" s="5"/>
      <c r="E2" t="s">
        <v>96</v>
      </c>
      <c r="F2" t="s">
        <v>96</v>
      </c>
    </row>
    <row r="3" spans="1:6" x14ac:dyDescent="0.25">
      <c r="A3" t="s">
        <v>5</v>
      </c>
      <c r="C3">
        <v>3.2149999999999998E-2</v>
      </c>
      <c r="E3" cm="1">
        <f t="array" ref="E3">COUNT(IF('DCF Guanacevi'!$P$30:$V$30&lt;&gt;0,'DCF Guanacevi'!$P$30:$V$30))</f>
        <v>3</v>
      </c>
      <c r="F3" cm="1">
        <f t="array" ref="F3">COUNT(IF('DCF Bolanitos'!$P$30:$V$30&lt;&gt;0,'DCF Bolanitos'!$P$30:$V$30))</f>
        <v>2</v>
      </c>
    </row>
    <row r="4" spans="1:6" x14ac:dyDescent="0.25">
      <c r="A4" t="s">
        <v>6</v>
      </c>
      <c r="C4">
        <v>31.103476799999999</v>
      </c>
      <c r="E4" cm="1">
        <f t="array" ref="E4">COUNT(IF('DCF Guanacevi'!$Q$30:$V$30&lt;&gt;0,'DCF Guanacevi'!$Q$30:$V$30))</f>
        <v>2</v>
      </c>
      <c r="F4" cm="1">
        <f t="array" ref="F4">COUNT(IF('DCF Bolanitos'!$Q$30:$V$30&lt;&gt;0,'DCF Bolanitos'!$Q$30:$V$30))</f>
        <v>1</v>
      </c>
    </row>
    <row r="5" spans="1:6" x14ac:dyDescent="0.25">
      <c r="A5" t="s">
        <v>51</v>
      </c>
      <c r="C5">
        <v>4.5359000000000003E-4</v>
      </c>
      <c r="E5" cm="1">
        <f t="array" ref="E5">COUNT(IF('DCF Guanacevi'!$R$30:$V$30&lt;&gt;0,'DCF Guanacevi'!$R$30:$V$30))</f>
        <v>1</v>
      </c>
      <c r="F5" cm="1">
        <f t="array" ref="F5">COUNT(IF('DCF Bolanitos'!$R$30:$V$30&lt;&gt;0,'DCF Bolanitos'!$R$30:$V$30))</f>
        <v>0</v>
      </c>
    </row>
    <row r="6" spans="1:6" x14ac:dyDescent="0.25">
      <c r="A6" t="s">
        <v>52</v>
      </c>
      <c r="C6">
        <v>2204.6226200000001</v>
      </c>
      <c r="E6" cm="1">
        <f t="array" ref="E6">COUNT(IF('DCF Guanacevi'!$S$30:$V$30&lt;&gt;0,'DCF Guanacevi'!$S$30:$V$30))</f>
        <v>0</v>
      </c>
      <c r="F6" cm="1">
        <f t="array" ref="F6">COUNT(IF('DCF Bolanitos'!$S$30:$V$30&lt;&gt;0,'DCF Bolanitos'!$S$30:$V$30))</f>
        <v>0</v>
      </c>
    </row>
    <row r="7" spans="1:6" x14ac:dyDescent="0.25">
      <c r="E7" cm="1">
        <f t="array" ref="E7">COUNT(IF('DCF Guanacevi'!$T$30:$V$30&lt;&gt;0,'DCF Guanacevi'!$T$30:$V$30))</f>
        <v>0</v>
      </c>
      <c r="F7" cm="1">
        <f t="array" ref="F7">COUNT(IF('DCF Bolanitos'!$T$30:$V$30&lt;&gt;0,'DCF Bolanitos'!$T$30:$V$30))</f>
        <v>0</v>
      </c>
    </row>
    <row r="8" spans="1:6" x14ac:dyDescent="0.25">
      <c r="E8" cm="1">
        <f t="array" ref="E8">COUNT(IF('DCF Guanacevi'!$U$30:$V$30&lt;&gt;0,'DCF Guanacevi'!$U$30:$V$30))</f>
        <v>0</v>
      </c>
      <c r="F8" cm="1">
        <f t="array" ref="F8">COUNT(IF('DCF Bolanitos'!$U$30:$V$30&lt;&gt;0,'DCF Bolanitos'!$U$30:$V$30))</f>
        <v>0</v>
      </c>
    </row>
    <row r="9" spans="1:6" x14ac:dyDescent="0.25">
      <c r="A9" t="s">
        <v>149</v>
      </c>
      <c r="B9">
        <v>1.1000000000000001</v>
      </c>
      <c r="E9">
        <f>IF('DCF Guanacevi'!$V$30=0,0)</f>
        <v>0</v>
      </c>
      <c r="F9">
        <f>IF('DCF Bolanitos'!$V$30=0,0)</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CE579-1835-476E-88F9-EE96529D5D7F}">
  <dimension ref="A1:T8"/>
  <sheetViews>
    <sheetView showGridLines="0" zoomScale="130" zoomScaleNormal="130" workbookViewId="0">
      <selection activeCell="T9" sqref="T9"/>
    </sheetView>
  </sheetViews>
  <sheetFormatPr defaultRowHeight="15" x14ac:dyDescent="0.25"/>
  <cols>
    <col min="1" max="1" width="22.5703125" bestFit="1" customWidth="1"/>
    <col min="2" max="2" width="11.28515625" bestFit="1" customWidth="1"/>
    <col min="4" max="4" width="10.28515625" bestFit="1" customWidth="1"/>
    <col min="6" max="6" width="11.7109375" bestFit="1" customWidth="1"/>
    <col min="8" max="8" width="22.5703125" bestFit="1" customWidth="1"/>
    <col min="15" max="15" width="22.5703125" bestFit="1" customWidth="1"/>
    <col min="16" max="16" width="9.42578125" bestFit="1" customWidth="1"/>
  </cols>
  <sheetData>
    <row r="1" spans="1:20" ht="18.75" x14ac:dyDescent="0.3">
      <c r="A1" s="72" t="s">
        <v>109</v>
      </c>
      <c r="B1" s="72"/>
      <c r="C1" s="72"/>
      <c r="D1" s="72"/>
      <c r="E1" s="72"/>
      <c r="F1" s="72"/>
      <c r="H1" s="72" t="s">
        <v>110</v>
      </c>
      <c r="I1" s="72"/>
      <c r="J1" s="72"/>
      <c r="K1" s="72"/>
      <c r="L1" s="72"/>
      <c r="M1" s="72"/>
      <c r="O1" s="72" t="s">
        <v>190</v>
      </c>
      <c r="P1" s="72"/>
      <c r="Q1" s="72"/>
      <c r="R1" s="72"/>
      <c r="S1" s="72"/>
      <c r="T1" s="72"/>
    </row>
    <row r="2" spans="1:20" x14ac:dyDescent="0.25">
      <c r="B2">
        <v>2017</v>
      </c>
      <c r="C2">
        <v>2018</v>
      </c>
      <c r="D2">
        <v>2019</v>
      </c>
      <c r="E2">
        <v>2020</v>
      </c>
      <c r="F2">
        <v>2021</v>
      </c>
      <c r="I2">
        <v>2017</v>
      </c>
      <c r="J2">
        <v>2018</v>
      </c>
      <c r="K2">
        <v>2019</v>
      </c>
      <c r="L2">
        <v>2020</v>
      </c>
      <c r="M2">
        <v>2021</v>
      </c>
      <c r="P2">
        <v>2017</v>
      </c>
      <c r="Q2">
        <v>2018</v>
      </c>
      <c r="R2">
        <v>2019</v>
      </c>
      <c r="S2">
        <v>2020</v>
      </c>
      <c r="T2">
        <v>2021</v>
      </c>
    </row>
    <row r="3" spans="1:20" x14ac:dyDescent="0.25">
      <c r="A3" t="s">
        <v>185</v>
      </c>
      <c r="B3" t="s">
        <v>207</v>
      </c>
      <c r="C3" t="s">
        <v>203</v>
      </c>
      <c r="E3" t="s">
        <v>188</v>
      </c>
      <c r="F3" t="s">
        <v>186</v>
      </c>
      <c r="H3" t="s">
        <v>185</v>
      </c>
      <c r="I3" t="s">
        <v>209</v>
      </c>
      <c r="J3" t="s">
        <v>205</v>
      </c>
      <c r="L3" t="s">
        <v>193</v>
      </c>
      <c r="M3" t="s">
        <v>191</v>
      </c>
      <c r="O3" t="s">
        <v>185</v>
      </c>
      <c r="P3" t="s">
        <v>211</v>
      </c>
      <c r="Q3" t="s">
        <v>201</v>
      </c>
      <c r="R3" t="s">
        <v>199</v>
      </c>
      <c r="S3" s="61" t="s">
        <v>197</v>
      </c>
      <c r="T3" s="61" t="s">
        <v>195</v>
      </c>
    </row>
    <row r="4" spans="1:20" x14ac:dyDescent="0.25">
      <c r="A4" t="s">
        <v>184</v>
      </c>
      <c r="B4" s="63">
        <v>2.1</v>
      </c>
      <c r="C4" s="63">
        <v>2</v>
      </c>
      <c r="E4" s="61">
        <v>3.1</v>
      </c>
      <c r="F4" s="61">
        <v>4.3</v>
      </c>
      <c r="H4" t="s">
        <v>184</v>
      </c>
      <c r="I4" s="62">
        <v>0.93</v>
      </c>
      <c r="J4" s="62">
        <v>0.98</v>
      </c>
      <c r="L4">
        <v>0.35</v>
      </c>
      <c r="M4" s="61">
        <v>0.49</v>
      </c>
      <c r="O4" t="s">
        <v>184</v>
      </c>
      <c r="P4" s="61">
        <v>4.9000000000000004</v>
      </c>
      <c r="Q4" s="62">
        <v>5.5</v>
      </c>
      <c r="R4" s="62">
        <v>4</v>
      </c>
      <c r="S4" s="61">
        <v>3.5</v>
      </c>
      <c r="T4" s="61">
        <v>4.9000000000000004</v>
      </c>
    </row>
    <row r="5" spans="1:20" x14ac:dyDescent="0.25">
      <c r="A5" t="s">
        <v>182</v>
      </c>
      <c r="B5" s="61" t="s">
        <v>208</v>
      </c>
      <c r="C5" s="61" t="s">
        <v>204</v>
      </c>
      <c r="E5" s="61" t="s">
        <v>189</v>
      </c>
      <c r="F5" t="s">
        <v>187</v>
      </c>
      <c r="H5" t="s">
        <v>182</v>
      </c>
      <c r="I5" t="s">
        <v>210</v>
      </c>
      <c r="J5" t="s">
        <v>206</v>
      </c>
      <c r="L5" s="61" t="s">
        <v>194</v>
      </c>
      <c r="M5" t="s">
        <v>192</v>
      </c>
      <c r="O5" t="s">
        <v>182</v>
      </c>
      <c r="P5" s="61" t="s">
        <v>212</v>
      </c>
      <c r="Q5" s="62" t="s">
        <v>202</v>
      </c>
      <c r="R5" t="s">
        <v>200</v>
      </c>
      <c r="S5" s="61" t="s">
        <v>198</v>
      </c>
      <c r="T5" s="61" t="s">
        <v>196</v>
      </c>
    </row>
    <row r="6" spans="1:20" x14ac:dyDescent="0.25">
      <c r="A6" s="5" t="s">
        <v>183</v>
      </c>
      <c r="B6" s="64">
        <v>4.7</v>
      </c>
      <c r="C6" s="64">
        <v>5.2</v>
      </c>
      <c r="D6" s="5"/>
      <c r="E6" s="64">
        <v>9.8000000000000007</v>
      </c>
      <c r="F6" s="64">
        <v>13.3</v>
      </c>
      <c r="H6" s="5" t="s">
        <v>183</v>
      </c>
      <c r="I6" s="5">
        <v>26.9</v>
      </c>
      <c r="J6" s="5">
        <v>21.1</v>
      </c>
      <c r="K6" s="5"/>
      <c r="L6" s="64">
        <v>19</v>
      </c>
      <c r="M6" s="64">
        <v>25</v>
      </c>
      <c r="O6" s="5" t="s">
        <v>183</v>
      </c>
      <c r="P6" s="65">
        <v>53</v>
      </c>
      <c r="Q6" s="66">
        <v>53</v>
      </c>
      <c r="R6" s="5">
        <v>38.9</v>
      </c>
      <c r="S6" s="64">
        <v>37.1</v>
      </c>
      <c r="T6" s="64">
        <v>42.3</v>
      </c>
    </row>
    <row r="7" spans="1:20" x14ac:dyDescent="0.25">
      <c r="A7" t="s">
        <v>213</v>
      </c>
      <c r="B7" t="s">
        <v>215</v>
      </c>
      <c r="C7" t="s">
        <v>216</v>
      </c>
      <c r="E7" t="s">
        <v>217</v>
      </c>
      <c r="F7" t="s">
        <v>217</v>
      </c>
      <c r="H7" t="s">
        <v>213</v>
      </c>
      <c r="I7" t="s">
        <v>215</v>
      </c>
      <c r="J7" t="s">
        <v>216</v>
      </c>
      <c r="L7" t="s">
        <v>216</v>
      </c>
      <c r="M7" t="s">
        <v>215</v>
      </c>
      <c r="O7" t="s">
        <v>213</v>
      </c>
      <c r="P7" t="s">
        <v>216</v>
      </c>
      <c r="Q7" t="s">
        <v>216</v>
      </c>
      <c r="R7" t="s">
        <v>216</v>
      </c>
      <c r="S7" t="s">
        <v>217</v>
      </c>
      <c r="T7" t="s">
        <v>217</v>
      </c>
    </row>
    <row r="8" spans="1:20" x14ac:dyDescent="0.25">
      <c r="A8" t="s">
        <v>214</v>
      </c>
      <c r="B8" t="s">
        <v>216</v>
      </c>
      <c r="C8" t="s">
        <v>215</v>
      </c>
      <c r="E8" s="67" t="s">
        <v>217</v>
      </c>
      <c r="F8" s="67" t="s">
        <v>217</v>
      </c>
      <c r="H8" t="s">
        <v>214</v>
      </c>
      <c r="I8" t="s">
        <v>217</v>
      </c>
      <c r="J8" t="s">
        <v>216</v>
      </c>
      <c r="L8" t="s">
        <v>216</v>
      </c>
      <c r="M8" s="67" t="s">
        <v>217</v>
      </c>
      <c r="O8" t="s">
        <v>214</v>
      </c>
      <c r="P8" t="s">
        <v>215</v>
      </c>
      <c r="Q8" s="68" t="s">
        <v>216</v>
      </c>
      <c r="R8" t="s">
        <v>216</v>
      </c>
      <c r="S8" s="67" t="s">
        <v>216</v>
      </c>
      <c r="T8" s="67" t="s">
        <v>217</v>
      </c>
    </row>
  </sheetData>
  <mergeCells count="3">
    <mergeCell ref="A1:F1"/>
    <mergeCell ref="H1:M1"/>
    <mergeCell ref="O1:T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Valuation</vt:lpstr>
      <vt:lpstr>Central sheet </vt:lpstr>
      <vt:lpstr>DCF Guanacevi</vt:lpstr>
      <vt:lpstr>DCF Bolanitos</vt:lpstr>
      <vt:lpstr>DCF Terronera</vt:lpstr>
      <vt:lpstr>WACC</vt:lpstr>
      <vt:lpstr>Auxiliary</vt:lpstr>
      <vt:lpstr>Guidance vs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gormh</cp:lastModifiedBy>
  <dcterms:created xsi:type="dcterms:W3CDTF">2022-05-23T20:28:36Z</dcterms:created>
  <dcterms:modified xsi:type="dcterms:W3CDTF">2022-06-12T20:56:10Z</dcterms:modified>
</cp:coreProperties>
</file>