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29B6E5CD-11B0-494A-BC35-D672690DCB0F}" xr6:coauthVersionLast="47" xr6:coauthVersionMax="47" xr10:uidLastSave="{00000000-0000-0000-0000-000000000000}"/>
  <bookViews>
    <workbookView xWindow="-120" yWindow="-120" windowWidth="20730" windowHeight="11160" activeTab="1" xr2:uid="{D67631DF-B8E5-4AFE-9B1E-3013A7C84000}"/>
  </bookViews>
  <sheets>
    <sheet name="Valuation" sheetId="10" r:id="rId1"/>
    <sheet name="Central sheet " sheetId="8" r:id="rId2"/>
    <sheet name="DCF Guanacevi" sheetId="1" r:id="rId3"/>
    <sheet name="DCF Bolanitos" sheetId="6" r:id="rId4"/>
    <sheet name="DCF Terronera" sheetId="7" r:id="rId5"/>
    <sheet name="WACC" sheetId="5" r:id="rId6"/>
    <sheet name="Auxiliary" sheetId="2" r:id="rId7"/>
    <sheet name="Guidance vs resul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2" i="10" l="1"/>
  <c r="C4" i="10"/>
  <c r="C6" i="10" s="1"/>
  <c r="J38" i="8" l="1"/>
  <c r="N31" i="8"/>
  <c r="C9" i="5"/>
  <c r="K88" i="7" l="1"/>
  <c r="J88" i="7"/>
  <c r="P71" i="6"/>
  <c r="M71" i="6"/>
  <c r="L71" i="6"/>
  <c r="R68" i="6"/>
  <c r="S68" i="6"/>
  <c r="T68" i="6"/>
  <c r="U68" i="6"/>
  <c r="V68" i="6"/>
  <c r="Q68" i="6"/>
  <c r="P68" i="1"/>
  <c r="P68" i="6"/>
  <c r="O68" i="6"/>
  <c r="N68" i="6"/>
  <c r="M68" i="6"/>
  <c r="L68" i="6"/>
  <c r="L64" i="6"/>
  <c r="I26" i="6"/>
  <c r="L32" i="6"/>
  <c r="F88" i="1"/>
  <c r="G88" i="1"/>
  <c r="H88" i="1"/>
  <c r="I88" i="1"/>
  <c r="J88" i="1"/>
  <c r="E88" i="1"/>
  <c r="Q68" i="1"/>
  <c r="R68" i="1"/>
  <c r="S68" i="1"/>
  <c r="T68" i="1"/>
  <c r="U68" i="1"/>
  <c r="V68" i="1"/>
  <c r="W68" i="1"/>
  <c r="L68" i="1"/>
  <c r="U64" i="1"/>
  <c r="T64" i="1"/>
  <c r="V64" i="1"/>
  <c r="W64" i="1"/>
  <c r="R64" i="1"/>
  <c r="Q64" i="1"/>
  <c r="P64" i="1"/>
  <c r="S64" i="1"/>
  <c r="L64" i="1" l="1"/>
  <c r="J37" i="1"/>
  <c r="K19" i="1"/>
  <c r="K22" i="1"/>
  <c r="K23" i="1"/>
  <c r="K26" i="1"/>
  <c r="K41" i="8"/>
  <c r="L41" i="8"/>
  <c r="V41" i="8"/>
  <c r="W41" i="8"/>
  <c r="X41" i="8"/>
  <c r="Y41" i="8"/>
  <c r="Z41" i="8"/>
  <c r="AE41" i="8"/>
  <c r="AF41" i="8"/>
  <c r="AG41" i="8"/>
  <c r="J41" i="8"/>
  <c r="D43" i="8"/>
  <c r="E43" i="8"/>
  <c r="F43" i="8"/>
  <c r="G43" i="8"/>
  <c r="H43" i="8"/>
  <c r="C43" i="8"/>
  <c r="D27" i="8"/>
  <c r="E27" i="8"/>
  <c r="E28" i="8" s="1"/>
  <c r="F27" i="8"/>
  <c r="G27" i="8"/>
  <c r="H27" i="8"/>
  <c r="C27" i="8"/>
  <c r="M44" i="8"/>
  <c r="N44" i="8"/>
  <c r="O44" i="8"/>
  <c r="P44" i="8"/>
  <c r="Q44" i="8"/>
  <c r="R44" i="8"/>
  <c r="S44" i="8"/>
  <c r="T44" i="8"/>
  <c r="U44" i="8"/>
  <c r="V44" i="8"/>
  <c r="W44" i="8"/>
  <c r="X44" i="8"/>
  <c r="Y44" i="8"/>
  <c r="Z44" i="8"/>
  <c r="AA44" i="8"/>
  <c r="AB44" i="8"/>
  <c r="AC44" i="8"/>
  <c r="AD44" i="8"/>
  <c r="AE44" i="8"/>
  <c r="AF44" i="8"/>
  <c r="AG44" i="8"/>
  <c r="AH44" i="8"/>
  <c r="AI44" i="8"/>
  <c r="AJ44" i="8"/>
  <c r="H37" i="8"/>
  <c r="G37" i="8"/>
  <c r="G35" i="8"/>
  <c r="F35" i="8"/>
  <c r="G87" i="6"/>
  <c r="H87" i="6"/>
  <c r="I87" i="6"/>
  <c r="J87" i="6"/>
  <c r="E87" i="6"/>
  <c r="F87" i="6"/>
  <c r="E35" i="8"/>
  <c r="D35" i="8"/>
  <c r="C35" i="8"/>
  <c r="J42" i="8"/>
  <c r="K42" i="8" s="1"/>
  <c r="L42" i="8" s="1"/>
  <c r="M42" i="8" s="1"/>
  <c r="N42" i="8" s="1"/>
  <c r="O42" i="8" s="1"/>
  <c r="P42" i="8" s="1"/>
  <c r="Q42" i="8" s="1"/>
  <c r="R42" i="8" s="1"/>
  <c r="S42" i="8" s="1"/>
  <c r="T42" i="8" s="1"/>
  <c r="U42" i="8" s="1"/>
  <c r="V42" i="8" s="1"/>
  <c r="W42" i="8" s="1"/>
  <c r="X42" i="8" s="1"/>
  <c r="Y42" i="8" s="1"/>
  <c r="Z42" i="8" s="1"/>
  <c r="AA42" i="8" s="1"/>
  <c r="AB42" i="8" s="1"/>
  <c r="AC42" i="8" s="1"/>
  <c r="AD42" i="8" s="1"/>
  <c r="AE42" i="8" s="1"/>
  <c r="H35" i="8"/>
  <c r="F59" i="6"/>
  <c r="G59" i="6"/>
  <c r="H59" i="6"/>
  <c r="I59" i="6"/>
  <c r="J59" i="6"/>
  <c r="E59" i="6"/>
  <c r="F57" i="6"/>
  <c r="G57" i="6"/>
  <c r="H57" i="6"/>
  <c r="I57" i="6"/>
  <c r="J57" i="6"/>
  <c r="E57" i="6"/>
  <c r="AA37" i="8"/>
  <c r="AB37" i="8"/>
  <c r="AC37" i="8"/>
  <c r="AD37" i="8"/>
  <c r="AE37" i="8"/>
  <c r="AF37" i="8"/>
  <c r="AG37" i="8"/>
  <c r="AH37" i="8"/>
  <c r="AI37" i="8"/>
  <c r="AJ37" i="8"/>
  <c r="AA35" i="8"/>
  <c r="AB35" i="8"/>
  <c r="AC35" i="8"/>
  <c r="AD35" i="8"/>
  <c r="AE35" i="8"/>
  <c r="AF35" i="8"/>
  <c r="AG35" i="8"/>
  <c r="AH35" i="8"/>
  <c r="AI35" i="8"/>
  <c r="AJ35" i="8"/>
  <c r="K26" i="8"/>
  <c r="L26" i="8"/>
  <c r="M26" i="8"/>
  <c r="N26" i="8"/>
  <c r="O26" i="8"/>
  <c r="P26" i="8"/>
  <c r="Q26" i="8"/>
  <c r="R26" i="8"/>
  <c r="S26" i="8"/>
  <c r="T26" i="8"/>
  <c r="U26" i="8"/>
  <c r="V26" i="8"/>
  <c r="W26" i="8"/>
  <c r="X26" i="8"/>
  <c r="Y26" i="8"/>
  <c r="Z26" i="8"/>
  <c r="AA26" i="8"/>
  <c r="AB26" i="8"/>
  <c r="AC26" i="8"/>
  <c r="AD26" i="8"/>
  <c r="AE26" i="8"/>
  <c r="AF26" i="8"/>
  <c r="AG26" i="8"/>
  <c r="AH26" i="8"/>
  <c r="AI26" i="8"/>
  <c r="AJ26" i="8"/>
  <c r="J26" i="8"/>
  <c r="C22" i="8"/>
  <c r="D22" i="8"/>
  <c r="E22" i="8"/>
  <c r="F22" i="8"/>
  <c r="G22" i="8"/>
  <c r="H22" i="8"/>
  <c r="C16" i="8"/>
  <c r="C15" i="8"/>
  <c r="D16" i="8"/>
  <c r="D15" i="8"/>
  <c r="E16" i="8"/>
  <c r="E15" i="8"/>
  <c r="F18" i="8"/>
  <c r="F17" i="8"/>
  <c r="F16" i="8"/>
  <c r="F15" i="8"/>
  <c r="F14" i="8"/>
  <c r="F13" i="8"/>
  <c r="G18" i="8"/>
  <c r="G17" i="8"/>
  <c r="G16" i="8"/>
  <c r="G15" i="8"/>
  <c r="AA32" i="8"/>
  <c r="AB32" i="8"/>
  <c r="AC32" i="8"/>
  <c r="AD32" i="8"/>
  <c r="AE32" i="8"/>
  <c r="AF32" i="8"/>
  <c r="AG32" i="8"/>
  <c r="AH32" i="8"/>
  <c r="AI32" i="8"/>
  <c r="AJ32" i="8"/>
  <c r="H32" i="8"/>
  <c r="H48" i="8" s="1"/>
  <c r="H29" i="8"/>
  <c r="G32" i="8"/>
  <c r="G29" i="8"/>
  <c r="F32" i="8"/>
  <c r="F48" i="8" s="1"/>
  <c r="E32" i="8"/>
  <c r="F29" i="8"/>
  <c r="E29" i="8"/>
  <c r="D32" i="8"/>
  <c r="D48" i="8" s="1"/>
  <c r="C32" i="8"/>
  <c r="D29" i="8"/>
  <c r="C29" i="8"/>
  <c r="C31" i="8"/>
  <c r="D31" i="8"/>
  <c r="E31" i="8"/>
  <c r="F31" i="8"/>
  <c r="G31" i="8"/>
  <c r="C30" i="8"/>
  <c r="D30" i="8"/>
  <c r="E30" i="8"/>
  <c r="F30" i="8"/>
  <c r="G30" i="8"/>
  <c r="H31" i="8"/>
  <c r="H30" i="8"/>
  <c r="V31" i="8"/>
  <c r="W31" i="8"/>
  <c r="X31" i="8"/>
  <c r="Y31" i="8"/>
  <c r="Z31" i="8"/>
  <c r="AA31" i="8"/>
  <c r="AB31" i="8"/>
  <c r="AC31" i="8"/>
  <c r="AD31" i="8"/>
  <c r="AE31" i="8"/>
  <c r="AF31" i="8"/>
  <c r="AG31" i="8"/>
  <c r="AH31" i="8"/>
  <c r="AI31" i="8"/>
  <c r="AJ31" i="8"/>
  <c r="M30" i="8"/>
  <c r="V30" i="8"/>
  <c r="W30" i="8"/>
  <c r="X30" i="8"/>
  <c r="Y30" i="8"/>
  <c r="Z30" i="8"/>
  <c r="AA30" i="8"/>
  <c r="AB30" i="8"/>
  <c r="AC30" i="8"/>
  <c r="AD30" i="8"/>
  <c r="AE30" i="8"/>
  <c r="AF30" i="8"/>
  <c r="AG30" i="8"/>
  <c r="AH30" i="8"/>
  <c r="AI30" i="8"/>
  <c r="AJ30" i="8"/>
  <c r="V29" i="8"/>
  <c r="W29" i="8"/>
  <c r="X29" i="8"/>
  <c r="Y29" i="8"/>
  <c r="Z29" i="8"/>
  <c r="AA29" i="8"/>
  <c r="AB29" i="8"/>
  <c r="AC29" i="8"/>
  <c r="AD29" i="8"/>
  <c r="AE29" i="8"/>
  <c r="AF29" i="8"/>
  <c r="AG29" i="8"/>
  <c r="AH29" i="8"/>
  <c r="AI29" i="8"/>
  <c r="AJ29" i="8"/>
  <c r="AA25" i="8"/>
  <c r="AB25" i="8"/>
  <c r="AC25" i="8"/>
  <c r="AD25" i="8"/>
  <c r="AE25" i="8"/>
  <c r="AE27" i="8" s="1"/>
  <c r="AF25" i="8"/>
  <c r="AG25" i="8"/>
  <c r="AH25" i="8"/>
  <c r="AI25" i="8"/>
  <c r="AI27" i="8" s="1"/>
  <c r="AJ25" i="8"/>
  <c r="J97" i="7"/>
  <c r="AA16" i="8"/>
  <c r="AB16" i="8"/>
  <c r="AC16" i="8"/>
  <c r="AD16" i="8"/>
  <c r="AE16" i="8"/>
  <c r="AF16" i="8"/>
  <c r="AG16" i="8"/>
  <c r="AH16" i="8"/>
  <c r="AI16" i="8"/>
  <c r="AJ16" i="8"/>
  <c r="AA15" i="8"/>
  <c r="AB15" i="8"/>
  <c r="AC15" i="8"/>
  <c r="AD15" i="8"/>
  <c r="AE15" i="8"/>
  <c r="AF15" i="8"/>
  <c r="AG15" i="8"/>
  <c r="AH15" i="8"/>
  <c r="AI15" i="8"/>
  <c r="AJ15" i="8"/>
  <c r="K81" i="6"/>
  <c r="K48" i="6"/>
  <c r="K47" i="6"/>
  <c r="K40" i="6"/>
  <c r="K39" i="6"/>
  <c r="K40" i="1"/>
  <c r="P29" i="6"/>
  <c r="Q29" i="6" s="1"/>
  <c r="R29" i="6" s="1"/>
  <c r="S29" i="6" s="1"/>
  <c r="W39" i="1"/>
  <c r="P29" i="1"/>
  <c r="Q29" i="1" s="1"/>
  <c r="K26" i="6"/>
  <c r="K23" i="6"/>
  <c r="K22" i="6"/>
  <c r="K19" i="6"/>
  <c r="K18" i="6"/>
  <c r="F35" i="7"/>
  <c r="F36" i="7"/>
  <c r="F43" i="7"/>
  <c r="F44" i="7"/>
  <c r="F57" i="7"/>
  <c r="F84" i="7"/>
  <c r="F83" i="7"/>
  <c r="F24" i="7"/>
  <c r="F22" i="7"/>
  <c r="F23" i="7"/>
  <c r="F7" i="7"/>
  <c r="M15" i="1"/>
  <c r="M56" i="1" s="1"/>
  <c r="N15" i="1"/>
  <c r="N56" i="1" s="1"/>
  <c r="L15" i="1"/>
  <c r="L56" i="1" s="1"/>
  <c r="M15" i="6"/>
  <c r="N15" i="6"/>
  <c r="L15" i="6"/>
  <c r="M14" i="6"/>
  <c r="N14" i="6"/>
  <c r="O14" i="6"/>
  <c r="L14" i="6"/>
  <c r="M14" i="1"/>
  <c r="N14" i="1"/>
  <c r="O14" i="1"/>
  <c r="O55" i="1" s="1"/>
  <c r="L14" i="1"/>
  <c r="H23" i="8"/>
  <c r="V18" i="8"/>
  <c r="W18" i="8"/>
  <c r="X18" i="8"/>
  <c r="Y18" i="8"/>
  <c r="Z18" i="8"/>
  <c r="AA18" i="8"/>
  <c r="AB18" i="8"/>
  <c r="AC18" i="8"/>
  <c r="AD18" i="8"/>
  <c r="AE18" i="8"/>
  <c r="AF18" i="8"/>
  <c r="AG18" i="8"/>
  <c r="AH18" i="8"/>
  <c r="AI18" i="8"/>
  <c r="AJ18" i="8"/>
  <c r="H18" i="8"/>
  <c r="V17" i="8"/>
  <c r="W17" i="8"/>
  <c r="X17" i="8"/>
  <c r="Y17" i="8"/>
  <c r="Z17" i="8"/>
  <c r="AA17" i="8"/>
  <c r="AA46" i="8" s="1"/>
  <c r="AB17" i="8"/>
  <c r="AB46" i="8" s="1"/>
  <c r="AC17" i="8"/>
  <c r="AD17" i="8"/>
  <c r="AE17" i="8"/>
  <c r="AE46" i="8" s="1"/>
  <c r="AF17" i="8"/>
  <c r="AF46" i="8" s="1"/>
  <c r="AG17" i="8"/>
  <c r="AH17" i="8"/>
  <c r="AI17" i="8"/>
  <c r="AJ17" i="8"/>
  <c r="AJ46" i="8" s="1"/>
  <c r="H17" i="8"/>
  <c r="H28" i="8" s="1"/>
  <c r="H10" i="8"/>
  <c r="H14" i="8" s="1"/>
  <c r="V10" i="8"/>
  <c r="V11" i="8" s="1"/>
  <c r="W10" i="8"/>
  <c r="X10" i="8"/>
  <c r="X11" i="8" s="1"/>
  <c r="Y10" i="8"/>
  <c r="Y11" i="8" s="1"/>
  <c r="Z10" i="8"/>
  <c r="Z11" i="8" s="1"/>
  <c r="AA10" i="8"/>
  <c r="AA11" i="8" s="1"/>
  <c r="AB10" i="8"/>
  <c r="AB13" i="8" s="1"/>
  <c r="AC10" i="8"/>
  <c r="AC13" i="8" s="1"/>
  <c r="AD10" i="8"/>
  <c r="AD13" i="8" s="1"/>
  <c r="AE10" i="8"/>
  <c r="AE13" i="8" s="1"/>
  <c r="AF10" i="8"/>
  <c r="AF14" i="8" s="1"/>
  <c r="AG10" i="8"/>
  <c r="AG13" i="8" s="1"/>
  <c r="AH10" i="8"/>
  <c r="AH11" i="8" s="1"/>
  <c r="AI10" i="8"/>
  <c r="AI14" i="8" s="1"/>
  <c r="AJ10" i="8"/>
  <c r="AJ11" i="8" s="1"/>
  <c r="M4" i="8"/>
  <c r="N4" i="8" s="1"/>
  <c r="O4" i="8" s="1"/>
  <c r="P4" i="8" s="1"/>
  <c r="Q4" i="8" s="1"/>
  <c r="R4" i="8" s="1"/>
  <c r="S4" i="8" s="1"/>
  <c r="T4" i="8" s="1"/>
  <c r="V15" i="6" s="1"/>
  <c r="N3" i="8"/>
  <c r="O3" i="8" s="1"/>
  <c r="P3" i="8" s="1"/>
  <c r="Q3" i="8" s="1"/>
  <c r="R3" i="8" s="1"/>
  <c r="S3" i="8" s="1"/>
  <c r="T3" i="8" s="1"/>
  <c r="V14" i="6" s="1"/>
  <c r="G8" i="1"/>
  <c r="G7" i="1"/>
  <c r="H8" i="1"/>
  <c r="H7" i="1"/>
  <c r="V7" i="1"/>
  <c r="U7" i="1"/>
  <c r="N8" i="1"/>
  <c r="N7" i="1"/>
  <c r="O8" i="1"/>
  <c r="O7" i="1"/>
  <c r="G8" i="6"/>
  <c r="G7" i="6"/>
  <c r="H8" i="6"/>
  <c r="H7" i="6"/>
  <c r="O8" i="6"/>
  <c r="O7" i="6"/>
  <c r="N8" i="6"/>
  <c r="N7" i="6"/>
  <c r="V7" i="6"/>
  <c r="U7" i="6"/>
  <c r="M8" i="7"/>
  <c r="M7" i="7"/>
  <c r="L8" i="7"/>
  <c r="L7" i="7"/>
  <c r="E7" i="7"/>
  <c r="K8" i="7"/>
  <c r="K7" i="7"/>
  <c r="D7" i="7"/>
  <c r="H7" i="7" s="1"/>
  <c r="T7" i="6"/>
  <c r="M8" i="6"/>
  <c r="M7" i="6"/>
  <c r="F8" i="6"/>
  <c r="F7" i="6"/>
  <c r="T7" i="1"/>
  <c r="M8" i="1"/>
  <c r="M7" i="1"/>
  <c r="F8" i="1"/>
  <c r="F7" i="1"/>
  <c r="W94" i="7"/>
  <c r="V94" i="7"/>
  <c r="U94" i="7"/>
  <c r="T94" i="7"/>
  <c r="S94" i="7"/>
  <c r="P94" i="7"/>
  <c r="Q94" i="7"/>
  <c r="R94" i="7"/>
  <c r="O94" i="7"/>
  <c r="N94" i="7"/>
  <c r="M94" i="7"/>
  <c r="L94" i="7"/>
  <c r="K94" i="7"/>
  <c r="AF90" i="7"/>
  <c r="AF97" i="7" s="1"/>
  <c r="AG90" i="7"/>
  <c r="AG97" i="7" s="1"/>
  <c r="AB90" i="7"/>
  <c r="AB97" i="7" s="1"/>
  <c r="AC90" i="7"/>
  <c r="AC97" i="7" s="1"/>
  <c r="AD90" i="7"/>
  <c r="AD97" i="7" s="1"/>
  <c r="AE90" i="7"/>
  <c r="AE97" i="7" s="1"/>
  <c r="AA90" i="7"/>
  <c r="AA97" i="7" s="1"/>
  <c r="Z90" i="7"/>
  <c r="Z97" i="7" s="1"/>
  <c r="Y90" i="7"/>
  <c r="Y97" i="7" s="1"/>
  <c r="X90" i="7"/>
  <c r="X97" i="7" s="1"/>
  <c r="W90" i="7"/>
  <c r="T89" i="7"/>
  <c r="S89" i="7"/>
  <c r="R89" i="7"/>
  <c r="Q89" i="7"/>
  <c r="P89" i="7"/>
  <c r="O89" i="7"/>
  <c r="N89" i="7"/>
  <c r="F89" i="7" s="1"/>
  <c r="M89" i="7"/>
  <c r="L89" i="7"/>
  <c r="K89" i="7"/>
  <c r="N41" i="8" s="1"/>
  <c r="E88" i="7"/>
  <c r="H88" i="7" s="1"/>
  <c r="H64" i="7"/>
  <c r="I64" i="7"/>
  <c r="G64" i="7"/>
  <c r="F64" i="7" s="1"/>
  <c r="G88" i="7"/>
  <c r="J44" i="8" s="1"/>
  <c r="W69" i="7"/>
  <c r="M69" i="7"/>
  <c r="N69" i="7"/>
  <c r="O69" i="7"/>
  <c r="P69" i="7"/>
  <c r="Q69" i="7"/>
  <c r="R69" i="7"/>
  <c r="S69" i="7"/>
  <c r="T69" i="7"/>
  <c r="U69" i="7"/>
  <c r="V69" i="7"/>
  <c r="L69" i="7"/>
  <c r="K69" i="7"/>
  <c r="F69" i="7" s="1"/>
  <c r="W68" i="7"/>
  <c r="V68" i="7"/>
  <c r="U68" i="7"/>
  <c r="T68" i="7"/>
  <c r="S68" i="7"/>
  <c r="R68" i="7"/>
  <c r="Q68" i="7"/>
  <c r="P68" i="7"/>
  <c r="O68" i="7"/>
  <c r="N68" i="7"/>
  <c r="M68" i="7"/>
  <c r="L68" i="7"/>
  <c r="K68" i="7"/>
  <c r="F68" i="7" s="1"/>
  <c r="W67" i="7"/>
  <c r="V67" i="7"/>
  <c r="U67" i="7"/>
  <c r="T67" i="7"/>
  <c r="S67" i="7"/>
  <c r="R67" i="7"/>
  <c r="Q67" i="7"/>
  <c r="P67" i="7"/>
  <c r="O67" i="7"/>
  <c r="N67" i="7"/>
  <c r="M67" i="7"/>
  <c r="L67" i="7"/>
  <c r="K67" i="7"/>
  <c r="F67" i="7" s="1"/>
  <c r="W58" i="7"/>
  <c r="Q58" i="7"/>
  <c r="R58" i="7"/>
  <c r="S58" i="7"/>
  <c r="T58" i="7"/>
  <c r="U58" i="7"/>
  <c r="V58" i="7"/>
  <c r="P58" i="7"/>
  <c r="O58" i="7"/>
  <c r="F58" i="7" s="1"/>
  <c r="N58" i="7"/>
  <c r="M58" i="7"/>
  <c r="L58" i="7"/>
  <c r="K58" i="7"/>
  <c r="W56" i="7"/>
  <c r="V56" i="7"/>
  <c r="U56" i="7"/>
  <c r="T56" i="7"/>
  <c r="S56" i="7"/>
  <c r="R56" i="7"/>
  <c r="Q56" i="7"/>
  <c r="P56" i="7"/>
  <c r="O56" i="7"/>
  <c r="N56" i="7"/>
  <c r="M56" i="7"/>
  <c r="L56" i="7"/>
  <c r="F56" i="7" s="1"/>
  <c r="K56" i="7"/>
  <c r="W55" i="7"/>
  <c r="V55" i="7"/>
  <c r="U55" i="7"/>
  <c r="T55" i="7"/>
  <c r="S55" i="7"/>
  <c r="R55" i="7"/>
  <c r="Q55" i="7"/>
  <c r="P55" i="7"/>
  <c r="O55" i="7"/>
  <c r="N55" i="7"/>
  <c r="M55" i="7"/>
  <c r="L55" i="7"/>
  <c r="K55" i="7"/>
  <c r="F55" i="7" s="1"/>
  <c r="W54" i="7"/>
  <c r="V54" i="7"/>
  <c r="U54" i="7"/>
  <c r="T54" i="7"/>
  <c r="S54" i="7"/>
  <c r="R54" i="7"/>
  <c r="Q54" i="7"/>
  <c r="P54" i="7"/>
  <c r="O54" i="7"/>
  <c r="N54" i="7"/>
  <c r="M54" i="7"/>
  <c r="L54" i="7"/>
  <c r="K54" i="7"/>
  <c r="F54" i="7" s="1"/>
  <c r="C48" i="8" l="1"/>
  <c r="E48" i="8"/>
  <c r="AI46" i="8"/>
  <c r="AF27" i="8"/>
  <c r="F28" i="8"/>
  <c r="C46" i="8"/>
  <c r="G46" i="8"/>
  <c r="C28" i="8"/>
  <c r="G48" i="8"/>
  <c r="F46" i="8"/>
  <c r="G28" i="8"/>
  <c r="E46" i="8"/>
  <c r="D46" i="8"/>
  <c r="D28" i="8"/>
  <c r="K44" i="8"/>
  <c r="H97" i="7"/>
  <c r="G97" i="7"/>
  <c r="G98" i="7" s="1"/>
  <c r="I88" i="7"/>
  <c r="AJ41" i="8"/>
  <c r="AB41" i="8"/>
  <c r="AB43" i="8" s="1"/>
  <c r="AH46" i="8"/>
  <c r="AG46" i="8"/>
  <c r="F18" i="7"/>
  <c r="AC41" i="8"/>
  <c r="AC43" i="8" s="1"/>
  <c r="AI41" i="8"/>
  <c r="AA41" i="8"/>
  <c r="AA43" i="8" s="1"/>
  <c r="AH41" i="8"/>
  <c r="F90" i="7"/>
  <c r="AD41" i="8"/>
  <c r="AD43" i="8" s="1"/>
  <c r="H46" i="8"/>
  <c r="AD46" i="8"/>
  <c r="AC46" i="8"/>
  <c r="J43" i="8"/>
  <c r="AA27" i="8"/>
  <c r="N55" i="1"/>
  <c r="L55" i="1"/>
  <c r="M55" i="1"/>
  <c r="AB27" i="8"/>
  <c r="Z43" i="8"/>
  <c r="Y43" i="8"/>
  <c r="V43" i="8"/>
  <c r="AJ27" i="8"/>
  <c r="L43" i="8"/>
  <c r="AH27" i="8"/>
  <c r="X43" i="8"/>
  <c r="W43" i="8"/>
  <c r="K43" i="8"/>
  <c r="AF42" i="8"/>
  <c r="AG42" i="8" s="1"/>
  <c r="AH42" i="8" s="1"/>
  <c r="AI42" i="8" s="1"/>
  <c r="AJ42" i="8" s="1"/>
  <c r="AE43" i="8"/>
  <c r="AG27" i="8"/>
  <c r="AD27" i="8"/>
  <c r="AC27" i="8"/>
  <c r="AJ28" i="8"/>
  <c r="AI28" i="8"/>
  <c r="AE28" i="8"/>
  <c r="AC28" i="8"/>
  <c r="AH28" i="8"/>
  <c r="AF13" i="8"/>
  <c r="AA28" i="8"/>
  <c r="AG28" i="8"/>
  <c r="AF28" i="8"/>
  <c r="AB28" i="8"/>
  <c r="AD28" i="8"/>
  <c r="AH14" i="8"/>
  <c r="AG14" i="8"/>
  <c r="AJ13" i="8"/>
  <c r="AI13" i="8"/>
  <c r="AE14" i="8"/>
  <c r="AH13" i="8"/>
  <c r="AD14" i="8"/>
  <c r="AC14" i="8"/>
  <c r="AB14" i="8"/>
  <c r="AA14" i="8"/>
  <c r="AJ14" i="8"/>
  <c r="AA13" i="8"/>
  <c r="U14" i="6"/>
  <c r="S14" i="6"/>
  <c r="S15" i="1"/>
  <c r="S56" i="1" s="1"/>
  <c r="R14" i="6"/>
  <c r="Q15" i="1"/>
  <c r="Q56" i="1" s="1"/>
  <c r="P15" i="1"/>
  <c r="P56" i="1" s="1"/>
  <c r="U4" i="8"/>
  <c r="V4" i="8" s="1"/>
  <c r="W4" i="8" s="1"/>
  <c r="V14" i="1"/>
  <c r="T14" i="1"/>
  <c r="S14" i="1"/>
  <c r="T15" i="6"/>
  <c r="R15" i="6"/>
  <c r="Q15" i="6"/>
  <c r="U14" i="1"/>
  <c r="T14" i="6"/>
  <c r="S15" i="6"/>
  <c r="R15" i="1"/>
  <c r="R56" i="1" s="1"/>
  <c r="R14" i="1"/>
  <c r="Q14" i="6"/>
  <c r="P15" i="6"/>
  <c r="O15" i="1"/>
  <c r="O56" i="1" s="1"/>
  <c r="Q14" i="1"/>
  <c r="P14" i="6"/>
  <c r="O15" i="6"/>
  <c r="P14" i="1"/>
  <c r="V15" i="1"/>
  <c r="V56" i="1" s="1"/>
  <c r="U3" i="8"/>
  <c r="U15" i="1"/>
  <c r="U56" i="1" s="1"/>
  <c r="U15" i="6"/>
  <c r="T15" i="1"/>
  <c r="T56" i="1" s="1"/>
  <c r="K18" i="1"/>
  <c r="AE8" i="8"/>
  <c r="F23" i="8"/>
  <c r="T29" i="6"/>
  <c r="U29" i="6" s="1"/>
  <c r="V29" i="6" s="1"/>
  <c r="K29" i="6"/>
  <c r="E23" i="8"/>
  <c r="D23" i="8"/>
  <c r="H12" i="8"/>
  <c r="C23" i="8"/>
  <c r="G23" i="8"/>
  <c r="AD11" i="8"/>
  <c r="X12" i="8"/>
  <c r="AF11" i="8"/>
  <c r="AE11" i="8"/>
  <c r="W12" i="8"/>
  <c r="V12" i="8"/>
  <c r="AC11" i="8"/>
  <c r="W11" i="8"/>
  <c r="AJ12" i="8"/>
  <c r="AI12" i="8"/>
  <c r="AH12" i="8"/>
  <c r="AG12" i="8"/>
  <c r="AI11" i="8"/>
  <c r="AF12" i="8"/>
  <c r="AG11" i="8"/>
  <c r="AE12" i="8"/>
  <c r="AA12" i="8"/>
  <c r="H11" i="8"/>
  <c r="H13" i="8"/>
  <c r="Z12" i="8"/>
  <c r="Y12" i="8"/>
  <c r="AB11" i="8"/>
  <c r="AD12" i="8"/>
  <c r="AC12" i="8"/>
  <c r="AB12" i="8"/>
  <c r="AJ43" i="8" l="1"/>
  <c r="L44" i="8"/>
  <c r="I44" i="8" s="1"/>
  <c r="I97" i="7"/>
  <c r="F88" i="7"/>
  <c r="P55" i="1"/>
  <c r="R55" i="1"/>
  <c r="U55" i="1"/>
  <c r="Q55" i="1"/>
  <c r="S55" i="1"/>
  <c r="T55" i="1"/>
  <c r="V55" i="1"/>
  <c r="AG8" i="8"/>
  <c r="AG43" i="8"/>
  <c r="AF43" i="8"/>
  <c r="AI43" i="8"/>
  <c r="AH43" i="8"/>
  <c r="X8" i="8"/>
  <c r="AH8" i="8"/>
  <c r="Z8" i="8"/>
  <c r="AB8" i="8"/>
  <c r="AF8" i="8"/>
  <c r="W8" i="8"/>
  <c r="AJ8" i="8"/>
  <c r="AC8" i="8"/>
  <c r="X4" i="8"/>
  <c r="X21" i="8" s="1"/>
  <c r="V21" i="8"/>
  <c r="AI8" i="8"/>
  <c r="AA8" i="8"/>
  <c r="V8" i="8"/>
  <c r="AD8" i="8"/>
  <c r="Y8" i="8"/>
  <c r="W21" i="8"/>
  <c r="W15" i="1"/>
  <c r="K14" i="6"/>
  <c r="K15" i="6"/>
  <c r="V3" i="8"/>
  <c r="W14" i="1"/>
  <c r="W7" i="8"/>
  <c r="AB6" i="8"/>
  <c r="K15" i="1" l="1"/>
  <c r="W56" i="1"/>
  <c r="K14" i="1"/>
  <c r="W55" i="1"/>
  <c r="Y4" i="8"/>
  <c r="AA7" i="8"/>
  <c r="Z7" i="8"/>
  <c r="AJ7" i="8"/>
  <c r="AD6" i="8"/>
  <c r="AE7" i="8"/>
  <c r="Y7" i="8"/>
  <c r="X7" i="8"/>
  <c r="AH7" i="8"/>
  <c r="AB7" i="8"/>
  <c r="AC6" i="8"/>
  <c r="AJ6" i="8"/>
  <c r="AI6" i="8"/>
  <c r="AH6" i="8"/>
  <c r="AG6" i="8"/>
  <c r="V7" i="8"/>
  <c r="W3" i="8"/>
  <c r="V20" i="8"/>
  <c r="AF6" i="8"/>
  <c r="AG7" i="8"/>
  <c r="AE6" i="8"/>
  <c r="AD7" i="8"/>
  <c r="AA6" i="8"/>
  <c r="AF7" i="8"/>
  <c r="AC7" i="8"/>
  <c r="AI7" i="8"/>
  <c r="V23" i="8" l="1"/>
  <c r="V22" i="8"/>
  <c r="Z4" i="8"/>
  <c r="Y21" i="8"/>
  <c r="X3" i="8"/>
  <c r="W20" i="8"/>
  <c r="AA4" i="8" l="1"/>
  <c r="Z21" i="8"/>
  <c r="W23" i="8"/>
  <c r="W22" i="8"/>
  <c r="Y3" i="8"/>
  <c r="X20" i="8"/>
  <c r="X23" i="8" l="1"/>
  <c r="X22" i="8"/>
  <c r="AB4" i="8"/>
  <c r="AA21" i="8"/>
  <c r="Z3" i="8"/>
  <c r="Y20" i="8"/>
  <c r="AC4" i="8" l="1"/>
  <c r="AB21" i="8"/>
  <c r="Y23" i="8"/>
  <c r="Y22" i="8"/>
  <c r="AA3" i="8"/>
  <c r="Z20" i="8"/>
  <c r="Z23" i="8" l="1"/>
  <c r="Z22" i="8"/>
  <c r="AD4" i="8"/>
  <c r="AC21" i="8"/>
  <c r="AB3" i="8"/>
  <c r="AA20" i="8"/>
  <c r="AE4" i="8" l="1"/>
  <c r="AD21" i="8"/>
  <c r="AA23" i="8"/>
  <c r="AA22" i="8"/>
  <c r="AA33" i="8" s="1"/>
  <c r="AA36" i="8" s="1"/>
  <c r="AC3" i="8"/>
  <c r="AB20" i="8"/>
  <c r="AB23" i="8" l="1"/>
  <c r="AB22" i="8"/>
  <c r="AB33" i="8" s="1"/>
  <c r="AB36" i="8" s="1"/>
  <c r="AF4" i="8"/>
  <c r="AE21" i="8"/>
  <c r="AD3" i="8"/>
  <c r="AC20" i="8"/>
  <c r="AC23" i="8" l="1"/>
  <c r="AC22" i="8"/>
  <c r="AC33" i="8" s="1"/>
  <c r="AC36" i="8" s="1"/>
  <c r="AG4" i="8"/>
  <c r="AF21" i="8"/>
  <c r="AE3" i="8"/>
  <c r="AD20" i="8"/>
  <c r="AH4" i="8" l="1"/>
  <c r="AG21" i="8"/>
  <c r="AD23" i="8"/>
  <c r="AD22" i="8"/>
  <c r="AD33" i="8" s="1"/>
  <c r="AD36" i="8" s="1"/>
  <c r="AF3" i="8"/>
  <c r="AE20" i="8"/>
  <c r="AE23" i="8" l="1"/>
  <c r="AE22" i="8"/>
  <c r="AE33" i="8" s="1"/>
  <c r="AE36" i="8" s="1"/>
  <c r="AI4" i="8"/>
  <c r="AH21" i="8"/>
  <c r="AG3" i="8"/>
  <c r="AF20" i="8"/>
  <c r="AF23" i="8" l="1"/>
  <c r="AF22" i="8"/>
  <c r="AF33" i="8" s="1"/>
  <c r="AF36" i="8" s="1"/>
  <c r="AJ4" i="8"/>
  <c r="AI21" i="8"/>
  <c r="AH3" i="8"/>
  <c r="AG20" i="8"/>
  <c r="AG23" i="8" l="1"/>
  <c r="AG22" i="8"/>
  <c r="AG33" i="8" s="1"/>
  <c r="AG36" i="8" s="1"/>
  <c r="AJ21" i="8"/>
  <c r="I4" i="8"/>
  <c r="AI3" i="8"/>
  <c r="AH20" i="8"/>
  <c r="W63" i="7"/>
  <c r="Z32" i="8" s="1"/>
  <c r="V63" i="7"/>
  <c r="Y32" i="8" s="1"/>
  <c r="U63" i="7"/>
  <c r="X32" i="8" s="1"/>
  <c r="T63" i="7"/>
  <c r="W32" i="8" s="1"/>
  <c r="S63" i="7"/>
  <c r="V32" i="8" s="1"/>
  <c r="R63" i="7"/>
  <c r="Q63" i="7"/>
  <c r="P63" i="7"/>
  <c r="O63" i="7"/>
  <c r="N63" i="7"/>
  <c r="M63" i="7"/>
  <c r="L63" i="7"/>
  <c r="L62" i="7"/>
  <c r="M62" i="7"/>
  <c r="N62" i="7"/>
  <c r="O62" i="7"/>
  <c r="P62" i="7"/>
  <c r="P73" i="7" s="1"/>
  <c r="Q62" i="7"/>
  <c r="R62" i="7"/>
  <c r="S62" i="7"/>
  <c r="T62" i="7"/>
  <c r="T73" i="7" s="1"/>
  <c r="U62" i="7"/>
  <c r="V62" i="7"/>
  <c r="V73" i="7" s="1"/>
  <c r="W62" i="7"/>
  <c r="K62" i="7"/>
  <c r="F62" i="7" s="1"/>
  <c r="Y25" i="8" l="1"/>
  <c r="W25" i="8"/>
  <c r="F63" i="7"/>
  <c r="AH23" i="8"/>
  <c r="AH22" i="8"/>
  <c r="AH33" i="8" s="1"/>
  <c r="AH36" i="8" s="1"/>
  <c r="AJ3" i="8"/>
  <c r="AI20" i="8"/>
  <c r="U73" i="7"/>
  <c r="O73" i="7"/>
  <c r="S73" i="7"/>
  <c r="Q73" i="7"/>
  <c r="L73" i="7"/>
  <c r="R73" i="7"/>
  <c r="W73" i="7"/>
  <c r="K73" i="7"/>
  <c r="N73" i="7"/>
  <c r="M73" i="7"/>
  <c r="T72" i="7"/>
  <c r="V72" i="7"/>
  <c r="P72" i="7"/>
  <c r="W27" i="8" l="1"/>
  <c r="W28" i="8"/>
  <c r="W33" i="8"/>
  <c r="Y27" i="8"/>
  <c r="Y28" i="8"/>
  <c r="Y33" i="8"/>
  <c r="X25" i="8"/>
  <c r="V25" i="8"/>
  <c r="F73" i="7"/>
  <c r="Z25" i="8"/>
  <c r="AI23" i="8"/>
  <c r="AI22" i="8"/>
  <c r="AI33" i="8" s="1"/>
  <c r="AI36" i="8" s="1"/>
  <c r="AJ20" i="8"/>
  <c r="I3" i="8"/>
  <c r="U72" i="7"/>
  <c r="Q72" i="7"/>
  <c r="S72" i="7"/>
  <c r="R72" i="7"/>
  <c r="K72" i="7"/>
  <c r="N72" i="7"/>
  <c r="W72" i="7"/>
  <c r="L72" i="7"/>
  <c r="O72" i="7"/>
  <c r="M72" i="7"/>
  <c r="L40" i="7"/>
  <c r="M40" i="7"/>
  <c r="N40" i="7"/>
  <c r="O40" i="7"/>
  <c r="P40" i="7"/>
  <c r="Q40" i="7"/>
  <c r="R40" i="7"/>
  <c r="S40" i="7"/>
  <c r="V16" i="8" s="1"/>
  <c r="T40" i="7"/>
  <c r="W16" i="8" s="1"/>
  <c r="U40" i="7"/>
  <c r="X16" i="8" s="1"/>
  <c r="V40" i="7"/>
  <c r="Y16" i="8" s="1"/>
  <c r="W40" i="7"/>
  <c r="Z16" i="8" s="1"/>
  <c r="K40" i="7"/>
  <c r="L39" i="7"/>
  <c r="M39" i="7"/>
  <c r="N39" i="7"/>
  <c r="O39" i="7"/>
  <c r="P39" i="7"/>
  <c r="Q39" i="7"/>
  <c r="R39" i="7"/>
  <c r="S39" i="7"/>
  <c r="V15" i="8" s="1"/>
  <c r="T39" i="7"/>
  <c r="W15" i="8" s="1"/>
  <c r="U39" i="7"/>
  <c r="X15" i="8" s="1"/>
  <c r="V39" i="7"/>
  <c r="Y15" i="8" s="1"/>
  <c r="W39" i="7"/>
  <c r="Z15" i="8" s="1"/>
  <c r="K39" i="7"/>
  <c r="L28" i="7"/>
  <c r="L32" i="7" s="1"/>
  <c r="M28" i="7"/>
  <c r="M32" i="7" s="1"/>
  <c r="N28" i="7"/>
  <c r="N32" i="7" s="1"/>
  <c r="O28" i="7"/>
  <c r="O32" i="7" s="1"/>
  <c r="P28" i="7"/>
  <c r="P32" i="7" s="1"/>
  <c r="Q28" i="7"/>
  <c r="Q32" i="7" s="1"/>
  <c r="R28" i="7"/>
  <c r="R32" i="7" s="1"/>
  <c r="S28" i="7"/>
  <c r="S32" i="7" s="1"/>
  <c r="V14" i="8" s="1"/>
  <c r="T28" i="7"/>
  <c r="T32" i="7" s="1"/>
  <c r="W14" i="8" s="1"/>
  <c r="U28" i="7"/>
  <c r="U32" i="7" s="1"/>
  <c r="X14" i="8" s="1"/>
  <c r="V28" i="7"/>
  <c r="V32" i="7" s="1"/>
  <c r="Y14" i="8" s="1"/>
  <c r="W28" i="7"/>
  <c r="W32" i="7" s="1"/>
  <c r="Z14" i="8" s="1"/>
  <c r="K28" i="7"/>
  <c r="L27" i="7"/>
  <c r="L31" i="7" s="1"/>
  <c r="M27" i="7"/>
  <c r="M31" i="7" s="1"/>
  <c r="N27" i="7"/>
  <c r="N31" i="7" s="1"/>
  <c r="O27" i="7"/>
  <c r="O31" i="7" s="1"/>
  <c r="P27" i="7"/>
  <c r="P31" i="7" s="1"/>
  <c r="Q27" i="7"/>
  <c r="Q31" i="7" s="1"/>
  <c r="R27" i="7"/>
  <c r="R31" i="7" s="1"/>
  <c r="S27" i="7"/>
  <c r="S31" i="7" s="1"/>
  <c r="V13" i="8" s="1"/>
  <c r="T27" i="7"/>
  <c r="T31" i="7" s="1"/>
  <c r="W13" i="8" s="1"/>
  <c r="U27" i="7"/>
  <c r="U31" i="7" s="1"/>
  <c r="X13" i="8" s="1"/>
  <c r="V27" i="7"/>
  <c r="V31" i="7" s="1"/>
  <c r="Y13" i="8" s="1"/>
  <c r="W27" i="7"/>
  <c r="W31" i="7" s="1"/>
  <c r="Z13" i="8" s="1"/>
  <c r="K27" i="7"/>
  <c r="V21" i="7"/>
  <c r="W21" i="7"/>
  <c r="U21" i="7"/>
  <c r="T21" i="7"/>
  <c r="R21" i="7"/>
  <c r="S21" i="7"/>
  <c r="Q21" i="7"/>
  <c r="P21" i="7"/>
  <c r="N21" i="7"/>
  <c r="O21" i="7"/>
  <c r="M21" i="7"/>
  <c r="L21" i="7"/>
  <c r="K21" i="7"/>
  <c r="E18" i="7"/>
  <c r="G18" i="7" s="1"/>
  <c r="H18" i="7" s="1"/>
  <c r="I18" i="7" s="1"/>
  <c r="J18" i="7" s="1"/>
  <c r="K18" i="7" s="1"/>
  <c r="L18" i="7" s="1"/>
  <c r="M18" i="7" s="1"/>
  <c r="N18" i="7" s="1"/>
  <c r="O18" i="7" s="1"/>
  <c r="P18" i="7" s="1"/>
  <c r="Q18" i="7" s="1"/>
  <c r="R18" i="7" s="1"/>
  <c r="F40" i="7" l="1"/>
  <c r="V27" i="8"/>
  <c r="V28" i="8"/>
  <c r="V33" i="8"/>
  <c r="K31" i="7"/>
  <c r="F31" i="7" s="1"/>
  <c r="F27" i="7"/>
  <c r="F72" i="7"/>
  <c r="F39" i="7"/>
  <c r="Z27" i="8"/>
  <c r="Z28" i="8"/>
  <c r="Z33" i="8"/>
  <c r="F21" i="7"/>
  <c r="X27" i="8"/>
  <c r="X28" i="8"/>
  <c r="X33" i="8"/>
  <c r="K32" i="7"/>
  <c r="F32" i="7" s="1"/>
  <c r="F28" i="7"/>
  <c r="AJ23" i="8"/>
  <c r="AJ22" i="8"/>
  <c r="AJ33" i="8" s="1"/>
  <c r="AJ36" i="8" s="1"/>
  <c r="S18" i="7"/>
  <c r="J15" i="7"/>
  <c r="K14" i="7"/>
  <c r="G7" i="7"/>
  <c r="K9" i="7"/>
  <c r="M9" i="7" s="1"/>
  <c r="O8" i="7"/>
  <c r="N8" i="7"/>
  <c r="O7" i="7"/>
  <c r="N7" i="7"/>
  <c r="F90" i="6"/>
  <c r="G90" i="6"/>
  <c r="H90" i="6"/>
  <c r="I90" i="6"/>
  <c r="J90" i="6"/>
  <c r="E90" i="6"/>
  <c r="N71" i="6"/>
  <c r="O71" i="6" s="1"/>
  <c r="M85" i="6"/>
  <c r="N85" i="6"/>
  <c r="L85" i="6"/>
  <c r="E81" i="6"/>
  <c r="F81" i="6"/>
  <c r="H81" i="6"/>
  <c r="I81" i="6"/>
  <c r="J81" i="6"/>
  <c r="F73" i="6"/>
  <c r="G73" i="6"/>
  <c r="H73" i="6"/>
  <c r="I73" i="6"/>
  <c r="J73" i="6"/>
  <c r="E73" i="6"/>
  <c r="O69" i="6"/>
  <c r="M69" i="6"/>
  <c r="N69" i="6"/>
  <c r="L69" i="6"/>
  <c r="L70" i="6"/>
  <c r="F66" i="6"/>
  <c r="G66" i="6"/>
  <c r="H66" i="6"/>
  <c r="I66" i="6"/>
  <c r="J66" i="6"/>
  <c r="E66" i="6"/>
  <c r="J65" i="1"/>
  <c r="K15" i="7" l="1"/>
  <c r="K74" i="7" s="1"/>
  <c r="J29" i="8"/>
  <c r="T18" i="7"/>
  <c r="V6" i="8"/>
  <c r="L14" i="7"/>
  <c r="K47" i="7"/>
  <c r="L15" i="7"/>
  <c r="N9" i="7"/>
  <c r="O9" i="7"/>
  <c r="L9" i="7"/>
  <c r="K48" i="7" l="1"/>
  <c r="U18" i="7"/>
  <c r="W6" i="8"/>
  <c r="L74" i="7"/>
  <c r="M15" i="7"/>
  <c r="L48" i="7"/>
  <c r="M14" i="7"/>
  <c r="L47" i="7"/>
  <c r="F64" i="6"/>
  <c r="G64" i="6"/>
  <c r="H64" i="6"/>
  <c r="I64" i="6"/>
  <c r="J64" i="6"/>
  <c r="E64" i="6"/>
  <c r="K49" i="7" l="1"/>
  <c r="V18" i="7"/>
  <c r="X6" i="8"/>
  <c r="L49" i="7"/>
  <c r="L78" i="7" s="1"/>
  <c r="M74" i="7"/>
  <c r="K51" i="7"/>
  <c r="N14" i="7"/>
  <c r="M47" i="7"/>
  <c r="N15" i="7"/>
  <c r="M48" i="7"/>
  <c r="M64" i="6"/>
  <c r="L18" i="6"/>
  <c r="M18" i="6" s="1"/>
  <c r="N18" i="6" s="1"/>
  <c r="M39" i="6"/>
  <c r="N39" i="6"/>
  <c r="L39" i="6"/>
  <c r="K78" i="7" l="1"/>
  <c r="K79" i="7"/>
  <c r="K59" i="7"/>
  <c r="N74" i="7"/>
  <c r="W18" i="7"/>
  <c r="Z6" i="8" s="1"/>
  <c r="Y6" i="8"/>
  <c r="K77" i="7"/>
  <c r="L59" i="7"/>
  <c r="L79" i="7"/>
  <c r="L51" i="7"/>
  <c r="M49" i="7"/>
  <c r="M78" i="7" s="1"/>
  <c r="O15" i="7"/>
  <c r="N48" i="7"/>
  <c r="O14" i="7"/>
  <c r="N47" i="7"/>
  <c r="N64" i="6"/>
  <c r="O18" i="6"/>
  <c r="K82" i="7" l="1"/>
  <c r="K91" i="7"/>
  <c r="L77" i="7"/>
  <c r="M59" i="7"/>
  <c r="M79" i="7"/>
  <c r="N49" i="7"/>
  <c r="N51" i="7"/>
  <c r="O74" i="7"/>
  <c r="M51" i="7"/>
  <c r="P14" i="7"/>
  <c r="O47" i="7"/>
  <c r="P15" i="7"/>
  <c r="O48" i="7"/>
  <c r="O64" i="6"/>
  <c r="P18" i="6"/>
  <c r="K85" i="7" l="1"/>
  <c r="N78" i="7"/>
  <c r="L82" i="7"/>
  <c r="L91" i="7"/>
  <c r="P74" i="7"/>
  <c r="M77" i="7"/>
  <c r="N59" i="7"/>
  <c r="N79" i="7"/>
  <c r="Q15" i="7"/>
  <c r="P48" i="7"/>
  <c r="O49" i="7"/>
  <c r="O78" i="7" s="1"/>
  <c r="Q14" i="7"/>
  <c r="P47" i="7"/>
  <c r="Q18" i="6"/>
  <c r="K97" i="7" l="1"/>
  <c r="M82" i="7"/>
  <c r="M91" i="7"/>
  <c r="L85" i="7"/>
  <c r="L97" i="7" s="1"/>
  <c r="N77" i="7"/>
  <c r="O59" i="7"/>
  <c r="O79" i="7"/>
  <c r="P49" i="7"/>
  <c r="Q74" i="7"/>
  <c r="O51" i="7"/>
  <c r="Q47" i="7"/>
  <c r="R14" i="7"/>
  <c r="Q48" i="7"/>
  <c r="R15" i="7"/>
  <c r="R18" i="6"/>
  <c r="P78" i="7" l="1"/>
  <c r="M85" i="7"/>
  <c r="N82" i="7"/>
  <c r="N91" i="7"/>
  <c r="P51" i="7"/>
  <c r="R74" i="7"/>
  <c r="O77" i="7"/>
  <c r="P59" i="7"/>
  <c r="P79" i="7"/>
  <c r="S15" i="7"/>
  <c r="R48" i="7"/>
  <c r="R47" i="7"/>
  <c r="S14" i="7"/>
  <c r="Q49" i="7"/>
  <c r="Q78" i="7" s="1"/>
  <c r="S18" i="6"/>
  <c r="O82" i="7" l="1"/>
  <c r="O91" i="7"/>
  <c r="M97" i="7"/>
  <c r="N97" i="7"/>
  <c r="N85" i="7"/>
  <c r="P77" i="7"/>
  <c r="Q59" i="7"/>
  <c r="Q79" i="7"/>
  <c r="R49" i="7"/>
  <c r="R78" i="7" s="1"/>
  <c r="S74" i="7"/>
  <c r="Q51" i="7"/>
  <c r="T14" i="7"/>
  <c r="S47" i="7"/>
  <c r="T15" i="7"/>
  <c r="S48" i="7"/>
  <c r="T18" i="6"/>
  <c r="O85" i="7" l="1"/>
  <c r="O97" i="7" s="1"/>
  <c r="P82" i="7"/>
  <c r="P91" i="7"/>
  <c r="T74" i="7"/>
  <c r="Q77" i="7"/>
  <c r="R59" i="7"/>
  <c r="R79" i="7"/>
  <c r="R51" i="7"/>
  <c r="S49" i="7"/>
  <c r="S78" i="7" s="1"/>
  <c r="U15" i="7"/>
  <c r="T48" i="7"/>
  <c r="U14" i="7"/>
  <c r="T47" i="7"/>
  <c r="U18" i="6"/>
  <c r="P85" i="7" l="1"/>
  <c r="P97" i="7" s="1"/>
  <c r="Q82" i="7"/>
  <c r="Q91" i="7"/>
  <c r="R77" i="7"/>
  <c r="U74" i="7"/>
  <c r="T49" i="7"/>
  <c r="T78" i="7" s="1"/>
  <c r="S59" i="7"/>
  <c r="S79" i="7"/>
  <c r="S51" i="7"/>
  <c r="V14" i="7"/>
  <c r="U47" i="7"/>
  <c r="V15" i="7"/>
  <c r="U48" i="7"/>
  <c r="V18" i="6"/>
  <c r="O30" i="6"/>
  <c r="N30" i="6"/>
  <c r="M30" i="6"/>
  <c r="L30" i="6"/>
  <c r="J48" i="6"/>
  <c r="J47" i="6"/>
  <c r="J36" i="6"/>
  <c r="J35" i="6"/>
  <c r="J29" i="6"/>
  <c r="I48" i="6"/>
  <c r="I47" i="6"/>
  <c r="H47" i="6"/>
  <c r="I29" i="6"/>
  <c r="I36" i="6"/>
  <c r="I35" i="6"/>
  <c r="F48" i="6"/>
  <c r="G48" i="6"/>
  <c r="H48" i="6"/>
  <c r="E48" i="6"/>
  <c r="F47" i="6"/>
  <c r="G47" i="6"/>
  <c r="E47" i="6"/>
  <c r="H29" i="6"/>
  <c r="G29" i="6"/>
  <c r="G36" i="6"/>
  <c r="H36" i="6"/>
  <c r="G35" i="6"/>
  <c r="H35" i="6"/>
  <c r="F36" i="6"/>
  <c r="F35" i="6"/>
  <c r="E36" i="6"/>
  <c r="E35" i="6"/>
  <c r="F29" i="6"/>
  <c r="E29" i="6"/>
  <c r="J26" i="6"/>
  <c r="L26" i="6" s="1"/>
  <c r="J23" i="6"/>
  <c r="L23" i="6" s="1"/>
  <c r="J22" i="6"/>
  <c r="L22" i="6" s="1"/>
  <c r="J19" i="6"/>
  <c r="L19" i="6" s="1"/>
  <c r="M9" i="6"/>
  <c r="O9" i="6" s="1"/>
  <c r="F9" i="6"/>
  <c r="G9" i="6" s="1"/>
  <c r="Q8" i="6"/>
  <c r="P8" i="6"/>
  <c r="J8" i="6"/>
  <c r="I8" i="6"/>
  <c r="X7" i="6"/>
  <c r="W7" i="6"/>
  <c r="Q7" i="6"/>
  <c r="P7" i="6"/>
  <c r="J7" i="6"/>
  <c r="I7" i="6"/>
  <c r="C19" i="5"/>
  <c r="C15" i="5"/>
  <c r="F91" i="1"/>
  <c r="G91" i="1"/>
  <c r="H91" i="1"/>
  <c r="I91" i="1"/>
  <c r="J91" i="1"/>
  <c r="E91" i="1"/>
  <c r="M69" i="1"/>
  <c r="K30" i="8" s="1"/>
  <c r="N69" i="1"/>
  <c r="L30" i="8" s="1"/>
  <c r="L69" i="1"/>
  <c r="J82" i="1"/>
  <c r="I82" i="1"/>
  <c r="E73" i="1"/>
  <c r="F73" i="1"/>
  <c r="G73" i="1"/>
  <c r="H73" i="1"/>
  <c r="I73" i="1"/>
  <c r="J73" i="1"/>
  <c r="M86" i="1"/>
  <c r="N86" i="1"/>
  <c r="O86" i="1" s="1"/>
  <c r="L86" i="1"/>
  <c r="M68" i="1"/>
  <c r="O70" i="1"/>
  <c r="M31" i="8" s="1"/>
  <c r="N70" i="1"/>
  <c r="L31" i="8" s="1"/>
  <c r="M70" i="1"/>
  <c r="K31" i="8" s="1"/>
  <c r="L70" i="1"/>
  <c r="F66" i="1"/>
  <c r="G66" i="1"/>
  <c r="H66" i="1"/>
  <c r="I66" i="1"/>
  <c r="E66" i="1"/>
  <c r="J66" i="1"/>
  <c r="F64" i="1"/>
  <c r="G64" i="1"/>
  <c r="H64" i="1"/>
  <c r="E64" i="1"/>
  <c r="I64" i="1"/>
  <c r="M82" i="1"/>
  <c r="R82" i="7" l="1"/>
  <c r="R91" i="7"/>
  <c r="Q85" i="7"/>
  <c r="Q97" i="7" s="1"/>
  <c r="N68" i="1"/>
  <c r="K29" i="8"/>
  <c r="J30" i="8"/>
  <c r="N82" i="1"/>
  <c r="O82" i="1" s="1"/>
  <c r="P82" i="1" s="1"/>
  <c r="Q82" i="1" s="1"/>
  <c r="R82" i="1" s="1"/>
  <c r="S82" i="1" s="1"/>
  <c r="T82" i="1" s="1"/>
  <c r="U82" i="1" s="1"/>
  <c r="V82" i="1" s="1"/>
  <c r="W82" i="1" s="1"/>
  <c r="K82" i="1"/>
  <c r="J31" i="8"/>
  <c r="L71" i="1"/>
  <c r="T51" i="7"/>
  <c r="V74" i="7"/>
  <c r="S77" i="7"/>
  <c r="T59" i="7"/>
  <c r="T79" i="7"/>
  <c r="W15" i="7"/>
  <c r="V48" i="7"/>
  <c r="U49" i="7"/>
  <c r="U78" i="7" s="1"/>
  <c r="W14" i="7"/>
  <c r="V47" i="7"/>
  <c r="L65" i="6"/>
  <c r="L73" i="6" s="1"/>
  <c r="M36" i="6"/>
  <c r="M44" i="6" s="1"/>
  <c r="M35" i="6"/>
  <c r="M43" i="6" s="1"/>
  <c r="M65" i="6"/>
  <c r="M73" i="6" s="1"/>
  <c r="M22" i="6"/>
  <c r="M19" i="6"/>
  <c r="N35" i="6"/>
  <c r="N43" i="6" s="1"/>
  <c r="N51" i="6" s="1"/>
  <c r="N36" i="6"/>
  <c r="N44" i="6" s="1"/>
  <c r="N52" i="6" s="1"/>
  <c r="N56" i="6" s="1"/>
  <c r="N65" i="6"/>
  <c r="O70" i="6"/>
  <c r="O65" i="6"/>
  <c r="V48" i="6"/>
  <c r="L48" i="6"/>
  <c r="M48" i="6"/>
  <c r="T48" i="6"/>
  <c r="U48" i="6"/>
  <c r="N48" i="6"/>
  <c r="S48" i="6"/>
  <c r="O48" i="6"/>
  <c r="P48" i="6"/>
  <c r="Q48" i="6"/>
  <c r="R48" i="6"/>
  <c r="V47" i="6"/>
  <c r="M47" i="6"/>
  <c r="N47" i="6"/>
  <c r="R47" i="6"/>
  <c r="O47" i="6"/>
  <c r="P47" i="6"/>
  <c r="S47" i="6"/>
  <c r="L47" i="6"/>
  <c r="Q47" i="6"/>
  <c r="T47" i="6"/>
  <c r="U47" i="6"/>
  <c r="M23" i="6"/>
  <c r="M26" i="6"/>
  <c r="L35" i="6"/>
  <c r="L43" i="6" s="1"/>
  <c r="L36" i="6"/>
  <c r="L44" i="6" s="1"/>
  <c r="L52" i="6" s="1"/>
  <c r="L56" i="6" s="1"/>
  <c r="Q9" i="6"/>
  <c r="P9" i="6"/>
  <c r="I9" i="6"/>
  <c r="J9" i="6"/>
  <c r="H9" i="6"/>
  <c r="N9" i="6"/>
  <c r="C21" i="5"/>
  <c r="C22" i="5" s="1"/>
  <c r="J64" i="1"/>
  <c r="S82" i="7" l="1"/>
  <c r="V35" i="8"/>
  <c r="S91" i="7"/>
  <c r="F15" i="7"/>
  <c r="W47" i="7"/>
  <c r="F47" i="7" s="1"/>
  <c r="F14" i="7"/>
  <c r="R85" i="7"/>
  <c r="R97" i="7" s="1"/>
  <c r="D4" i="7"/>
  <c r="D4" i="6"/>
  <c r="D4" i="1"/>
  <c r="M71" i="1"/>
  <c r="J32" i="8"/>
  <c r="O68" i="1"/>
  <c r="L29" i="8"/>
  <c r="L51" i="6"/>
  <c r="L66" i="6" s="1"/>
  <c r="M52" i="6"/>
  <c r="M56" i="6" s="1"/>
  <c r="O73" i="6"/>
  <c r="L55" i="6"/>
  <c r="L57" i="6" s="1"/>
  <c r="T77" i="7"/>
  <c r="U59" i="7"/>
  <c r="U79" i="7"/>
  <c r="V49" i="7"/>
  <c r="W48" i="7"/>
  <c r="W74" i="7"/>
  <c r="F74" i="7" s="1"/>
  <c r="U51" i="7"/>
  <c r="N22" i="6"/>
  <c r="N19" i="6"/>
  <c r="M51" i="6"/>
  <c r="N55" i="6"/>
  <c r="N57" i="6" s="1"/>
  <c r="N66" i="6"/>
  <c r="N73" i="6"/>
  <c r="N23" i="6"/>
  <c r="N26" i="6"/>
  <c r="M64" i="1"/>
  <c r="N64" i="1" s="1"/>
  <c r="T82" i="7" l="1"/>
  <c r="W35" i="8"/>
  <c r="T91" i="7"/>
  <c r="W49" i="7"/>
  <c r="F48" i="7"/>
  <c r="V36" i="8"/>
  <c r="V46" i="8"/>
  <c r="S97" i="7"/>
  <c r="S98" i="7" s="1"/>
  <c r="S85" i="7"/>
  <c r="V37" i="8"/>
  <c r="AG98" i="7"/>
  <c r="R98" i="7"/>
  <c r="J98" i="7"/>
  <c r="AF98" i="7"/>
  <c r="Y98" i="7"/>
  <c r="AE98" i="7"/>
  <c r="AD98" i="7"/>
  <c r="AC98" i="7"/>
  <c r="Q98" i="7"/>
  <c r="N98" i="7"/>
  <c r="X98" i="7"/>
  <c r="AB98" i="7"/>
  <c r="P98" i="7"/>
  <c r="O98" i="7"/>
  <c r="Z98" i="7"/>
  <c r="M98" i="7"/>
  <c r="AA98" i="7"/>
  <c r="I98" i="7"/>
  <c r="H98" i="7"/>
  <c r="L98" i="7"/>
  <c r="K98" i="7"/>
  <c r="M29" i="8"/>
  <c r="O64" i="1"/>
  <c r="N71" i="1"/>
  <c r="K32" i="8"/>
  <c r="L76" i="6"/>
  <c r="N76" i="6"/>
  <c r="V51" i="7"/>
  <c r="V78" i="7"/>
  <c r="L59" i="6"/>
  <c r="L77" i="6"/>
  <c r="N59" i="6"/>
  <c r="N77" i="6"/>
  <c r="W51" i="7"/>
  <c r="U77" i="7"/>
  <c r="W59" i="7"/>
  <c r="W79" i="7"/>
  <c r="V59" i="7"/>
  <c r="V79" i="7"/>
  <c r="O19" i="6"/>
  <c r="O22" i="6"/>
  <c r="M66" i="6"/>
  <c r="M55" i="6"/>
  <c r="M57" i="6" s="1"/>
  <c r="M76" i="6" s="1"/>
  <c r="O23" i="6"/>
  <c r="O26" i="6"/>
  <c r="L48" i="1"/>
  <c r="L47" i="1"/>
  <c r="F48" i="1"/>
  <c r="G48" i="1"/>
  <c r="H48" i="1"/>
  <c r="I48" i="1"/>
  <c r="J48" i="1"/>
  <c r="H16" i="8" s="1"/>
  <c r="E48" i="1"/>
  <c r="F47" i="1"/>
  <c r="G47" i="1"/>
  <c r="H47" i="1"/>
  <c r="I47" i="1"/>
  <c r="J47" i="1"/>
  <c r="H15" i="8" s="1"/>
  <c r="E47" i="1"/>
  <c r="F79" i="7" l="1"/>
  <c r="W78" i="7"/>
  <c r="F78" i="7" s="1"/>
  <c r="F49" i="7"/>
  <c r="F59" i="7"/>
  <c r="W36" i="8"/>
  <c r="W46" i="8"/>
  <c r="U82" i="7"/>
  <c r="X35" i="8"/>
  <c r="U91" i="7"/>
  <c r="F51" i="7"/>
  <c r="T85" i="7"/>
  <c r="T97" i="7" s="1"/>
  <c r="T98" i="7" s="1"/>
  <c r="W37" i="8"/>
  <c r="L87" i="6"/>
  <c r="N87" i="6"/>
  <c r="O71" i="1"/>
  <c r="M32" i="8" s="1"/>
  <c r="L32" i="8"/>
  <c r="L80" i="6"/>
  <c r="M47" i="1"/>
  <c r="N47" i="1" s="1"/>
  <c r="O47" i="1" s="1"/>
  <c r="P47" i="1" s="1"/>
  <c r="Q47" i="1" s="1"/>
  <c r="R47" i="1" s="1"/>
  <c r="S47" i="1" s="1"/>
  <c r="T47" i="1" s="1"/>
  <c r="U47" i="1" s="1"/>
  <c r="V47" i="1" s="1"/>
  <c r="W47" i="1" s="1"/>
  <c r="M48" i="1"/>
  <c r="N48" i="1" s="1"/>
  <c r="O48" i="1" s="1"/>
  <c r="P48" i="1" s="1"/>
  <c r="Q48" i="1" s="1"/>
  <c r="R48" i="1" s="1"/>
  <c r="S48" i="1" s="1"/>
  <c r="T48" i="1" s="1"/>
  <c r="U48" i="1" s="1"/>
  <c r="V48" i="1" s="1"/>
  <c r="W48" i="1" s="1"/>
  <c r="K48" i="1" s="1"/>
  <c r="N80" i="6"/>
  <c r="N82" i="6" s="1"/>
  <c r="N90" i="6" s="1"/>
  <c r="N91" i="6" s="1"/>
  <c r="M59" i="6"/>
  <c r="M77" i="6"/>
  <c r="M80" i="6" s="1"/>
  <c r="M82" i="6" s="1"/>
  <c r="M90" i="6" s="1"/>
  <c r="M91" i="6" s="1"/>
  <c r="V77" i="7"/>
  <c r="W77" i="7"/>
  <c r="O31" i="6"/>
  <c r="O35" i="6" s="1"/>
  <c r="O43" i="6" s="1"/>
  <c r="O51" i="6" s="1"/>
  <c r="O32" i="6"/>
  <c r="O36" i="6" s="1"/>
  <c r="O44" i="6" s="1"/>
  <c r="O52" i="6" s="1"/>
  <c r="O56" i="6" s="1"/>
  <c r="P19" i="6"/>
  <c r="P22" i="6"/>
  <c r="P23" i="6"/>
  <c r="P26" i="6"/>
  <c r="J57" i="1"/>
  <c r="J59" i="1" s="1"/>
  <c r="V39" i="1"/>
  <c r="F36" i="1"/>
  <c r="G36" i="1"/>
  <c r="H36" i="1"/>
  <c r="I36" i="1"/>
  <c r="J36" i="1"/>
  <c r="E36" i="1"/>
  <c r="L39" i="1"/>
  <c r="R39" i="1"/>
  <c r="S39" i="1"/>
  <c r="T39" i="1"/>
  <c r="U39" i="1"/>
  <c r="M39" i="1"/>
  <c r="N39" i="1"/>
  <c r="O39" i="1"/>
  <c r="P39" i="1"/>
  <c r="Q39" i="1"/>
  <c r="F57" i="1"/>
  <c r="F59" i="1" s="1"/>
  <c r="G57" i="1"/>
  <c r="G59" i="1" s="1"/>
  <c r="H57" i="1"/>
  <c r="H59" i="1" s="1"/>
  <c r="I57" i="1"/>
  <c r="I59" i="1" s="1"/>
  <c r="E57" i="1"/>
  <c r="E59" i="1" s="1"/>
  <c r="J35" i="1"/>
  <c r="E35" i="1"/>
  <c r="F35" i="1"/>
  <c r="G35" i="1"/>
  <c r="H35" i="1"/>
  <c r="I35" i="1"/>
  <c r="M29" i="1"/>
  <c r="L19" i="1"/>
  <c r="L18" i="1"/>
  <c r="J6" i="8" s="1"/>
  <c r="J26" i="1"/>
  <c r="L26" i="1" s="1"/>
  <c r="J8" i="8" s="1"/>
  <c r="J23" i="1"/>
  <c r="L23" i="1" s="1"/>
  <c r="J22" i="1"/>
  <c r="L22" i="1" s="1"/>
  <c r="L30" i="1"/>
  <c r="X7" i="1"/>
  <c r="W7" i="1"/>
  <c r="M9" i="1"/>
  <c r="O9" i="1" s="1"/>
  <c r="Q8" i="1"/>
  <c r="Q7" i="1"/>
  <c r="P8" i="1"/>
  <c r="P7" i="1"/>
  <c r="J8" i="1"/>
  <c r="J7" i="1"/>
  <c r="I8" i="1"/>
  <c r="I7" i="1"/>
  <c r="F9" i="1"/>
  <c r="H9" i="1" s="1"/>
  <c r="X46" i="8" l="1"/>
  <c r="X36" i="8"/>
  <c r="U85" i="7"/>
  <c r="U97" i="7" s="1"/>
  <c r="X37" i="8"/>
  <c r="V82" i="7"/>
  <c r="Y35" i="8"/>
  <c r="V91" i="7"/>
  <c r="W82" i="7"/>
  <c r="Z35" i="8"/>
  <c r="F77" i="7"/>
  <c r="W91" i="7"/>
  <c r="M87" i="6"/>
  <c r="K39" i="1"/>
  <c r="L82" i="6"/>
  <c r="N29" i="1"/>
  <c r="O29" i="1" s="1"/>
  <c r="J10" i="8"/>
  <c r="K47" i="1"/>
  <c r="J7" i="8"/>
  <c r="P30" i="6"/>
  <c r="Q19" i="6"/>
  <c r="Q22" i="6"/>
  <c r="O55" i="6"/>
  <c r="O66" i="6"/>
  <c r="P32" i="6"/>
  <c r="Q23" i="6"/>
  <c r="Q26" i="6"/>
  <c r="L35" i="1"/>
  <c r="L65" i="1"/>
  <c r="J9" i="1"/>
  <c r="M23" i="1"/>
  <c r="M22" i="1"/>
  <c r="L36" i="1"/>
  <c r="M18" i="1"/>
  <c r="M19" i="1"/>
  <c r="M26" i="1"/>
  <c r="K8" i="8" s="1"/>
  <c r="R29" i="1"/>
  <c r="Q9" i="1"/>
  <c r="P9" i="1"/>
  <c r="N9" i="1"/>
  <c r="I9" i="1"/>
  <c r="G9" i="1"/>
  <c r="U98" i="7" l="1"/>
  <c r="Y36" i="8"/>
  <c r="Y46" i="8"/>
  <c r="V85" i="7"/>
  <c r="V97" i="7" s="1"/>
  <c r="Y37" i="8"/>
  <c r="F91" i="7"/>
  <c r="Z36" i="8"/>
  <c r="Z46" i="8"/>
  <c r="W85" i="7"/>
  <c r="F85" i="7" s="1"/>
  <c r="Z37" i="8"/>
  <c r="F82" i="7"/>
  <c r="P36" i="6"/>
  <c r="L73" i="1"/>
  <c r="J25" i="8"/>
  <c r="J27" i="8" s="1"/>
  <c r="J14" i="8"/>
  <c r="J13" i="8"/>
  <c r="J11" i="8"/>
  <c r="J12" i="8"/>
  <c r="L90" i="6"/>
  <c r="O57" i="6"/>
  <c r="O59" i="6" s="1"/>
  <c r="L43" i="1"/>
  <c r="J15" i="8" s="1"/>
  <c r="K6" i="8"/>
  <c r="K7" i="8"/>
  <c r="P69" i="6"/>
  <c r="P86" i="6"/>
  <c r="P64" i="6"/>
  <c r="P70" i="6"/>
  <c r="R19" i="6"/>
  <c r="R22" i="6"/>
  <c r="Q30" i="6"/>
  <c r="Q86" i="6" s="1"/>
  <c r="Q31" i="6"/>
  <c r="Q32" i="6"/>
  <c r="R23" i="6"/>
  <c r="R26" i="6"/>
  <c r="P31" i="6"/>
  <c r="S29" i="1"/>
  <c r="N22" i="1"/>
  <c r="N19" i="1"/>
  <c r="N18" i="1"/>
  <c r="N23" i="1"/>
  <c r="N26" i="1"/>
  <c r="L8" i="8" s="1"/>
  <c r="M30" i="1"/>
  <c r="L44" i="1"/>
  <c r="J16" i="8" s="1"/>
  <c r="V98" i="7" l="1"/>
  <c r="W97" i="7"/>
  <c r="W98" i="7" s="1"/>
  <c r="F98" i="7"/>
  <c r="P65" i="6"/>
  <c r="P44" i="6"/>
  <c r="P35" i="6"/>
  <c r="L51" i="1"/>
  <c r="O76" i="6"/>
  <c r="O77" i="6"/>
  <c r="L91" i="6"/>
  <c r="J17" i="8"/>
  <c r="L7" i="8"/>
  <c r="L6" i="8"/>
  <c r="M65" i="1"/>
  <c r="K10" i="8"/>
  <c r="Q70" i="6"/>
  <c r="Q69" i="6"/>
  <c r="Q36" i="6"/>
  <c r="Q44" i="6" s="1"/>
  <c r="Q52" i="6" s="1"/>
  <c r="Q56" i="6" s="1"/>
  <c r="Q35" i="6"/>
  <c r="Q43" i="6" s="1"/>
  <c r="Q51" i="6" s="1"/>
  <c r="S19" i="6"/>
  <c r="S22" i="6"/>
  <c r="Q64" i="6"/>
  <c r="Q65" i="6" s="1"/>
  <c r="R30" i="6"/>
  <c r="R86" i="6" s="1"/>
  <c r="R31" i="6"/>
  <c r="S23" i="6"/>
  <c r="S26" i="6"/>
  <c r="R32" i="6" s="1"/>
  <c r="M36" i="1"/>
  <c r="T29" i="1"/>
  <c r="L52" i="1"/>
  <c r="M35" i="1"/>
  <c r="O18" i="1"/>
  <c r="O19" i="1"/>
  <c r="O23" i="1"/>
  <c r="O22" i="1"/>
  <c r="N30" i="1"/>
  <c r="N65" i="1" s="1"/>
  <c r="L25" i="8" s="1"/>
  <c r="L27" i="8" s="1"/>
  <c r="O26" i="1"/>
  <c r="M8" i="8" s="1"/>
  <c r="F97" i="7" l="1"/>
  <c r="P52" i="6"/>
  <c r="P43" i="6"/>
  <c r="M7" i="8"/>
  <c r="M73" i="1"/>
  <c r="K25" i="8"/>
  <c r="K27" i="8" s="1"/>
  <c r="K14" i="8"/>
  <c r="K13" i="8"/>
  <c r="J20" i="8"/>
  <c r="O80" i="6"/>
  <c r="M43" i="1"/>
  <c r="K15" i="8" s="1"/>
  <c r="L57" i="1"/>
  <c r="J18" i="8"/>
  <c r="J28" i="8" s="1"/>
  <c r="M44" i="1"/>
  <c r="K16" i="8" s="1"/>
  <c r="M6" i="8"/>
  <c r="N73" i="1"/>
  <c r="L10" i="8"/>
  <c r="K12" i="8"/>
  <c r="K11" i="8"/>
  <c r="S30" i="6"/>
  <c r="R64" i="6"/>
  <c r="R65" i="6" s="1"/>
  <c r="Q55" i="6"/>
  <c r="Q57" i="6" s="1"/>
  <c r="Q66" i="6"/>
  <c r="R70" i="6"/>
  <c r="R69" i="6"/>
  <c r="R35" i="6"/>
  <c r="R43" i="6" s="1"/>
  <c r="R51" i="6" s="1"/>
  <c r="R36" i="6"/>
  <c r="T19" i="6"/>
  <c r="T22" i="6"/>
  <c r="L66" i="1"/>
  <c r="S32" i="6"/>
  <c r="S31" i="6"/>
  <c r="T23" i="6"/>
  <c r="T26" i="6"/>
  <c r="U29" i="1"/>
  <c r="P18" i="1"/>
  <c r="P19" i="1"/>
  <c r="P23" i="1"/>
  <c r="P22" i="1"/>
  <c r="N7" i="8" s="1"/>
  <c r="O30" i="1"/>
  <c r="P26" i="1"/>
  <c r="N8" i="8" s="1"/>
  <c r="N35" i="1"/>
  <c r="N43" i="1" s="1"/>
  <c r="L15" i="8" s="1"/>
  <c r="N36" i="1"/>
  <c r="N44" i="1" s="1"/>
  <c r="L16" i="8" s="1"/>
  <c r="L78" i="1" l="1"/>
  <c r="L76" i="1"/>
  <c r="P51" i="6"/>
  <c r="P56" i="6"/>
  <c r="R44" i="6"/>
  <c r="P32" i="1"/>
  <c r="M51" i="1"/>
  <c r="K17" i="8" s="1"/>
  <c r="L14" i="8"/>
  <c r="L13" i="8"/>
  <c r="J21" i="8"/>
  <c r="J22" i="8" s="1"/>
  <c r="J33" i="8" s="1"/>
  <c r="O82" i="6"/>
  <c r="L59" i="1"/>
  <c r="L77" i="1"/>
  <c r="M52" i="1"/>
  <c r="N6" i="8"/>
  <c r="S35" i="6"/>
  <c r="S36" i="6"/>
  <c r="S44" i="6" s="1"/>
  <c r="S52" i="6" s="1"/>
  <c r="S56" i="6" s="1"/>
  <c r="N52" i="1"/>
  <c r="L18" i="8" s="1"/>
  <c r="L21" i="8" s="1"/>
  <c r="O65" i="1"/>
  <c r="M10" i="8"/>
  <c r="L12" i="8"/>
  <c r="L11" i="8"/>
  <c r="S86" i="6"/>
  <c r="Q77" i="6"/>
  <c r="S64" i="6"/>
  <c r="S69" i="6"/>
  <c r="S70" i="6"/>
  <c r="T30" i="6"/>
  <c r="T86" i="6" s="1"/>
  <c r="Q59" i="6"/>
  <c r="R55" i="6"/>
  <c r="U19" i="6"/>
  <c r="U22" i="6"/>
  <c r="T32" i="6"/>
  <c r="T31" i="6"/>
  <c r="U23" i="6"/>
  <c r="U26" i="6"/>
  <c r="P31" i="1"/>
  <c r="V29" i="1"/>
  <c r="N51" i="1"/>
  <c r="O35" i="1"/>
  <c r="O43" i="1" s="1"/>
  <c r="M15" i="8" s="1"/>
  <c r="O36" i="1"/>
  <c r="O44" i="1" s="1"/>
  <c r="M16" i="8" s="1"/>
  <c r="Q23" i="1"/>
  <c r="Q18" i="1"/>
  <c r="Q22" i="1"/>
  <c r="Q19" i="1"/>
  <c r="P30" i="1"/>
  <c r="N10" i="8" s="1"/>
  <c r="Q26" i="1"/>
  <c r="O8" i="8" s="1"/>
  <c r="S65" i="6" l="1"/>
  <c r="S43" i="6"/>
  <c r="R52" i="6"/>
  <c r="P55" i="6"/>
  <c r="P57" i="6" s="1"/>
  <c r="P66" i="6"/>
  <c r="J35" i="8"/>
  <c r="L88" i="1"/>
  <c r="L17" i="8"/>
  <c r="N66" i="1"/>
  <c r="W29" i="1"/>
  <c r="O73" i="1"/>
  <c r="M25" i="8"/>
  <c r="M27" i="8" s="1"/>
  <c r="M57" i="1"/>
  <c r="M14" i="8"/>
  <c r="M13" i="8"/>
  <c r="N13" i="8"/>
  <c r="N14" i="8"/>
  <c r="K20" i="8"/>
  <c r="J23" i="8"/>
  <c r="L81" i="1"/>
  <c r="J37" i="8" s="1"/>
  <c r="K18" i="8"/>
  <c r="K28" i="8" s="1"/>
  <c r="M66" i="1"/>
  <c r="V23" i="6"/>
  <c r="O7" i="8"/>
  <c r="N11" i="8"/>
  <c r="N12" i="8"/>
  <c r="R18" i="1"/>
  <c r="O6" i="8"/>
  <c r="M11" i="8"/>
  <c r="M12" i="8"/>
  <c r="T35" i="6"/>
  <c r="T43" i="6" s="1"/>
  <c r="T51" i="6" s="1"/>
  <c r="T55" i="6" s="1"/>
  <c r="T36" i="6"/>
  <c r="T70" i="6"/>
  <c r="T64" i="6"/>
  <c r="T65" i="6" s="1"/>
  <c r="T69" i="6"/>
  <c r="V22" i="6"/>
  <c r="V26" i="6"/>
  <c r="V19" i="6"/>
  <c r="U30" i="6"/>
  <c r="U86" i="6" s="1"/>
  <c r="U32" i="6"/>
  <c r="U31" i="6"/>
  <c r="P87" i="1"/>
  <c r="P69" i="1"/>
  <c r="N57" i="1"/>
  <c r="P70" i="1"/>
  <c r="O52" i="1"/>
  <c r="M18" i="8" s="1"/>
  <c r="M21" i="8" s="1"/>
  <c r="O51" i="1"/>
  <c r="M17" i="8" s="1"/>
  <c r="P36" i="1"/>
  <c r="P44" i="1" s="1"/>
  <c r="N16" i="8" s="1"/>
  <c r="P35" i="1"/>
  <c r="R19" i="1"/>
  <c r="R23" i="1"/>
  <c r="R22" i="1"/>
  <c r="Q30" i="1"/>
  <c r="O10" i="8" s="1"/>
  <c r="R26" i="1"/>
  <c r="P8" i="8" s="1"/>
  <c r="N77" i="1" l="1"/>
  <c r="N76" i="1"/>
  <c r="M77" i="1"/>
  <c r="M76" i="1"/>
  <c r="J36" i="8"/>
  <c r="K38" i="8" s="1"/>
  <c r="J46" i="8"/>
  <c r="P77" i="6"/>
  <c r="P59" i="6"/>
  <c r="R56" i="6"/>
  <c r="R57" i="6" s="1"/>
  <c r="R66" i="6"/>
  <c r="T44" i="6"/>
  <c r="S51" i="6"/>
  <c r="S66" i="6" s="1"/>
  <c r="Q65" i="1"/>
  <c r="O25" i="8" s="1"/>
  <c r="O27" i="8" s="1"/>
  <c r="L20" i="8"/>
  <c r="L22" i="8" s="1"/>
  <c r="L33" i="8" s="1"/>
  <c r="L28" i="8"/>
  <c r="M78" i="1"/>
  <c r="K35" i="8" s="1"/>
  <c r="K46" i="8" s="1"/>
  <c r="M59" i="1"/>
  <c r="N30" i="8"/>
  <c r="N29" i="8"/>
  <c r="K29" i="1"/>
  <c r="P65" i="1"/>
  <c r="N25" i="8" s="1"/>
  <c r="N27" i="8" s="1"/>
  <c r="M20" i="8"/>
  <c r="M22" i="8" s="1"/>
  <c r="M33" i="8" s="1"/>
  <c r="M28" i="8"/>
  <c r="O13" i="8"/>
  <c r="O14" i="8"/>
  <c r="K21" i="8"/>
  <c r="K22" i="8" s="1"/>
  <c r="K33" i="8" s="1"/>
  <c r="L83" i="1"/>
  <c r="P43" i="1"/>
  <c r="N15" i="8" s="1"/>
  <c r="S18" i="1"/>
  <c r="P6" i="8"/>
  <c r="Q31" i="1"/>
  <c r="P7" i="8"/>
  <c r="O29" i="8"/>
  <c r="U36" i="6"/>
  <c r="U44" i="6" s="1"/>
  <c r="U52" i="6" s="1"/>
  <c r="U56" i="6" s="1"/>
  <c r="U35" i="6"/>
  <c r="U43" i="6" s="1"/>
  <c r="U51" i="6" s="1"/>
  <c r="U70" i="6"/>
  <c r="U69" i="6"/>
  <c r="U64" i="6"/>
  <c r="U65" i="6" s="1"/>
  <c r="V32" i="6"/>
  <c r="K32" i="6" s="1"/>
  <c r="V30" i="6"/>
  <c r="V31" i="6"/>
  <c r="K31" i="6" s="1"/>
  <c r="N78" i="1"/>
  <c r="L35" i="8" s="1"/>
  <c r="N59" i="1"/>
  <c r="O66" i="1"/>
  <c r="Q87" i="1"/>
  <c r="Q69" i="1"/>
  <c r="O30" i="8" s="1"/>
  <c r="Q32" i="1"/>
  <c r="Q70" i="1"/>
  <c r="O31" i="8" s="1"/>
  <c r="O57" i="1"/>
  <c r="P52" i="1"/>
  <c r="N18" i="8" s="1"/>
  <c r="N21" i="8" s="1"/>
  <c r="S23" i="1"/>
  <c r="S19" i="1"/>
  <c r="S22" i="1"/>
  <c r="Q7" i="8" s="1"/>
  <c r="R30" i="1"/>
  <c r="P10" i="8" s="1"/>
  <c r="S26" i="1"/>
  <c r="Q8" i="8" s="1"/>
  <c r="L23" i="8" l="1"/>
  <c r="O77" i="1"/>
  <c r="O76" i="1"/>
  <c r="J39" i="8"/>
  <c r="L36" i="8"/>
  <c r="L39" i="8" s="1"/>
  <c r="K36" i="8"/>
  <c r="M81" i="1"/>
  <c r="K37" i="8" s="1"/>
  <c r="S55" i="6"/>
  <c r="S57" i="6" s="1"/>
  <c r="U55" i="6"/>
  <c r="U57" i="6" s="1"/>
  <c r="U77" i="6" s="1"/>
  <c r="U87" i="6"/>
  <c r="T52" i="6"/>
  <c r="F7" i="2" a="1"/>
  <c r="F7" i="2" s="1"/>
  <c r="T85" i="6" s="1"/>
  <c r="K30" i="6"/>
  <c r="R59" i="6"/>
  <c r="R77" i="6"/>
  <c r="L46" i="8"/>
  <c r="N88" i="1"/>
  <c r="M88" i="1"/>
  <c r="M23" i="8"/>
  <c r="P51" i="1"/>
  <c r="N17" i="8" s="1"/>
  <c r="N20" i="8" s="1"/>
  <c r="N22" i="8" s="1"/>
  <c r="Q36" i="1"/>
  <c r="Q44" i="1" s="1"/>
  <c r="O16" i="8" s="1"/>
  <c r="R65" i="1"/>
  <c r="P25" i="8" s="1"/>
  <c r="P27" i="8" s="1"/>
  <c r="O11" i="8"/>
  <c r="P13" i="8"/>
  <c r="P14" i="8"/>
  <c r="K23" i="8"/>
  <c r="L91" i="1"/>
  <c r="F4" i="2" a="1"/>
  <c r="F4" i="2" s="1"/>
  <c r="Q85" i="6" s="1"/>
  <c r="F5" i="2" a="1"/>
  <c r="F5" i="2" s="1"/>
  <c r="R85" i="6" s="1"/>
  <c r="F3" i="2" a="1"/>
  <c r="F3" i="2" s="1"/>
  <c r="F8" i="2" a="1"/>
  <c r="F8" i="2" s="1"/>
  <c r="U85" i="6" s="1"/>
  <c r="Q35" i="1"/>
  <c r="T18" i="1"/>
  <c r="Q6" i="8"/>
  <c r="O12" i="8"/>
  <c r="U66" i="6"/>
  <c r="F6" i="2" a="1"/>
  <c r="F6" i="2" s="1"/>
  <c r="S85" i="6" s="1"/>
  <c r="V86" i="6"/>
  <c r="K86" i="6" s="1"/>
  <c r="N81" i="1"/>
  <c r="L37" i="8" s="1"/>
  <c r="V64" i="6"/>
  <c r="F9" i="2"/>
  <c r="V70" i="6"/>
  <c r="K70" i="6" s="1"/>
  <c r="K68" i="6"/>
  <c r="V69" i="6"/>
  <c r="K69" i="6" s="1"/>
  <c r="V36" i="6"/>
  <c r="V44" i="6" s="1"/>
  <c r="V52" i="6" s="1"/>
  <c r="V56" i="6" s="1"/>
  <c r="V35" i="6"/>
  <c r="R87" i="1"/>
  <c r="R69" i="1"/>
  <c r="P30" i="8" s="1"/>
  <c r="R32" i="1"/>
  <c r="R36" i="1" s="1"/>
  <c r="R44" i="1" s="1"/>
  <c r="P16" i="8" s="1"/>
  <c r="R31" i="1"/>
  <c r="R35" i="1" s="1"/>
  <c r="R43" i="1" s="1"/>
  <c r="P15" i="8" s="1"/>
  <c r="R70" i="1"/>
  <c r="P31" i="8" s="1"/>
  <c r="T19" i="1"/>
  <c r="O59" i="1"/>
  <c r="O78" i="1"/>
  <c r="T22" i="1"/>
  <c r="T23" i="1"/>
  <c r="S30" i="1"/>
  <c r="Q10" i="8" s="1"/>
  <c r="T26" i="1"/>
  <c r="M35" i="8" l="1"/>
  <c r="L48" i="8"/>
  <c r="L49" i="8" s="1"/>
  <c r="J48" i="8"/>
  <c r="J49" i="8" s="1"/>
  <c r="K39" i="8"/>
  <c r="K48" i="8" s="1"/>
  <c r="K49" i="8" s="1"/>
  <c r="L38" i="8"/>
  <c r="M38" i="8" s="1"/>
  <c r="M83" i="1"/>
  <c r="M91" i="1" s="1"/>
  <c r="M92" i="1" s="1"/>
  <c r="K44" i="6"/>
  <c r="T56" i="6"/>
  <c r="T57" i="6" s="1"/>
  <c r="T76" i="6" s="1"/>
  <c r="T66" i="6"/>
  <c r="K52" i="6"/>
  <c r="T71" i="6"/>
  <c r="T73" i="6" s="1"/>
  <c r="K36" i="6"/>
  <c r="V65" i="6"/>
  <c r="K65" i="6" s="1"/>
  <c r="K64" i="6"/>
  <c r="V43" i="6"/>
  <c r="K35" i="6"/>
  <c r="S77" i="6"/>
  <c r="S59" i="6"/>
  <c r="P66" i="1"/>
  <c r="Q52" i="1"/>
  <c r="O18" i="8" s="1"/>
  <c r="O21" i="8" s="1"/>
  <c r="M36" i="8"/>
  <c r="O88" i="1"/>
  <c r="N23" i="8"/>
  <c r="P73" i="6"/>
  <c r="N28" i="8"/>
  <c r="P57" i="1"/>
  <c r="P29" i="8"/>
  <c r="N83" i="1"/>
  <c r="N91" i="1" s="1"/>
  <c r="N92" i="1" s="1"/>
  <c r="Q13" i="8"/>
  <c r="Q14" i="8"/>
  <c r="L92" i="1"/>
  <c r="Q43" i="1"/>
  <c r="W86" i="1"/>
  <c r="W71" i="1"/>
  <c r="U32" i="8" s="1"/>
  <c r="U71" i="6"/>
  <c r="U73" i="6" s="1"/>
  <c r="Q71" i="6"/>
  <c r="Q73" i="6" s="1"/>
  <c r="Q76" i="6" s="1"/>
  <c r="Q87" i="6" s="1"/>
  <c r="P85" i="6"/>
  <c r="R71" i="6"/>
  <c r="R73" i="6" s="1"/>
  <c r="O85" i="6"/>
  <c r="U59" i="6"/>
  <c r="S71" i="6"/>
  <c r="S73" i="6" s="1"/>
  <c r="S31" i="1"/>
  <c r="S35" i="1" s="1"/>
  <c r="S43" i="1" s="1"/>
  <c r="Q15" i="8" s="1"/>
  <c r="R8" i="8"/>
  <c r="P11" i="8"/>
  <c r="P12" i="8"/>
  <c r="U18" i="1"/>
  <c r="R6" i="8"/>
  <c r="R7" i="8"/>
  <c r="V85" i="6"/>
  <c r="V71" i="6"/>
  <c r="Q29" i="8"/>
  <c r="S87" i="1"/>
  <c r="S69" i="1"/>
  <c r="Q30" i="8" s="1"/>
  <c r="S32" i="1"/>
  <c r="T32" i="1"/>
  <c r="S65" i="1"/>
  <c r="Q25" i="8" s="1"/>
  <c r="Q27" i="8" s="1"/>
  <c r="S70" i="1"/>
  <c r="Q31" i="8" s="1"/>
  <c r="O81" i="1"/>
  <c r="M37" i="8" s="1"/>
  <c r="R51" i="1"/>
  <c r="P17" i="8" s="1"/>
  <c r="P20" i="8" s="1"/>
  <c r="R52" i="1"/>
  <c r="P18" i="8" s="1"/>
  <c r="P21" i="8" s="1"/>
  <c r="U23" i="1"/>
  <c r="U19" i="1"/>
  <c r="U22" i="1"/>
  <c r="U26" i="1"/>
  <c r="S8" i="8" s="1"/>
  <c r="T30" i="1"/>
  <c r="R10" i="8" s="1"/>
  <c r="K56" i="6" l="1"/>
  <c r="P78" i="1"/>
  <c r="P76" i="1"/>
  <c r="M39" i="8"/>
  <c r="V73" i="6"/>
  <c r="K73" i="6" s="1"/>
  <c r="V51" i="6"/>
  <c r="K43" i="6"/>
  <c r="M41" i="8"/>
  <c r="M43" i="8" s="1"/>
  <c r="M46" i="8" s="1"/>
  <c r="O87" i="6"/>
  <c r="T59" i="6"/>
  <c r="T77" i="6"/>
  <c r="T80" i="6" s="1"/>
  <c r="T82" i="6" s="1"/>
  <c r="T90" i="6" s="1"/>
  <c r="T91" i="6" s="1"/>
  <c r="P59" i="1"/>
  <c r="T87" i="6"/>
  <c r="K71" i="6"/>
  <c r="P76" i="6"/>
  <c r="K85" i="6"/>
  <c r="Q57" i="1"/>
  <c r="O15" i="8"/>
  <c r="T65" i="1"/>
  <c r="R25" i="8" s="1"/>
  <c r="R27" i="8" s="1"/>
  <c r="S36" i="1"/>
  <c r="S44" i="1" s="1"/>
  <c r="Q16" i="8" s="1"/>
  <c r="P22" i="8"/>
  <c r="P28" i="8"/>
  <c r="R13" i="8"/>
  <c r="R14" i="8"/>
  <c r="O83" i="1"/>
  <c r="Q51" i="1"/>
  <c r="O17" i="8" s="1"/>
  <c r="O28" i="8" s="1"/>
  <c r="U76" i="6"/>
  <c r="U80" i="6" s="1"/>
  <c r="Q80" i="6"/>
  <c r="T31" i="1"/>
  <c r="R11" i="8" s="1"/>
  <c r="O90" i="6"/>
  <c r="S76" i="6"/>
  <c r="R76" i="6"/>
  <c r="P23" i="8"/>
  <c r="Q11" i="8"/>
  <c r="V18" i="1"/>
  <c r="S6" i="8"/>
  <c r="Q12" i="8"/>
  <c r="R12" i="8"/>
  <c r="S7" i="8"/>
  <c r="U31" i="1"/>
  <c r="R29" i="8"/>
  <c r="R66" i="1"/>
  <c r="T87" i="1"/>
  <c r="T69" i="1"/>
  <c r="U32" i="1"/>
  <c r="R57" i="1"/>
  <c r="R76" i="1" s="1"/>
  <c r="T70" i="1"/>
  <c r="S51" i="1"/>
  <c r="Q17" i="8" s="1"/>
  <c r="Q20" i="8" s="1"/>
  <c r="T36" i="1"/>
  <c r="T44" i="1" s="1"/>
  <c r="R16" i="8" s="1"/>
  <c r="V19" i="1"/>
  <c r="V23" i="1"/>
  <c r="V22" i="1"/>
  <c r="U30" i="1"/>
  <c r="S10" i="8" s="1"/>
  <c r="V26" i="1"/>
  <c r="T8" i="8" s="1"/>
  <c r="N38" i="8" l="1"/>
  <c r="M48" i="8"/>
  <c r="Q59" i="1"/>
  <c r="Q76" i="1"/>
  <c r="V87" i="6"/>
  <c r="K51" i="6"/>
  <c r="V66" i="6"/>
  <c r="K66" i="6" s="1"/>
  <c r="V55" i="6"/>
  <c r="S52" i="1"/>
  <c r="Q18" i="8" s="1"/>
  <c r="Q21" i="8" s="1"/>
  <c r="Q22" i="8" s="1"/>
  <c r="Q66" i="1"/>
  <c r="P80" i="6"/>
  <c r="P82" i="6" s="1"/>
  <c r="P90" i="6" s="1"/>
  <c r="P91" i="6" s="1"/>
  <c r="P87" i="6"/>
  <c r="R80" i="6"/>
  <c r="R82" i="6" s="1"/>
  <c r="R90" i="6" s="1"/>
  <c r="R91" i="6" s="1"/>
  <c r="R87" i="6"/>
  <c r="S80" i="6"/>
  <c r="S82" i="6" s="1"/>
  <c r="S90" i="6" s="1"/>
  <c r="S91" i="6" s="1"/>
  <c r="S87" i="6"/>
  <c r="Q78" i="1"/>
  <c r="U82" i="6"/>
  <c r="U90" i="6" s="1"/>
  <c r="U91" i="6" s="1"/>
  <c r="Q82" i="6"/>
  <c r="Q90" i="6" s="1"/>
  <c r="Q91" i="6" s="1"/>
  <c r="R31" i="8"/>
  <c r="R30" i="8"/>
  <c r="S57" i="1"/>
  <c r="S76" i="1" s="1"/>
  <c r="U65" i="1"/>
  <c r="S25" i="8" s="1"/>
  <c r="S27" i="8" s="1"/>
  <c r="S13" i="8"/>
  <c r="S14" i="8"/>
  <c r="O20" i="8"/>
  <c r="O91" i="6"/>
  <c r="O91" i="1"/>
  <c r="W26" i="1"/>
  <c r="W23" i="1"/>
  <c r="W18" i="1"/>
  <c r="W22" i="1"/>
  <c r="U7" i="8" s="1"/>
  <c r="W19" i="1"/>
  <c r="T35" i="1"/>
  <c r="T43" i="1" s="1"/>
  <c r="R15" i="8" s="1"/>
  <c r="T7" i="8"/>
  <c r="S12" i="8"/>
  <c r="S11" i="8"/>
  <c r="T6" i="8"/>
  <c r="R59" i="1"/>
  <c r="V31" i="1"/>
  <c r="S29" i="8"/>
  <c r="S66" i="1"/>
  <c r="U87" i="1"/>
  <c r="U69" i="1"/>
  <c r="S30" i="8" s="1"/>
  <c r="R78" i="1"/>
  <c r="V32" i="1"/>
  <c r="U70" i="1"/>
  <c r="S31" i="8" s="1"/>
  <c r="T52" i="1"/>
  <c r="R18" i="8" s="1"/>
  <c r="R21" i="8" s="1"/>
  <c r="U35" i="1"/>
  <c r="U43" i="1" s="1"/>
  <c r="S15" i="8" s="1"/>
  <c r="U36" i="1"/>
  <c r="U44" i="1" s="1"/>
  <c r="S16" i="8" s="1"/>
  <c r="V30" i="1"/>
  <c r="Q23" i="8" l="1"/>
  <c r="Q28" i="8"/>
  <c r="K87" i="6"/>
  <c r="K55" i="6"/>
  <c r="V57" i="6"/>
  <c r="T51" i="1"/>
  <c r="R17" i="8" s="1"/>
  <c r="R20" i="8" s="1"/>
  <c r="R23" i="8" s="1"/>
  <c r="W32" i="1"/>
  <c r="K32" i="1" s="1"/>
  <c r="O23" i="8"/>
  <c r="O22" i="8"/>
  <c r="O92" i="1"/>
  <c r="V36" i="1"/>
  <c r="V44" i="1" s="1"/>
  <c r="T16" i="8" s="1"/>
  <c r="W31" i="1"/>
  <c r="U6" i="8"/>
  <c r="U8" i="8"/>
  <c r="W30" i="1"/>
  <c r="K64" i="1" s="1"/>
  <c r="E6" i="2" a="1"/>
  <c r="E6" i="2" s="1"/>
  <c r="S71" i="1" s="1"/>
  <c r="T10" i="8"/>
  <c r="S59" i="1"/>
  <c r="E7" i="2" a="1"/>
  <c r="E7" i="2" s="1"/>
  <c r="E8" i="2" a="1"/>
  <c r="E8" i="2" s="1"/>
  <c r="E3" i="2" a="1"/>
  <c r="E3" i="2" s="1"/>
  <c r="P71" i="1" s="1"/>
  <c r="E4" i="2" a="1"/>
  <c r="E4" i="2" s="1"/>
  <c r="Q71" i="1" s="1"/>
  <c r="O32" i="8" s="1"/>
  <c r="V69" i="1"/>
  <c r="T30" i="8" s="1"/>
  <c r="E9" i="2"/>
  <c r="T29" i="8"/>
  <c r="E5" i="2" a="1"/>
  <c r="E5" i="2" s="1"/>
  <c r="R71" i="1" s="1"/>
  <c r="P32" i="8" s="1"/>
  <c r="P33" i="8" s="1"/>
  <c r="T66" i="1"/>
  <c r="V87" i="1"/>
  <c r="S78" i="1"/>
  <c r="V65" i="1"/>
  <c r="V70" i="1"/>
  <c r="T31" i="8" s="1"/>
  <c r="U52" i="1"/>
  <c r="S18" i="8" s="1"/>
  <c r="S21" i="8" s="1"/>
  <c r="U51" i="1"/>
  <c r="S17" i="8" s="1"/>
  <c r="S20" i="8" s="1"/>
  <c r="V35" i="1"/>
  <c r="V43" i="1" s="1"/>
  <c r="T15" i="8" s="1"/>
  <c r="R22" i="8" l="1"/>
  <c r="R28" i="8"/>
  <c r="K57" i="6"/>
  <c r="V77" i="6"/>
  <c r="K77" i="6" s="1"/>
  <c r="V76" i="6"/>
  <c r="V59" i="6"/>
  <c r="K59" i="6" s="1"/>
  <c r="S73" i="1"/>
  <c r="S77" i="1" s="1"/>
  <c r="S81" i="1" s="1"/>
  <c r="Q37" i="8" s="1"/>
  <c r="Q32" i="8"/>
  <c r="Q33" i="8" s="1"/>
  <c r="W36" i="1"/>
  <c r="K31" i="1"/>
  <c r="O33" i="8"/>
  <c r="N32" i="8"/>
  <c r="S22" i="8"/>
  <c r="S28" i="8"/>
  <c r="T25" i="8"/>
  <c r="T27" i="8" s="1"/>
  <c r="T13" i="8"/>
  <c r="T14" i="8"/>
  <c r="T57" i="1"/>
  <c r="W87" i="1"/>
  <c r="U10" i="8"/>
  <c r="W69" i="1"/>
  <c r="W35" i="1"/>
  <c r="W70" i="1"/>
  <c r="K30" i="1"/>
  <c r="W65" i="1"/>
  <c r="K65" i="1" s="1"/>
  <c r="W44" i="1"/>
  <c r="U16" i="8" s="1"/>
  <c r="I16" i="8" s="1"/>
  <c r="K36" i="1"/>
  <c r="S23" i="8"/>
  <c r="T12" i="8"/>
  <c r="T11" i="8"/>
  <c r="U66" i="1"/>
  <c r="Q86" i="1"/>
  <c r="O41" i="8" s="1"/>
  <c r="O43" i="8" s="1"/>
  <c r="Q73" i="1"/>
  <c r="Q77" i="1" s="1"/>
  <c r="R86" i="1"/>
  <c r="P41" i="8" s="1"/>
  <c r="P43" i="8" s="1"/>
  <c r="R73" i="1"/>
  <c r="R77" i="1" s="1"/>
  <c r="S86" i="1"/>
  <c r="Q41" i="8" s="1"/>
  <c r="Q43" i="8" s="1"/>
  <c r="P73" i="1"/>
  <c r="P77" i="1" s="1"/>
  <c r="P86" i="1"/>
  <c r="V86" i="1"/>
  <c r="T41" i="8" s="1"/>
  <c r="T43" i="8" s="1"/>
  <c r="V71" i="1"/>
  <c r="T86" i="1"/>
  <c r="R41" i="8" s="1"/>
  <c r="R43" i="8" s="1"/>
  <c r="T71" i="1"/>
  <c r="U86" i="1"/>
  <c r="S41" i="8" s="1"/>
  <c r="S43" i="8" s="1"/>
  <c r="U71" i="1"/>
  <c r="U57" i="1"/>
  <c r="U76" i="1" s="1"/>
  <c r="V51" i="1"/>
  <c r="V52" i="1"/>
  <c r="T18" i="8" s="1"/>
  <c r="T21" i="8" s="1"/>
  <c r="Q35" i="8" l="1"/>
  <c r="T78" i="1"/>
  <c r="T76" i="1"/>
  <c r="K76" i="6"/>
  <c r="V80" i="6"/>
  <c r="Q46" i="8"/>
  <c r="K86" i="1"/>
  <c r="V88" i="1"/>
  <c r="K87" i="1"/>
  <c r="U41" i="8"/>
  <c r="U43" i="8" s="1"/>
  <c r="S88" i="1"/>
  <c r="N35" i="8"/>
  <c r="P88" i="1"/>
  <c r="P35" i="8"/>
  <c r="P36" i="8" s="1"/>
  <c r="R88" i="1"/>
  <c r="O35" i="8"/>
  <c r="O46" i="8" s="1"/>
  <c r="Q88" i="1"/>
  <c r="Q36" i="8"/>
  <c r="U31" i="8"/>
  <c r="I31" i="8" s="1"/>
  <c r="K70" i="1"/>
  <c r="S83" i="1"/>
  <c r="S91" i="1" s="1"/>
  <c r="S92" i="1" s="1"/>
  <c r="U30" i="8"/>
  <c r="I30" i="8" s="1"/>
  <c r="K69" i="1"/>
  <c r="N33" i="8"/>
  <c r="U73" i="1"/>
  <c r="S32" i="8"/>
  <c r="S33" i="8" s="1"/>
  <c r="U29" i="8"/>
  <c r="I29" i="8" s="1"/>
  <c r="K68" i="1"/>
  <c r="T73" i="1"/>
  <c r="T77" i="1" s="1"/>
  <c r="R32" i="8"/>
  <c r="R33" i="8" s="1"/>
  <c r="K71" i="1"/>
  <c r="V73" i="1"/>
  <c r="T32" i="8"/>
  <c r="T59" i="1"/>
  <c r="W73" i="1"/>
  <c r="U25" i="8"/>
  <c r="I10" i="8"/>
  <c r="U13" i="8"/>
  <c r="I13" i="8" s="1"/>
  <c r="U14" i="8"/>
  <c r="I14" i="8" s="1"/>
  <c r="K56" i="1"/>
  <c r="W52" i="1"/>
  <c r="K44" i="1"/>
  <c r="T17" i="8"/>
  <c r="T20" i="8" s="1"/>
  <c r="W43" i="1"/>
  <c r="U15" i="8" s="1"/>
  <c r="I15" i="8" s="1"/>
  <c r="K35" i="1"/>
  <c r="U11" i="8"/>
  <c r="I11" i="8" s="1"/>
  <c r="U12" i="8"/>
  <c r="I12" i="8" s="1"/>
  <c r="U59" i="1"/>
  <c r="Q81" i="1"/>
  <c r="O37" i="8" s="1"/>
  <c r="U78" i="1"/>
  <c r="V57" i="1"/>
  <c r="V76" i="1" s="1"/>
  <c r="V66" i="1"/>
  <c r="K66" i="1" s="1"/>
  <c r="P81" i="1"/>
  <c r="N37" i="8" s="1"/>
  <c r="R81" i="1"/>
  <c r="P37" i="8" s="1"/>
  <c r="T81" i="1" l="1"/>
  <c r="R37" i="8" s="1"/>
  <c r="K80" i="6"/>
  <c r="V82" i="6"/>
  <c r="O36" i="8"/>
  <c r="V77" i="1"/>
  <c r="I41" i="8"/>
  <c r="N43" i="8"/>
  <c r="N36" i="8"/>
  <c r="K73" i="1"/>
  <c r="P46" i="8"/>
  <c r="R35" i="8"/>
  <c r="R46" i="8" s="1"/>
  <c r="T88" i="1"/>
  <c r="I25" i="8"/>
  <c r="U27" i="8"/>
  <c r="I27" i="8" s="1"/>
  <c r="I32" i="8"/>
  <c r="Q83" i="1"/>
  <c r="Q91" i="1" s="1"/>
  <c r="Q92" i="1" s="1"/>
  <c r="U77" i="1"/>
  <c r="T83" i="1"/>
  <c r="T91" i="1" s="1"/>
  <c r="T92" i="1" s="1"/>
  <c r="R83" i="1"/>
  <c r="R91" i="1" s="1"/>
  <c r="R92" i="1" s="1"/>
  <c r="T28" i="8"/>
  <c r="T23" i="8"/>
  <c r="T22" i="8"/>
  <c r="T33" i="8" s="1"/>
  <c r="P83" i="1"/>
  <c r="W51" i="1"/>
  <c r="W88" i="1" s="1"/>
  <c r="K43" i="1"/>
  <c r="U18" i="8"/>
  <c r="K52" i="1"/>
  <c r="V59" i="1"/>
  <c r="V78" i="1"/>
  <c r="V81" i="1" s="1"/>
  <c r="T37" i="8" s="1"/>
  <c r="V90" i="6" l="1"/>
  <c r="K82" i="6"/>
  <c r="N46" i="8"/>
  <c r="I43" i="8"/>
  <c r="R36" i="8"/>
  <c r="U81" i="1"/>
  <c r="S37" i="8" s="1"/>
  <c r="U88" i="1"/>
  <c r="K88" i="1" s="1"/>
  <c r="S35" i="8"/>
  <c r="V83" i="1"/>
  <c r="V91" i="1" s="1"/>
  <c r="V92" i="1" s="1"/>
  <c r="T35" i="8"/>
  <c r="U21" i="8"/>
  <c r="I21" i="8" s="1"/>
  <c r="I18" i="8"/>
  <c r="P91" i="1"/>
  <c r="U17" i="8"/>
  <c r="K51" i="1"/>
  <c r="W57" i="1"/>
  <c r="W76" i="1" s="1"/>
  <c r="K55" i="1"/>
  <c r="U83" i="1" l="1"/>
  <c r="U91" i="1" s="1"/>
  <c r="U92" i="1" s="1"/>
  <c r="V91" i="6"/>
  <c r="K91" i="6" s="1"/>
  <c r="K90" i="6"/>
  <c r="S36" i="8"/>
  <c r="S46" i="8"/>
  <c r="T36" i="8"/>
  <c r="T46" i="8"/>
  <c r="U28" i="8"/>
  <c r="I28" i="8" s="1"/>
  <c r="K76" i="1"/>
  <c r="U20" i="8"/>
  <c r="U22" i="8" s="1"/>
  <c r="U33" i="8" s="1"/>
  <c r="I17" i="8"/>
  <c r="P92" i="1"/>
  <c r="W59" i="1"/>
  <c r="K59" i="1" s="1"/>
  <c r="W78" i="1"/>
  <c r="K78" i="1" s="1"/>
  <c r="K57" i="1"/>
  <c r="W77" i="1"/>
  <c r="U35" i="8" l="1"/>
  <c r="U36" i="8" s="1"/>
  <c r="I36" i="8" s="1"/>
  <c r="I33" i="8"/>
  <c r="I22" i="8"/>
  <c r="U23" i="8"/>
  <c r="I23" i="8" s="1"/>
  <c r="I20" i="8"/>
  <c r="W81" i="1"/>
  <c r="U37" i="8" s="1"/>
  <c r="I37" i="8" s="1"/>
  <c r="K77" i="1"/>
  <c r="I35" i="8" l="1"/>
  <c r="U46" i="8"/>
  <c r="I46" i="8" s="1"/>
  <c r="W83" i="1"/>
  <c r="K81" i="1"/>
  <c r="W91" i="1" l="1"/>
  <c r="K83" i="1"/>
  <c r="W92" i="1" l="1"/>
  <c r="K92" i="1" s="1"/>
  <c r="K91" i="1"/>
  <c r="N39" i="8" l="1"/>
  <c r="O38" i="8" l="1"/>
  <c r="N48" i="8"/>
  <c r="N49" i="8" s="1"/>
  <c r="M49" i="8"/>
  <c r="O39" i="8" l="1"/>
  <c r="P38" i="8" l="1"/>
  <c r="P39" i="8" s="1"/>
  <c r="O48" i="8"/>
  <c r="O49" i="8" s="1"/>
  <c r="Q38" i="8" l="1"/>
  <c r="Q39" i="8" s="1"/>
  <c r="P48" i="8"/>
  <c r="P49" i="8" s="1"/>
  <c r="R38" i="8" l="1"/>
  <c r="R39" i="8" s="1"/>
  <c r="Q48" i="8"/>
  <c r="Q49" i="8" s="1"/>
  <c r="S38" i="8" l="1"/>
  <c r="R48" i="8"/>
  <c r="R49" i="8" s="1"/>
  <c r="S39" i="8"/>
  <c r="T38" i="8" l="1"/>
  <c r="T39" i="8" s="1"/>
  <c r="S48" i="8"/>
  <c r="S49" i="8" s="1"/>
  <c r="U38" i="8" l="1"/>
  <c r="U39" i="8" s="1"/>
  <c r="T48" i="8"/>
  <c r="T49" i="8" s="1"/>
  <c r="V38" i="8" l="1"/>
  <c r="V39" i="8" s="1"/>
  <c r="U48" i="8"/>
  <c r="U49" i="8" s="1"/>
  <c r="W38" i="8" l="1"/>
  <c r="W39" i="8" s="1"/>
  <c r="V48" i="8"/>
  <c r="V49" i="8" s="1"/>
  <c r="X38" i="8" l="1"/>
  <c r="X39" i="8" s="1"/>
  <c r="W48" i="8"/>
  <c r="W49" i="8" s="1"/>
  <c r="Y38" i="8" l="1"/>
  <c r="Y39" i="8" s="1"/>
  <c r="X48" i="8"/>
  <c r="X49" i="8" s="1"/>
  <c r="Z38" i="8" l="1"/>
  <c r="Z39" i="8" s="1"/>
  <c r="Y48" i="8"/>
  <c r="Y49" i="8" s="1"/>
  <c r="AA38" i="8" l="1"/>
  <c r="AA39" i="8" s="1"/>
  <c r="Z48" i="8"/>
  <c r="Z49" i="8" s="1"/>
  <c r="AB38" i="8" l="1"/>
  <c r="AB39" i="8" s="1"/>
  <c r="AA48" i="8"/>
  <c r="AA49" i="8" s="1"/>
  <c r="AC38" i="8" l="1"/>
  <c r="AC39" i="8" s="1"/>
  <c r="AB48" i="8"/>
  <c r="AB49" i="8" s="1"/>
  <c r="AD38" i="8" l="1"/>
  <c r="AD39" i="8" s="1"/>
  <c r="AC48" i="8"/>
  <c r="AC49" i="8" s="1"/>
  <c r="AE38" i="8" l="1"/>
  <c r="AE39" i="8" s="1"/>
  <c r="AD48" i="8"/>
  <c r="AD49" i="8" s="1"/>
  <c r="AF38" i="8" l="1"/>
  <c r="AF39" i="8" s="1"/>
  <c r="AE48" i="8"/>
  <c r="AE49" i="8" s="1"/>
  <c r="AG38" i="8" l="1"/>
  <c r="AG39" i="8" s="1"/>
  <c r="AF48" i="8"/>
  <c r="AF49" i="8" s="1"/>
  <c r="AH38" i="8" l="1"/>
  <c r="AH39" i="8" s="1"/>
  <c r="AG48" i="8"/>
  <c r="AG49" i="8" s="1"/>
  <c r="AI38" i="8" l="1"/>
  <c r="AI39" i="8" s="1"/>
  <c r="AH48" i="8"/>
  <c r="AH49" i="8" s="1"/>
  <c r="AJ38" i="8" l="1"/>
  <c r="AJ39" i="8" s="1"/>
  <c r="AI48" i="8"/>
  <c r="AJ48" i="8" l="1"/>
  <c r="AJ49" i="8" s="1"/>
  <c r="I39" i="8"/>
  <c r="AI49" i="8"/>
  <c r="I48" i="8" l="1"/>
  <c r="I49" i="8"/>
  <c r="C3" i="10" s="1"/>
  <c r="C9" i="10" s="1"/>
  <c r="C10" i="10" s="1"/>
  <c r="C13" i="10" s="1"/>
  <c r="C16" i="10" s="1"/>
  <c r="C15"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tc={D996DE3B-FD26-4A27-BB86-231EA205C6E0}</author>
    <author>tc={22DAC695-5864-4E65-9B1A-CF826E835417}</author>
    <author>tc={D07F3B45-7FE1-45F8-8A90-8C26FE519549}</author>
    <author>tc={57EF7ECF-B140-427C-8557-0841B1F40F3F}</author>
    <author>tc={26E0FE1C-F608-4838-B106-65854A5B5B38}</author>
    <author>tc={F9C57797-8452-4E1F-8EA6-D00B85EB402F}</author>
    <author>tc={701A5B32-F693-446F-ACBC-3277735D875B}</author>
    <author>tc={88447837-4C4C-4FCE-9686-10E812BBCF0B}</author>
    <author>tc={D9FEBCAB-95BC-4FD2-937E-B800D5088225}</author>
    <author>tc={FBF1A66E-0F35-4671-AF59-FF3B088CCF5D}</author>
    <author>tc={CCC15107-6A72-416E-8013-C6AF9026DF8A}</author>
    <author>tc={01924525-6612-4D5D-8582-A6C180B155EF}</author>
    <author>tc={85E94866-E0A7-4CCC-B676-529FB56BB197}</author>
    <author>tc={B7DB6963-E3A9-492D-BA13-379B47C6B707}</author>
    <author>tc={3E0D8E73-151B-43A0-9CAA-F8FFF0C34362}</author>
    <author>tc={B0CCEA97-1CB4-484C-BDAE-8CBEE3DD5D27}</author>
    <author>tc={BAFA70A3-AED3-41FB-B966-7B70E648B6E8}</author>
  </authors>
  <commentList>
    <comment ref="H3" authorId="0" shapeId="0" xr:uid="{D996DE3B-FD26-4A27-BB86-231EA205C6E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realized price</t>
        </r>
      </text>
    </comment>
    <comment ref="A19" authorId="1" shapeId="0" xr:uid="{22DAC695-5864-4E65-9B1A-CF826E8354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Gross sales, i.e. without deducting refinining, smelting and transportation costs</t>
        </r>
      </text>
    </comment>
    <comment ref="E20" authorId="2" shapeId="0" xr:uid="{D07F3B45-7FE1-45F8-8A90-8C26FE5195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2017-2019 net sales, with refining, smelting and transportation costs subtracted</t>
        </r>
      </text>
    </comment>
    <comment ref="A28" authorId="3" shapeId="0" xr:uid="{57EF7ECF-B140-427C-8557-0841B1F40F3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r>
      </text>
    </comment>
    <comment ref="A29" authorId="4" shapeId="0" xr:uid="{26E0FE1C-F608-4838-B106-65854A5B5B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central general and administrative costs are separate, predict them as well. For Endeavour Silver everything is included in the individual mines.</t>
        </r>
      </text>
    </comment>
    <comment ref="C29" authorId="5" shapeId="0" xr:uid="{F9C57797-8452-4E1F-8EA6-D00B85EB402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depreciation or share-based compensation included</t>
        </r>
      </text>
    </comment>
    <comment ref="H30" authorId="6" shapeId="0" xr:uid="{701A5B32-F693-446F-ACBC-3277735D87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$600K to Parral, $3.2M in Exploration and evaluation expenses in total</t>
        </r>
      </text>
    </comment>
    <comment ref="M30" authorId="7" shapeId="0" xr:uid="{88447837-4C4C-4FCE-9686-10E812BBCF0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exploration at Guanacevi and Bolanitos included</t>
        </r>
      </text>
    </comment>
    <comment ref="A31" authorId="8" shapeId="0" xr:uid="{D9FEBCAB-95BC-4FD2-937E-B800D5088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Including care and maintenance cost (see El Compas whose production was suspended in August 2021. Also sold El Cubo mine in April 2021, which as put on care maintenance and cost $2.96M in 2020.</t>
        </r>
      </text>
    </comment>
    <comment ref="C31" authorId="9" shapeId="0" xr:uid="{FBF1A66E-0F35-4671-AF59-FF3B088CCF5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Share-based compensation is included here, therefore not in corporate general and administrative</t>
        </r>
      </text>
    </comment>
    <comment ref="D31" authorId="10" shapeId="0" xr:uid="{CCC15107-6A72-416E-8013-C6AF9026DF8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2017-2018 no care and maintenance and severance costs</t>
        </r>
      </text>
    </comment>
    <comment ref="G31" authorId="11" shapeId="0" xr:uid="{01924525-6612-4D5D-8582-A6C180B155E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$870K severance costs, $1.136M care and maintenance costs</t>
        </r>
      </text>
    </comment>
    <comment ref="J31" authorId="12" shapeId="0" xr:uid="{85E94866-E0A7-4CCC-B676-529FB56BB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Assume quarterly $190K care and maintenance cost for El Compas, similar to 2021 and equal to Q1 2022</t>
        </r>
      </text>
    </comment>
    <comment ref="N31" authorId="13" shapeId="0" xr:uid="{B7DB6963-E3A9-492D-BA13-379B47C6B7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Assume that this is the last period with El Compas being on care and maintenance. Assume it gets shut down in H2 and therefore only care and maintenance cost for Q2 2023.</t>
        </r>
      </text>
    </comment>
    <comment ref="A37" authorId="14" shapeId="0" xr:uid="{3E0D8E73-151B-43A0-9CAA-F8FFF0C343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Weighted average statutory income tax rate</t>
        </r>
      </text>
    </comment>
    <comment ref="H37" authorId="15" shapeId="0" xr:uid="{B0CCEA97-1CB4-484C-BDAE-8CBEE3DD5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Including special mining duty</t>
        </r>
      </text>
    </comment>
    <comment ref="A41" authorId="16" shapeId="0" xr:uid="{BAFA70A3-AED3-41FB-B966-7B70E648B6E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Including closure costs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tc={4C58E792-A8F0-4A73-BD75-130A4A35A5F0}</author>
    <author>tc={03C1B92E-CCFC-497D-8A9A-3ABCC01469B7}</author>
    <author>tc={902085F7-7FC1-4B18-9526-0B8965B449B8}</author>
    <author>tc={317DF1D0-BBDF-48EE-84CA-EB31CA121AC5}</author>
    <author>tc={016983C1-ACB6-4654-972A-6E2ABF5E4BA9}</author>
    <author>tc={92A1C318-EFF5-4CD4-BB13-DEF77684B1C4}</author>
    <author>tc={9EA59D34-3F44-4C99-9D87-98CDB270F4E9}</author>
    <author>tc={4E744F9A-1712-4188-86C0-21B508954A29}</author>
    <author>tc={97221998-982D-4A46-8BEA-3121162E6AEF}</author>
    <author>tc={61D1BE3C-8671-4173-83EC-AA1DC75B76CC}</author>
    <author>tc={1F4352D2-59A6-4D74-B907-1A34A0399054}</author>
    <author>tc={F5CEF290-1B0C-493F-B8E4-ADC17BD66512}</author>
    <author>tc={56311A6B-BF49-4348-A17F-2D8942861AD5}</author>
    <author>tc={AF01FB2A-2E5B-4B7A-AF6B-56C5EDA13A7C}</author>
    <author>tc={95DE305B-8390-438F-858F-AEC72FC3600A}</author>
    <author>tc={70F9506A-1312-4442-A1F9-E8ED04D37B6C}</author>
    <author>tc={3D32255F-8128-45A1-BB09-0E3829E8D1CD}</author>
    <author>tc={3A21AC70-E04D-4E94-B69E-4FE5689C2A43}</author>
    <author>tc={38F6D065-0D3F-433E-98D7-AC1DCAEDCC32}</author>
    <author>tc={8129F3AE-BEEA-42B9-8481-256416A5578E}</author>
  </authors>
  <commentList>
    <comment ref="F7" authorId="0" shapeId="0" xr:uid="{4C58E792-A8F0-4A73-BD75-130A4A35A5F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End of 2022 Q1</t>
        </r>
      </text>
    </comment>
    <comment ref="J14" authorId="1" shapeId="0" xr:uid="{03C1B92E-CCFC-497D-8A9A-3ABCC01469B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realized price</t>
        </r>
      </text>
    </comment>
    <comment ref="J18" authorId="2" shapeId="0" xr:uid="{902085F7-7FC1-4B18-9526-0B8965B449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the beginning of the quarter</t>
        </r>
      </text>
    </comment>
    <comment ref="L29" authorId="3" shapeId="0" xr:uid="{317DF1D0-BBDF-48EE-84CA-EB31CA121AC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Guidance said 1,165 but that has historically been a bit optimistic, so I think 1,150 tpd is more reasonable</t>
        </r>
      </text>
    </comment>
    <comment ref="B54" authorId="4" shapeId="0" xr:uid="{016983C1-ACB6-4654-972A-6E2ABF5E4B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Gross sales</t>
        </r>
      </text>
    </comment>
    <comment ref="G55" authorId="5" shapeId="0" xr:uid="{92A1C318-EFF5-4CD4-BB13-DEF77684B1C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Net sales 2017-2019 (refining, smelting and transportation costs subtracted)</t>
        </r>
      </text>
    </comment>
    <comment ref="B64" authorId="6" shapeId="0" xr:uid="{9EA59D34-3F44-4C99-9D87-98CDB270F4E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Mining, processing, smelting, refining, transportation and selling costs, direct overhead costs</t>
        </r>
      </text>
    </comment>
    <comment ref="B66" authorId="7" shapeId="0" xr:uid="{4E744F9A-1712-4188-86C0-21B508954A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r>
      </text>
    </comment>
    <comment ref="B68" authorId="8" shapeId="0" xr:uid="{97221998-982D-4A46-8BEA-3121162E6AE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Kan vara bara för den enskilda gruvan eller centralt, tex Endeavour sprider ut sin corporate G&amp;A över alla gruvor medan Hochschild delar upp G&amp;A i corporate och vanlig, där den vanliga tillskrivs enskilda gruvor.</t>
        </r>
      </text>
    </comment>
    <comment ref="L69" authorId="9" shapeId="0" xr:uid="{61D1BE3C-8671-4173-83EC-AA1DC75B76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From Guidance 2022</t>
        </r>
      </text>
    </comment>
    <comment ref="B70" authorId="10" shapeId="0" xr:uid="{1F4352D2-59A6-4D74-B907-1A34A03990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Endeavours fall: Stock based compensation, intangible payments, equipment loan payments</t>
        </r>
      </text>
    </comment>
    <comment ref="F70" authorId="11" shapeId="0" xr:uid="{F5CEF290-1B0C-493F-B8E4-ADC17BD665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Does not include Intangible payments and Equipment loan payments, which cannot be found in the MD&amp;A of the year. Though they were zero for 2019 so perhaps  they did not exist before or they started to become recorded from 2020 and onwards.</t>
        </r>
      </text>
    </comment>
    <comment ref="B76" authorId="12" shapeId="0" xr:uid="{56311A6B-BF49-4348-A17F-2D8942861A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12$/t plus sliding royalty on NSR value on silver</t>
        </r>
      </text>
    </comment>
    <comment ref="J76" authorId="13" shapeId="0" xr:uid="{AF01FB2A-2E5B-4B7A-AF6B-56C5EDA13A7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data</t>
        </r>
      </text>
    </comment>
    <comment ref="B77" authorId="14" shapeId="0" xr:uid="{95DE305B-8390-438F-858F-AEC72FC3600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7.5% of EBITDA</t>
        </r>
      </text>
    </comment>
    <comment ref="G77" authorId="15" shapeId="0" xr:uid="{70F9506A-1312-4442-A1F9-E8ED04D37B6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data 2017-2019</t>
        </r>
      </text>
    </comment>
    <comment ref="B78" authorId="16" shapeId="0" xr:uid="{3D32255F-8128-45A1-BB09-0E3829E8D1C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0.5% on sales</t>
        </r>
      </text>
    </comment>
    <comment ref="J78" authorId="17" shapeId="0" xr:uid="{3A21AC70-E04D-4E94-B69E-4FE5689C2A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data</t>
        </r>
      </text>
    </comment>
    <comment ref="I83" authorId="18" shapeId="0" xr:uid="{38F6D065-0D3F-433E-98D7-AC1DCAEDCC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the mining royalty and deferred income tax enpense</t>
        </r>
      </text>
    </comment>
    <comment ref="B87" authorId="19" shapeId="0" xr:uid="{8129F3AE-BEEA-42B9-8481-256416A5578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2091000 * 1.2 (2091000 is from the Technical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tc={167B6703-20E7-4860-92EC-9B030B9901E3}</author>
    <author>tc={1A20A62F-4375-4EFF-9747-8FDDD433ABDD}</author>
    <author>tc={28C83DBE-8ABC-4A8A-812F-A0C804AF6E99}</author>
    <author>tc={55DFCB31-F367-4DE6-A733-025807E95F83}</author>
    <author>tc={DB9EC9BF-9F4F-41BF-B30C-213CB77BFFB0}</author>
    <author>tc={3A27A682-FCD0-4D4B-AF38-2C0D6AEA7E0F}</author>
    <author>tc={29C8306A-FC4F-4422-BE76-402078723FB9}</author>
    <author>tc={F5A44405-992D-4237-9144-8E82E167C7B3}</author>
    <author>tc={6E1556CB-B5B1-4B38-9F8E-B2798E8E1ACB}</author>
    <author>tc={A81F1757-112C-4F19-AD69-EBC3843FFE03}</author>
    <author>tc={83D3B581-BC8A-443C-A19E-B8DF49079E3E}</author>
    <author>tc={5CBAA213-B177-4A52-9E54-73DF8E0631EF}</author>
    <author>tc={02A4DEE6-7C8A-4605-AEB7-B3AC6DAE6D67}</author>
    <author>tc={80F59678-CD41-4531-9AFE-13469D191F2A}</author>
    <author>tc={3EE5952C-8540-4E92-A0C0-02EF8D1F78AF}</author>
    <author>tc={40397A33-C559-48C3-94BE-198D14BFDACC}</author>
    <author>tc={2A269C5D-EBB5-4926-A303-3CD18C3A2676}</author>
    <author>tc={43FA16BC-40DE-4361-8562-3DBFAE0C566C}</author>
    <author>tc={FD56EA64-2BDD-4134-972B-94BCE5C9F0AA}</author>
    <author>tc={4E27B9DC-5960-42FD-A832-87C5EEAD0767}</author>
    <author>tc={0CCC7E6A-C38F-4B74-9C2E-6C6FCBA31CBA}</author>
    <author>tc={CE6D4040-D611-4D54-9E93-E7B88B6E09FA}</author>
  </authors>
  <commentList>
    <comment ref="F7" authorId="0" shapeId="0" xr:uid="{167B6703-20E7-4860-92EC-9B030B9901E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End of 2022 Q1</t>
        </r>
      </text>
    </comment>
    <comment ref="J14" authorId="1" shapeId="0" xr:uid="{1A20A62F-4375-4EFF-9747-8FDDD433ABD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realized price</t>
        </r>
      </text>
    </comment>
    <comment ref="J18" authorId="2" shapeId="0" xr:uid="{28C83DBE-8ABC-4A8A-812F-A0C804AF6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 the beginning of the quarter</t>
        </r>
      </text>
    </comment>
    <comment ref="L29" authorId="3" shapeId="0" xr:uid="{55DFCB31-F367-4DE6-A733-025807E95F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1,600 tpd capacity but only processing around 1,200 tdp or less. 1,080 tpd is guidance for 2022.</t>
        </r>
      </text>
    </comment>
    <comment ref="L31" authorId="4" shapeId="0" xr:uid="{DB9EC9BF-9F4F-41BF-B30C-213CB77BFFB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Guidance said similar grades as in 2021, but I believe in slightly higher grades as their probable resevers have higher grades.</t>
        </r>
      </text>
    </comment>
    <comment ref="L39" authorId="5" shapeId="0" xr:uid="{3A27A682-FCD0-4D4B-AF38-2C0D6AEA7E0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Guidance for 2022</t>
        </r>
      </text>
    </comment>
    <comment ref="O39" authorId="6" shapeId="0" xr:uid="{29C8306A-FC4F-4422-BE76-402078723FB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Conservative estimate that the recovery is getting a bit lower but higher than previous five years' average</t>
        </r>
      </text>
    </comment>
    <comment ref="B46" authorId="7" shapeId="0" xr:uid="{F5A44405-992D-4237-9144-8E82E167C7B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Concentrate production therefore lower payability</t>
        </r>
      </text>
    </comment>
    <comment ref="B54" authorId="8" shapeId="0" xr:uid="{6E1556CB-B5B1-4B38-9F8E-B2798E8E1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Gross sales, i.e. without deducting refinining, smelting and transportation costs</t>
        </r>
      </text>
    </comment>
    <comment ref="B64" authorId="9" shapeId="0" xr:uid="{A81F1757-112C-4F19-AD69-EBC3843FFE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Mining, processing, smelting, refining, transportation and selling costs, direct overhead costs (on-site general and administrative)</t>
        </r>
      </text>
    </comment>
    <comment ref="B66" authorId="10" shapeId="0" xr:uid="{83D3B581-BC8A-443C-A19E-B8DF49079E3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r>
      </text>
    </comment>
    <comment ref="B68" authorId="11" shapeId="0" xr:uid="{5CBAA213-B177-4A52-9E54-73DF8E0631E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Kan vara bara för den enskilda gruvan eller centralt, tex Endeavour sprider ut sin corporate G&amp;A över alla gruvor medan Hochschild delar upp G&amp;A i corporate och vanlig, där den vanliga tillskrivs enskilda gruvor.</t>
        </r>
      </text>
    </comment>
    <comment ref="B70" authorId="12" shapeId="0" xr:uid="{02A4DEE6-7C8A-4605-AEB7-B3AC6DAE6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Endeavours fall: Stock based compensation, intangible payments, equipment loan payments</t>
        </r>
      </text>
    </comment>
    <comment ref="J70" authorId="13" shapeId="0" xr:uid="{80F59678-CD41-4531-9AFE-13469D191F2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More equipment loans so higher equipment loan payments</t>
        </r>
      </text>
    </comment>
    <comment ref="B71" authorId="14" shapeId="0" xr:uid="{3EE5952C-8540-4E92-A0C0-02EF8D1F78A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0.76 is the average depreciation/capex ratio from 2017 to Q1 2022</t>
        </r>
      </text>
    </comment>
    <comment ref="B75" authorId="15" shapeId="0" xr:uid="{40397A33-C559-48C3-94BE-198D14BFDA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NSR Royalty on 4/26 concessions and they pay a small concession tax ($41K 2020), but these are negligible as their historic royalty have been around $200K-$250K</t>
        </r>
      </text>
    </comment>
    <comment ref="B76" authorId="16" shapeId="0" xr:uid="{2A269C5D-EBB5-4926-A303-3CD18C3A2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7.5% of EBITDA</t>
        </r>
      </text>
    </comment>
    <comment ref="G76" authorId="17" shapeId="0" xr:uid="{43FA16BC-40DE-4361-8562-3DBFAE0C566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data 2019</t>
        </r>
      </text>
    </comment>
    <comment ref="B77" authorId="18" shapeId="0" xr:uid="{FD56EA64-2BDD-4134-972B-94BCE5C9F0A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0.5% on sales</t>
        </r>
      </text>
    </comment>
    <comment ref="B81" authorId="19" shapeId="0" xr:uid="{4E27B9DC-5960-42FD-A832-87C5EEAD07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Corporate tax rate in Mexico is 30%</t>
        </r>
      </text>
    </comment>
    <comment ref="J81" authorId="20" shapeId="0" xr:uid="{0CCC7E6A-C38F-4B74-9C2E-6C6FCBA31C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the mining royalties and deferred income taxes</t>
        </r>
      </text>
    </comment>
    <comment ref="B86" authorId="21" shapeId="0" xr:uid="{CE6D4040-D611-4D54-9E93-E7B88B6E09F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1,977,043 * 1.2 (1,977,043 is from the Technical Report)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tc={3640AFC1-1942-494A-ACFF-A01E527DD512}</author>
    <author>tc={F7D9B0AD-7E02-42E7-BE13-97925B8559AD}</author>
    <author>tc={1C20126C-0E7A-43A7-AEF2-D546CD28205E}</author>
    <author>tc={818653AC-BB97-496F-9803-2E103BBF9613}</author>
    <author>tc={EA5A2A52-27F9-4CEF-B24D-AA18A63A24B6}</author>
    <author>tc={98F928E8-7A02-4D81-BC93-5D88A4A0CB70}</author>
    <author>tc={D06F750A-F014-4B77-A2D4-2EB2ACED5B5B}</author>
    <author>tc={00A878FE-285E-4FA6-B757-E352CDB45876}</author>
    <author>tc={F42D2039-D37D-42BE-9E6A-348A0DE3A114}</author>
    <author>tc={A954B980-EBF2-4623-BCB0-3103BA6470D9}</author>
    <author>tc={E1437A89-0AED-44DF-BD34-8A07CDF26DA3}</author>
  </authors>
  <commentList>
    <comment ref="E14" authorId="0" shapeId="0" xr:uid="{3640AFC1-1942-494A-ACFF-A01E527DD5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realized price</t>
        </r>
      </text>
    </comment>
    <comment ref="K22" authorId="1" shapeId="0" xr:uid="{F7D9B0AD-7E02-42E7-BE13-97925B8559A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Fixed</t>
        </r>
      </text>
    </comment>
    <comment ref="B38" authorId="2" shapeId="0" xr:uid="{1C20126C-0E7A-43A7-AEF2-D546CD28205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Concentrate production so lower payability</t>
        </r>
      </text>
    </comment>
    <comment ref="B57" authorId="3" shapeId="0" xr:uid="{818653AC-BB97-496F-9803-2E103BBF96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example: penalty for exceeding allowed arsenic levels in the produced concentrates</t>
        </r>
      </text>
    </comment>
    <comment ref="L63" authorId="4" shapeId="0" xr:uid="{EA5A2A52-27F9-4CEF-B24D-AA18A63A24B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Net operating earnings in the technical report are without depreciation and the numerator is the mining royalty (in the report) and the denominator is the royalty rate (7.5%).</t>
        </r>
      </text>
    </comment>
    <comment ref="B72" authorId="5" shapeId="0" xr:uid="{98F928E8-7A02-4D81-BC93-5D88A4A0CB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Mining, processing, smelting, refining, transportation and selling costs, direct overhead costs (on-site general and administrative)</t>
        </r>
      </text>
    </comment>
    <comment ref="B74" authorId="6" shapeId="0" xr:uid="{D06F750A-F014-4B77-A2D4-2EB2ACED5B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Cash cost per payable ounce of silver equivalent</t>
        </r>
      </text>
    </comment>
    <comment ref="B76" authorId="7" shapeId="0" xr:uid="{00A878FE-285E-4FA6-B757-E352CDB458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NSR Royalty on 4/26 concessions and they pay a small concession tax ($41K 2020), but these are negligible as their historic royalty have been around $200K-$250K</t>
        </r>
      </text>
    </comment>
    <comment ref="B77" authorId="8" shapeId="0" xr:uid="{F42D2039-D37D-42BE-9E6A-348A0DE3A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of Net smelter return (NSR)</t>
        </r>
      </text>
    </comment>
    <comment ref="B78" authorId="9" shapeId="0" xr:uid="{A954B980-EBF2-4623-BCB0-3103BA6470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7.5% of EBITDA</t>
        </r>
      </text>
    </comment>
    <comment ref="B79" authorId="10" shapeId="0" xr:uid="{E1437A89-0AED-44DF-BD34-8A07CDF26DA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0.5% on sales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tc={3AA556D7-BCFB-4746-BB79-9376F2639D66}</author>
    <author>tc={59434215-E7C5-4BD3-8A14-B4190217E7AE}</author>
    <author>tc={E849ED32-5F66-4861-A553-1EEDC2B524DD}</author>
    <author>tc={76C805CF-BFE8-4199-B0E4-7412EE8B473E}</author>
  </authors>
  <commentList>
    <comment ref="B7" authorId="0" shapeId="0" xr:uid="{3AA556D7-BCFB-4746-BB79-9376F2639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Weighted average interest rate</t>
        </r>
      </text>
    </comment>
    <comment ref="B8" authorId="1" shapeId="0" xr:uid="{59434215-E7C5-4BD3-8A14-B4190217E7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Weighted average interest rate</t>
        </r>
      </text>
    </comment>
    <comment ref="B12" authorId="2" shapeId="0" xr:uid="{E849ED32-5F66-4861-A553-1EEDC2B524D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10 yr treasury yield</t>
        </r>
      </text>
    </comment>
    <comment ref="C18" authorId="3" shapeId="0" xr:uid="{76C805CF-BFE8-4199-B0E4-7412EE8B473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Since all their income is from Mexico and Mexico's tax corporate tax rate is 30%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tc={7858B377-AD00-4AAA-96EA-86580304207C}</author>
  </authors>
  <commentList>
    <comment ref="A9" authorId="0" shapeId="0" xr:uid="{7858B377-AD00-4AAA-96EA-86580304207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Terronera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tc={5CF4A114-9566-4564-A985-3B03E132CD8F}</author>
    <author>tc={E4CD2302-7296-461E-B606-D92BCCC678DD}</author>
    <author>tc={619347F8-E2EC-4E6C-B6BE-51F1342962D6}</author>
    <author>tc={265D1D85-7E90-4295-A6F9-05F1B280E207}</author>
  </authors>
  <commentList>
    <comment ref="D2" authorId="0" shapeId="0" xr:uid="{5CF4A114-9566-4564-A985-3B03E132CD8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data</t>
        </r>
      </text>
    </comment>
    <comment ref="K2" authorId="1" shapeId="0" xr:uid="{E4CD2302-7296-461E-B606-D92BCCC678D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data</t>
        </r>
      </text>
    </comment>
    <comment ref="L2" authorId="2" shapeId="0" xr:uid="{619347F8-E2EC-4E6C-B6BE-51F1342962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Covid-19 and ensuing production stopages caused lower production</t>
        </r>
      </text>
    </comment>
    <comment ref="C7" authorId="3" shapeId="0" xr:uid="{265D1D85-7E90-4295-A6F9-05F1B280E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Means production was lower than guidance</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<sst xmlns="http://schemas.openxmlformats.org/spreadsheetml/2006/main" count="730" uniqueCount="233">
  <si>
    <t>Company: Endeavour Silver</t>
  </si>
  <si>
    <t>Mine type: Underground mine</t>
  </si>
  <si>
    <t>WACC</t>
  </si>
  <si>
    <t>Cash cost</t>
  </si>
  <si>
    <t>Conversions</t>
  </si>
  <si>
    <t>Grams --&gt;  Troy ounces</t>
  </si>
  <si>
    <t>Troy ounces --&gt; Grams</t>
  </si>
  <si>
    <t>Discounted Cash Flow Model</t>
  </si>
  <si>
    <t>Unit</t>
  </si>
  <si>
    <t>Total or average</t>
  </si>
  <si>
    <t>2018A</t>
  </si>
  <si>
    <t>2019A</t>
  </si>
  <si>
    <t>2020A</t>
  </si>
  <si>
    <t>2021A</t>
  </si>
  <si>
    <t>2024E</t>
  </si>
  <si>
    <t>2025E</t>
  </si>
  <si>
    <t>2026E</t>
  </si>
  <si>
    <t>2027E</t>
  </si>
  <si>
    <t>2028E</t>
  </si>
  <si>
    <t>Metal prices</t>
  </si>
  <si>
    <t>$/oz</t>
  </si>
  <si>
    <t>Silver</t>
  </si>
  <si>
    <t>%</t>
  </si>
  <si>
    <t>Gold</t>
  </si>
  <si>
    <t>Tonnes</t>
  </si>
  <si>
    <t>Proven</t>
  </si>
  <si>
    <t>Probable</t>
  </si>
  <si>
    <t>Total</t>
  </si>
  <si>
    <t>Measured</t>
  </si>
  <si>
    <t>Indicated</t>
  </si>
  <si>
    <t>Inferred</t>
  </si>
  <si>
    <t>Mineral processing</t>
  </si>
  <si>
    <t>Average plant throughput</t>
  </si>
  <si>
    <t>tpd</t>
  </si>
  <si>
    <t>Ore milled</t>
  </si>
  <si>
    <t>tonnes</t>
  </si>
  <si>
    <t>Silver grade</t>
  </si>
  <si>
    <t>g/t</t>
  </si>
  <si>
    <t>Gold grade</t>
  </si>
  <si>
    <t>Contained metal</t>
  </si>
  <si>
    <t>oz</t>
  </si>
  <si>
    <t>Processing recoveries</t>
  </si>
  <si>
    <t>Metal production</t>
  </si>
  <si>
    <t>Sales</t>
  </si>
  <si>
    <t>$</t>
  </si>
  <si>
    <t>Operating costs</t>
  </si>
  <si>
    <t>Total operating costs</t>
  </si>
  <si>
    <t>Capital costs</t>
  </si>
  <si>
    <t>Free cash flow</t>
  </si>
  <si>
    <t>Net income for tax purposes</t>
  </si>
  <si>
    <t>Net present value FCF</t>
  </si>
  <si>
    <t>Pounds --&gt; Tonnes</t>
  </si>
  <si>
    <t>Tonnes --&gt; Pounds</t>
  </si>
  <si>
    <t>Silver price</t>
  </si>
  <si>
    <t>Gold price</t>
  </si>
  <si>
    <t>2022 Q1A</t>
  </si>
  <si>
    <t>2022 Q2E</t>
  </si>
  <si>
    <t>2023 Q2-Q4E</t>
  </si>
  <si>
    <t>2029E</t>
  </si>
  <si>
    <t>2030E</t>
  </si>
  <si>
    <t>2022 Q3E</t>
  </si>
  <si>
    <t>2022 Q4E</t>
  </si>
  <si>
    <t>2023 Q1</t>
  </si>
  <si>
    <t>2017A</t>
  </si>
  <si>
    <t>Resource estimation</t>
  </si>
  <si>
    <t>% of Measured Resources</t>
  </si>
  <si>
    <t>% of Indicated Resources</t>
  </si>
  <si>
    <t>% of Inferred Resources</t>
  </si>
  <si>
    <t>Classification</t>
  </si>
  <si>
    <t>Silver grade (g/t)</t>
  </si>
  <si>
    <t>Gold grade (g/t)</t>
  </si>
  <si>
    <t>Contained silver (oz)</t>
  </si>
  <si>
    <t>Contained gold (oz)</t>
  </si>
  <si>
    <t>Valuation of Guanacevi silver mine (Durango, Mexico)</t>
  </si>
  <si>
    <t>Mineral reserves</t>
  </si>
  <si>
    <t>Mineral resources</t>
  </si>
  <si>
    <t>Inferred resources</t>
  </si>
  <si>
    <t xml:space="preserve">Inferred  </t>
  </si>
  <si>
    <t>(den)</t>
  </si>
  <si>
    <t>$/t</t>
  </si>
  <si>
    <t>Cash cost per tonne</t>
  </si>
  <si>
    <t>Total cash cost</t>
  </si>
  <si>
    <t>Cash cost per silver equivalent</t>
  </si>
  <si>
    <t>General and Administrative</t>
  </si>
  <si>
    <t>Other operating costs</t>
  </si>
  <si>
    <t>Depreciation</t>
  </si>
  <si>
    <t>Royalties</t>
  </si>
  <si>
    <t>% of sales from silver</t>
  </si>
  <si>
    <t>Net income</t>
  </si>
  <si>
    <t xml:space="preserve">Net income </t>
  </si>
  <si>
    <t>Payable metals</t>
  </si>
  <si>
    <t xml:space="preserve">Payability </t>
  </si>
  <si>
    <t>Ocampo Mining royalty</t>
  </si>
  <si>
    <t>Sustaining capital expenditures</t>
  </si>
  <si>
    <t>Brownfield exploration</t>
  </si>
  <si>
    <t>All-in sustaining costs per silver equivalent</t>
  </si>
  <si>
    <t>Estimate period length</t>
  </si>
  <si>
    <t>Cost of debt</t>
  </si>
  <si>
    <t>Cost of Equity</t>
  </si>
  <si>
    <t>Risk free rate</t>
  </si>
  <si>
    <t>Equity risk premium</t>
  </si>
  <si>
    <t>Beta</t>
  </si>
  <si>
    <t>Statutory tax rate</t>
  </si>
  <si>
    <t>Debt</t>
  </si>
  <si>
    <t>Equity</t>
  </si>
  <si>
    <t>Total value</t>
  </si>
  <si>
    <t>All figures are in $M</t>
  </si>
  <si>
    <t>Equipment loans</t>
  </si>
  <si>
    <t>From Technical Report 2022 and 2022 Guidance</t>
  </si>
  <si>
    <t>Guanacevi</t>
  </si>
  <si>
    <t>Bolanitos</t>
  </si>
  <si>
    <t>Valuation of Bolanitos silver-gold mine (Guanajuato, Mexico)</t>
  </si>
  <si>
    <t>From Feasibility Study 2021</t>
  </si>
  <si>
    <t>Delay (years)</t>
  </si>
  <si>
    <t>2023 Q1E</t>
  </si>
  <si>
    <t>2031E</t>
  </si>
  <si>
    <t>2032E</t>
  </si>
  <si>
    <t>2033E</t>
  </si>
  <si>
    <t>2034E</t>
  </si>
  <si>
    <t>koz</t>
  </si>
  <si>
    <t>2035E</t>
  </si>
  <si>
    <t>2036E</t>
  </si>
  <si>
    <t>2037E</t>
  </si>
  <si>
    <t>2038E</t>
  </si>
  <si>
    <t>2039E</t>
  </si>
  <si>
    <t>2040E</t>
  </si>
  <si>
    <t>2041E</t>
  </si>
  <si>
    <t>2042E</t>
  </si>
  <si>
    <t>2043E</t>
  </si>
  <si>
    <t>2044E</t>
  </si>
  <si>
    <t>2045E</t>
  </si>
  <si>
    <t>2046E</t>
  </si>
  <si>
    <t>Payability</t>
  </si>
  <si>
    <t>Net smelter return</t>
  </si>
  <si>
    <t xml:space="preserve">Concentrate treatment </t>
  </si>
  <si>
    <t>Penalties</t>
  </si>
  <si>
    <t>Transport costs</t>
  </si>
  <si>
    <t>Gold refining</t>
  </si>
  <si>
    <t>Treatment, refining, penalties and transportation</t>
  </si>
  <si>
    <t>Production costs</t>
  </si>
  <si>
    <t>Mining</t>
  </si>
  <si>
    <t>Processing</t>
  </si>
  <si>
    <t>Corporate general and administrative</t>
  </si>
  <si>
    <t>Valuation of Terronera silver-gold mine (Jalisco, Mexico)</t>
  </si>
  <si>
    <t>NSR Royalty to IMMSA</t>
  </si>
  <si>
    <t>Corporate tax rate</t>
  </si>
  <si>
    <t>Tax loss carryforward</t>
  </si>
  <si>
    <t>Initial capital expenditures</t>
  </si>
  <si>
    <t>Silver refining</t>
  </si>
  <si>
    <t>Cost inflation factor</t>
  </si>
  <si>
    <t>Special mining duty</t>
  </si>
  <si>
    <t>Extraordinary mining duty</t>
  </si>
  <si>
    <t>Exploration</t>
  </si>
  <si>
    <t>Closure costs</t>
  </si>
  <si>
    <t>Working capital</t>
  </si>
  <si>
    <t>Change in non-cash working capital</t>
  </si>
  <si>
    <t>Mineral reserves and resources</t>
  </si>
  <si>
    <t>% of Proven &amp; Probable left</t>
  </si>
  <si>
    <t>% of Measured &amp; Indicated left</t>
  </si>
  <si>
    <t>% of Inferred left</t>
  </si>
  <si>
    <t>Average silver grade</t>
  </si>
  <si>
    <t>Average gold grade</t>
  </si>
  <si>
    <t>Average silver recovery</t>
  </si>
  <si>
    <t>Average gold recovery</t>
  </si>
  <si>
    <t>Mineral processing and production</t>
  </si>
  <si>
    <t>Average payability gold</t>
  </si>
  <si>
    <t>Average payability silver</t>
  </si>
  <si>
    <t>Payable silver production</t>
  </si>
  <si>
    <t>Payable gold production</t>
  </si>
  <si>
    <t xml:space="preserve">Total cash cost </t>
  </si>
  <si>
    <t>Operating costs and operating profit</t>
  </si>
  <si>
    <t>Operating profit</t>
  </si>
  <si>
    <t>Net income and royalties</t>
  </si>
  <si>
    <t>Total mining royalties and mining duties</t>
  </si>
  <si>
    <t xml:space="preserve">Net income   </t>
  </si>
  <si>
    <t>Cash cost factor</t>
  </si>
  <si>
    <t>Sustaining capital expenditures factor</t>
  </si>
  <si>
    <t>Actual total cash cost</t>
  </si>
  <si>
    <t>Actual sustaining capital expenditures</t>
  </si>
  <si>
    <t>Growth capital expenditures</t>
  </si>
  <si>
    <t>Gold guidance (K oz)</t>
  </si>
  <si>
    <t>Gold production (K oz)</t>
  </si>
  <si>
    <t>Silver production (M oz)</t>
  </si>
  <si>
    <t>Silver guidance (M oz)</t>
  </si>
  <si>
    <t>3.1-3.7</t>
  </si>
  <si>
    <t>8.0-10.0</t>
  </si>
  <si>
    <t>2.4-2.7</t>
  </si>
  <si>
    <t>6.0-7.0</t>
  </si>
  <si>
    <t>Endeavour Silver (company level)</t>
  </si>
  <si>
    <t>0.4-0.5</t>
  </si>
  <si>
    <t>21.0-23.0</t>
  </si>
  <si>
    <t>0.5-0.6</t>
  </si>
  <si>
    <t>22.0-25.0</t>
  </si>
  <si>
    <t>3.6-4.3</t>
  </si>
  <si>
    <t>31.0-35.5</t>
  </si>
  <si>
    <t>3.0-3.5</t>
  </si>
  <si>
    <t>38.0-44.0</t>
  </si>
  <si>
    <t>4.4-5.2</t>
  </si>
  <si>
    <t>46.2-52.2</t>
  </si>
  <si>
    <t>5.8-6.4</t>
  </si>
  <si>
    <t>58.0-64.0</t>
  </si>
  <si>
    <t>2.2-2.5</t>
  </si>
  <si>
    <t>5.0-5.5</t>
  </si>
  <si>
    <t>1.0-1.1</t>
  </si>
  <si>
    <t>23.5-25.5</t>
  </si>
  <si>
    <t>2.4-2.6</t>
  </si>
  <si>
    <t>5.3-6.3</t>
  </si>
  <si>
    <t>0.9-1.0</t>
  </si>
  <si>
    <t>21.5-22.5</t>
  </si>
  <si>
    <t>5.2-5.7</t>
  </si>
  <si>
    <t>50.0-53.0</t>
  </si>
  <si>
    <t>Silver guidance vs results</t>
  </si>
  <si>
    <t>Gold guidance vs results</t>
  </si>
  <si>
    <t>Between</t>
  </si>
  <si>
    <t>Below</t>
  </si>
  <si>
    <t>Above</t>
  </si>
  <si>
    <t>Equipment loans interest rate</t>
  </si>
  <si>
    <t>Lease liabilities</t>
  </si>
  <si>
    <t>Lease liabilities interest rate</t>
  </si>
  <si>
    <t>Valuation</t>
  </si>
  <si>
    <t>Cash and cash equivalents</t>
  </si>
  <si>
    <t>Net debt</t>
  </si>
  <si>
    <t>Pitarrilla project</t>
  </si>
  <si>
    <t>Other exploration projects</t>
  </si>
  <si>
    <t>Enterprise value</t>
  </si>
  <si>
    <t>Equity value</t>
  </si>
  <si>
    <t>Shares outstanding</t>
  </si>
  <si>
    <t>Current share value</t>
  </si>
  <si>
    <t>Downside</t>
  </si>
  <si>
    <t>% from fair value</t>
  </si>
  <si>
    <t>Acquisition capital expenditures</t>
  </si>
  <si>
    <t>Shares outstanding after Pitarrilla acquisition</t>
  </si>
  <si>
    <t>Fair share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</si>
</sst>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i/>
      <sz val="11"/>
      <color theme="1"/>
      <name val="Calibri"/>
      <family val="2"/>
      <scheme val="minor"/>
    </font>
    <font>
      <b/>
      <sz val="14"/>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249977111117893"/>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right/>
      <top/>
      <bottom style="medium">
        <color auto="1"/>
      </bottom>
      <diagonal/>
    </border>
  </borders>
  <cellStyleXfs count="2">
    <xf numFmtId="0" fontId="0" fillId="0" borderId="0"/>
    <xf numFmtId="9" fontId="1" fillId="0" borderId="0" applyFont="0" applyFill="0" applyBorder="0" applyAlignment="0" applyProtection="0"/>
  </cellStyleXfs>
  <cellXfs count="71">
    <xf numFmtId="0" fontId="0" fillId="0" borderId="0" xfId="0"/>
    <xf numFmtId="0" fontId="4" fillId="2" borderId="0" xfId="0" applyFont="1" applyFill="1"/>
    <xf numFmtId="0" fontId="0" fillId="2" borderId="0" xfId="0" applyFill="1"/>
    <xf numFmtId="0" fontId="3" fillId="0" borderId="0" xfId="0" applyFont="1"/>
    <xf numFmtId="0" fontId="3" fillId="0" borderId="1" xfId="0" applyFont="1" applyBorder="1"/>
    <xf numFmtId="0" fontId="0" fillId="0" borderId="1" xfId="0" applyBorder="1"/>
    <xf numFmtId="0" fontId="2" fillId="3" borderId="0" xfId="0" applyFont="1" applyFill="1"/>
    <xf numFmtId="0" fontId="3" fillId="0" borderId="2" xfId="0" applyFont="1" applyBorder="1"/>
    <xf numFmtId="0" fontId="5" fillId="0" borderId="0" xfId="0" applyFont="1"/>
    <xf numFmtId="9" fontId="0" fillId="0" borderId="0" xfId="0" applyNumberFormat="1"/>
    <xf numFmtId="3" fontId="0" fillId="0" borderId="0" xfId="0" applyNumberFormat="1"/>
    <xf numFmtId="3" fontId="0" fillId="0" borderId="1" xfId="0" applyNumberFormat="1" applyBorder="1"/>
    <xf numFmtId="2" fontId="0" fillId="0" borderId="1" xfId="0" applyNumberFormat="1" applyBorder="1"/>
    <xf numFmtId="1" fontId="0" fillId="0" borderId="0" xfId="0" applyNumberFormat="1"/>
    <xf numFmtId="2" fontId="0" fillId="0" borderId="0" xfId="0" applyNumberFormat="1"/>
    <xf numFmtId="164" fontId="0" fillId="0" borderId="0" xfId="0" applyNumberFormat="1"/>
    <xf numFmtId="164" fontId="0" fillId="0" borderId="0" xfId="1" applyNumberFormat="1" applyFont="1"/>
    <xf numFmtId="0" fontId="0" fillId="0" borderId="0" xfId="0" applyBorder="1"/>
    <xf numFmtId="3" fontId="0" fillId="0" borderId="0" xfId="0" applyNumberFormat="1" applyBorder="1"/>
    <xf numFmtId="0" fontId="3" fillId="0" borderId="0" xfId="0" applyFont="1" applyBorder="1"/>
    <xf numFmtId="0" fontId="0" fillId="0" borderId="0" xfId="0" applyFill="1" applyBorder="1"/>
    <xf numFmtId="1" fontId="0" fillId="0" borderId="0" xfId="0" applyNumberFormat="1" applyBorder="1"/>
    <xf numFmtId="0" fontId="0" fillId="0" borderId="0" xfId="0" applyFont="1"/>
    <xf numFmtId="0" fontId="0" fillId="0" borderId="0" xfId="0" applyFont="1" applyBorder="1"/>
    <xf numFmtId="0" fontId="0" fillId="0" borderId="0" xfId="0" applyFont="1" applyFill="1" applyBorder="1"/>
    <xf numFmtId="4" fontId="0" fillId="0" borderId="0" xfId="0" applyNumberFormat="1"/>
    <xf numFmtId="9" fontId="0" fillId="0" borderId="0" xfId="1" applyFont="1"/>
    <xf numFmtId="10" fontId="0" fillId="0" borderId="0" xfId="0" applyNumberFormat="1"/>
    <xf numFmtId="165" fontId="0" fillId="0" borderId="0" xfId="0" applyNumberFormat="1"/>
    <xf numFmtId="0" fontId="0" fillId="0" borderId="2" xfId="0" applyBorder="1"/>
    <xf numFmtId="10" fontId="0" fillId="0" borderId="2" xfId="0" applyNumberFormat="1" applyBorder="1"/>
    <xf numFmtId="10" fontId="3" fillId="0" borderId="0" xfId="0" applyNumberFormat="1" applyFont="1"/>
    <xf numFmtId="3" fontId="0" fillId="0" borderId="2" xfId="0" applyNumberFormat="1" applyBorder="1"/>
    <xf numFmtId="10" fontId="3" fillId="0" borderId="0" xfId="1" applyNumberFormat="1" applyFont="1"/>
    <xf numFmtId="3" fontId="3" fillId="0" borderId="0" xfId="0" applyNumberFormat="1" applyFont="1"/>
    <xf numFmtId="0" fontId="0" fillId="4" borderId="0" xfId="0" applyFill="1"/>
    <xf numFmtId="3" fontId="0" fillId="4" borderId="0" xfId="0" applyNumberFormat="1" applyFill="1"/>
    <xf numFmtId="3" fontId="0" fillId="4" borderId="0" xfId="0" applyNumberFormat="1" applyFont="1" applyFill="1"/>
    <xf numFmtId="0" fontId="5" fillId="4" borderId="0" xfId="0" applyFont="1" applyFill="1"/>
    <xf numFmtId="0" fontId="0" fillId="4" borderId="0" xfId="0" applyFont="1" applyFill="1"/>
    <xf numFmtId="1" fontId="0" fillId="4" borderId="0" xfId="0" applyNumberFormat="1" applyFill="1"/>
    <xf numFmtId="2" fontId="0" fillId="4" borderId="0" xfId="0" applyNumberFormat="1" applyFill="1"/>
    <xf numFmtId="164" fontId="0" fillId="4" borderId="0" xfId="0" applyNumberFormat="1" applyFill="1"/>
    <xf numFmtId="164" fontId="0" fillId="4" borderId="0" xfId="1" applyNumberFormat="1" applyFont="1" applyFill="1"/>
    <xf numFmtId="9" fontId="0" fillId="4" borderId="0" xfId="1" applyFont="1" applyFill="1"/>
    <xf numFmtId="2" fontId="3" fillId="4" borderId="0" xfId="0" applyNumberFormat="1" applyFont="1" applyFill="1"/>
    <xf numFmtId="1" fontId="3" fillId="4" borderId="0" xfId="0" applyNumberFormat="1" applyFont="1" applyFill="1"/>
    <xf numFmtId="3" fontId="3" fillId="4" borderId="0" xfId="0" applyNumberFormat="1" applyFont="1" applyFill="1"/>
    <xf numFmtId="3" fontId="3" fillId="4" borderId="0" xfId="0" applyNumberFormat="1" applyFont="1" applyFill="1" applyBorder="1"/>
    <xf numFmtId="0" fontId="3" fillId="4" borderId="0" xfId="0" applyFont="1" applyFill="1"/>
    <xf numFmtId="4" fontId="3" fillId="4" borderId="0" xfId="0" applyNumberFormat="1" applyFont="1" applyFill="1"/>
    <xf numFmtId="164" fontId="3" fillId="4" borderId="0" xfId="0" applyNumberFormat="1" applyFont="1" applyFill="1"/>
    <xf numFmtId="164" fontId="3" fillId="4" borderId="0" xfId="1" applyNumberFormat="1" applyFont="1" applyFill="1"/>
    <xf numFmtId="9" fontId="3" fillId="4" borderId="0" xfId="1" applyFont="1" applyFill="1"/>
    <xf numFmtId="165" fontId="3" fillId="4" borderId="0" xfId="0" applyNumberFormat="1" applyFont="1" applyFill="1"/>
    <xf numFmtId="9" fontId="0" fillId="4" borderId="0" xfId="0" applyNumberFormat="1" applyFill="1"/>
    <xf numFmtId="9" fontId="3" fillId="4" borderId="0" xfId="0" applyNumberFormat="1" applyFont="1" applyFill="1"/>
    <xf numFmtId="166" fontId="3" fillId="4" borderId="0" xfId="0" applyNumberFormat="1" applyFont="1" applyFill="1"/>
    <xf numFmtId="0" fontId="3" fillId="0" borderId="0" xfId="0" applyFont="1" applyFill="1" applyBorder="1"/>
    <xf numFmtId="0" fontId="0" fillId="0" borderId="0" xfId="0" applyAlignment="1">
      <alignment horizontal="left"/>
    </xf>
    <xf numFmtId="166" fontId="0" fillId="0" borderId="0" xfId="0" applyNumberFormat="1"/>
    <xf numFmtId="166" fontId="0" fillId="0" borderId="0" xfId="0" applyNumberFormat="1" applyAlignment="1">
      <alignment horizontal="left"/>
    </xf>
    <xf numFmtId="0" fontId="0" fillId="0" borderId="1" xfId="0" applyBorder="1" applyAlignment="1">
      <alignment horizontal="left"/>
    </xf>
    <xf numFmtId="166" fontId="0" fillId="0" borderId="1" xfId="0" applyNumberFormat="1" applyBorder="1" applyAlignment="1">
      <alignment horizontal="left"/>
    </xf>
    <xf numFmtId="166" fontId="0" fillId="0" borderId="1" xfId="0" applyNumberFormat="1" applyBorder="1"/>
    <xf numFmtId="0" fontId="0" fillId="0" borderId="0" xfId="0" applyFill="1" applyBorder="1" applyAlignment="1">
      <alignment horizontal="left"/>
    </xf>
    <xf numFmtId="166" fontId="0" fillId="0" borderId="0" xfId="0" applyNumberFormat="1" applyFill="1" applyBorder="1"/>
    <xf numFmtId="10" fontId="0" fillId="0" borderId="0" xfId="1" applyNumberFormat="1" applyFont="1"/>
    <xf numFmtId="1" fontId="3" fillId="0" borderId="0" xfId="0" applyNumberFormat="1" applyFont="1"/>
    <xf numFmtId="0" fontId="7" fillId="3" borderId="0" xfId="0" applyFont="1" applyFill="1" applyAlignment="1"/>
    <xf numFmtId="0" fontId="6" fillId="3" borderId="0" xfId="0" applyFont="1" applyFill="1"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sper Wijk" id="{9D930204-1996-4D46-B572-0482FA368D30}" userId="e5c4d1156e61410d" providerId="Windows Liv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4" dT="2022-06-02T18:50:09.33" personId="{9D930204-1996-4D46-B572-0482FA368D30}" id="{D996DE3B-FD26-4A27-BB86-231EA205C6E0}">
    <text>Average realized price</text>
  </threadedComment>
  <threadedComment ref="B33" dT="2022-06-07T12:43:51.99" personId="{9D930204-1996-4D46-B572-0482FA368D30}" id="{22DAC695-5864-4E65-9B1A-CF826E835417}">
    <text>Gross sales, i.e. without deducting refinining, smelting and transportation costs</text>
  </threadedComment>
  <threadedComment ref="H34" dT="2022-06-09T10:15:56.95" personId="{9D930204-1996-4D46-B572-0482FA368D30}" id="{D07F3B45-7FE1-45F8-8A90-8C26FE519549}">
    <text>2017-2019 net sales, with refining, smelting and transportation costs subtracted</text>
  </threadedComment>
  <threadedComment ref="B43" dT="2022-05-28T13:39:02.74" personId="{9D930204-1996-4D46-B572-0482FA368D30}" id="{57EF7ECF-B140-427C-8557-0841B1F40F3F}">
    <text>Cash cost per payable ounce of silver equivalent</text>
  </threadedComment>
  <threadedComment ref="B44" dT="2022-06-07T23:48:11.33" personId="{9D930204-1996-4D46-B572-0482FA368D30}" id="{26E0FE1C-F608-4838-B106-65854A5B5B38}">
    <text>If central general and administrative costs are separate, predict them as well. For Endeavour Silver everything is included in the individual mines.</text>
  </threadedComment>
  <threadedComment ref="F44" dT="2022-06-08T01:45:08.39" personId="{9D930204-1996-4D46-B572-0482FA368D30}" id="{F9C57797-8452-4E1F-8EA6-D00B85EB402F}">
    <text>No depreciation or share-based compensation included</text>
  </threadedComment>
  <threadedComment ref="K45" dT="2022-06-08T00:59:34.11" personId="{9D930204-1996-4D46-B572-0482FA368D30}" id="{701A5B32-F693-446F-ACBC-3277735D875B}">
    <text>$600K to Parral, $3.2M in Exploration and evaluation expenses in total</text>
  </threadedComment>
  <threadedComment ref="P45" dT="2022-06-08T01:02:57.70" personId="{9D930204-1996-4D46-B572-0482FA368D30}" id="{88447837-4C4C-4FCE-9686-10E812BBCF0B}">
    <text>Only exploration at Guanacevi and Bolanitos included</text>
  </threadedComment>
  <threadedComment ref="B46" dT="2022-06-08T01:08:12.44" personId="{9D930204-1996-4D46-B572-0482FA368D30}" id="{D9FEBCAB-95BC-4FD2-937E-B800D5088225}">
    <text>Including care and maintenance cost (see El Compas whose production was suspended in August 2021. Also sold El Cubo mine in April 2021, which as put on care maintenance and cost $2.96M in 2020.</text>
  </threadedComment>
  <threadedComment ref="F46" dT="2022-06-08T01:42:12.97" personId="{9D930204-1996-4D46-B572-0482FA368D30}" id="{FBF1A66E-0F35-4671-AF59-FF3B088CCF5D}">
    <text>Share-based compensation is included here, therefore not in corporate general and administrative</text>
  </threadedComment>
  <threadedComment ref="G46" dT="2022-06-08T01:19:21.93" personId="{9D930204-1996-4D46-B572-0482FA368D30}" id="{CCC15107-6A72-416E-8013-C6AF9026DF8A}">
    <text>2017-2018 no care and maintenance and severance costs</text>
  </threadedComment>
  <threadedComment ref="J46" dT="2022-06-08T01:13:23.47" personId="{9D930204-1996-4D46-B572-0482FA368D30}" id="{01924525-6612-4D5D-8582-A6C180B155EF}">
    <text>$870K severance costs, $1.136M care and maintenance costs</text>
  </threadedComment>
  <threadedComment ref="M46" dT="2022-06-08T01:26:01.35" personId="{9D930204-1996-4D46-B572-0482FA368D30}" id="{85E94866-E0A7-4CCC-B676-529FB56BB197}">
    <text>Assume quarterly $190K care and maintenance cost for El Compas, similar to 2021 and equal to Q1 2022</text>
  </threadedComment>
  <threadedComment ref="Q46" dT="2022-06-08T01:27:56.52" personId="{9D930204-1996-4D46-B572-0482FA368D30}" id="{B7DB6963-E3A9-492D-BA13-379B47C6B707}">
    <text>Assume that this is the last period with El Compas being on care and maintenance. Assume it gets shut down in H2 and therefore only care and maintenance cost for Q2 2023.</text>
  </threadedComment>
  <threadedComment ref="B53" dT="2022-06-09T13:09:17.11" personId="{9D930204-1996-4D46-B572-0482FA368D30}" id="{3E0D8E73-151B-43A0-9CAA-F8FFF0C34362}">
    <text>Weighted average statutory income tax rate</text>
  </threadedComment>
  <threadedComment ref="K53" dT="2022-06-09T22:03:30.86" personId="{9D930204-1996-4D46-B572-0482FA368D30}" id="{B0CCEA97-1CB4-484C-BDAE-8CBEE3DD5D27}">
    <text>Including special mining duty</text>
  </threadedComment>
  <threadedComment ref="B58" dT="2022-06-09T17:32:38.63" personId="{9D930204-1996-4D46-B572-0482FA368D30}" id="{BAFA70A3-AED3-41FB-B966-7B70E648B6E8}">
    <text>Including closure costs</text>
  </threadedComment>
</ThreadedComments>
</file>

<file path=xl/threadedComments/threadedComment2.xml><?xml version="1.0" encoding="utf-8"?>
<ThreadedComments xmlns="http://schemas.microsoft.com/office/spreadsheetml/2018/threadedcomments" xmlns:x="http://schemas.openxmlformats.org/spreadsheetml/2006/main">
  <threadedComment ref="F7" dT="2022-05-24T12:21:31.32" personId="{9D930204-1996-4D46-B572-0482FA368D30}" id="{4C58E792-A8F0-4A73-BD75-130A4A35A5F0}">
    <text>End of 2022 Q1</text>
  </threadedComment>
  <threadedComment ref="J14" dT="2022-06-02T18:50:09.33" personId="{9D930204-1996-4D46-B572-0482FA368D30}" id="{03C1B92E-CCFC-497D-8A9A-3ABCC01469B7}">
    <text>Average realized price</text>
  </threadedComment>
  <threadedComment ref="J18" dT="2022-05-24T12:32:19.58" personId="{9D930204-1996-4D46-B572-0482FA368D30}" id="{902085F7-7FC1-4B18-9526-0B8965B449B8}">
    <text>In the beginning of the quarter</text>
  </threadedComment>
  <threadedComment ref="L29" dT="2022-05-24T13:04:10.52" personId="{9D930204-1996-4D46-B572-0482FA368D30}" id="{317DF1D0-BBDF-48EE-84CA-EB31CA121AC5}">
    <text>Guidance said 1,165 but that has historically been a bit optimistic, so I think 1,150 tpd is more reasonable</text>
  </threadedComment>
  <threadedComment ref="B54" dT="2022-06-09T17:18:23.57" personId="{9D930204-1996-4D46-B572-0482FA368D30}" id="{016983C1-ACB6-4654-972A-6E2ABF5E4BA9}">
    <text>Gross sales</text>
  </threadedComment>
  <threadedComment ref="G55" dT="2022-06-09T17:22:01.60" personId="{9D930204-1996-4D46-B572-0482FA368D30}" id="{92A1C318-EFF5-4CD4-BB13-DEF77684B1C4}">
    <text>Net sales 2017-2019 (refining, smelting and transportation costs subtracted)</text>
  </threadedComment>
  <threadedComment ref="B64" dT="2022-05-28T14:25:30.54" personId="{9D930204-1996-4D46-B572-0482FA368D30}" id="{9EA59D34-3F44-4C99-9D87-98CDB270F4E9}">
    <text>Mining, processing, smelting, refining, transportation and selling costs, direct overhead costs</text>
  </threadedComment>
  <threadedComment ref="B66" dT="2022-05-28T13:39:02.74" personId="{9D930204-1996-4D46-B572-0482FA368D30}" id="{4E744F9A-1712-4188-86C0-21B508954A29}">
    <text>Cash cost per payable ounce of silver equivalent</text>
  </threadedComment>
  <threadedComment ref="B68" dT="2022-05-28T14:46:05.42" personId="{9D930204-1996-4D46-B572-0482FA368D30}" id="{97221998-982D-4A46-8BEA-3121162E6AEF}">
    <text>Kan vara bara för den enskilda gruvan eller centralt, tex Endeavour sprider ut sin corporate G&amp;A över alla gruvor medan Hochschild delar upp G&amp;A i corporate och vanlig, där den vanliga tillskrivs enskilda gruvor.</text>
  </threadedComment>
  <threadedComment ref="L69" dT="2022-06-02T18:16:19.67" personId="{9D930204-1996-4D46-B572-0482FA368D30}" id="{61D1BE3C-8671-4173-83EC-AA1DC75B76CC}">
    <text>From Guidance 2022</text>
  </threadedComment>
  <threadedComment ref="B70" dT="2022-05-28T14:53:07.18" personId="{9D930204-1996-4D46-B572-0482FA368D30}" id="{1F4352D2-59A6-4D74-B907-1A34A0399054}">
    <text>I Endeavours fall: Stock based compensation, intangible payments, equipment loan payments</text>
  </threadedComment>
  <threadedComment ref="F70" dT="2022-05-29T21:08:41.33" personId="{9D930204-1996-4D46-B572-0482FA368D30}" id="{F5CEF290-1B0C-493F-B8E4-ADC17BD66512}">
    <text>Does not include Intangible payments and Equipment loan payments, which cannot be found in the MD&amp;A of the year. Though they were zero for 2019 so perhaps  they did not exist before or they started to become recorded from 2020 and onwards.</text>
  </threadedComment>
  <threadedComment ref="B76" dT="2022-05-28T19:15:15.05" personId="{9D930204-1996-4D46-B572-0482FA368D30}" id="{56311A6B-BF49-4348-A17F-2D8942861AD5}">
    <text>12$/t plus sliding royalty on NSR value on silver</text>
  </threadedComment>
  <threadedComment ref="J76" dT="2022-06-01T20:42:55.89" personId="{9D930204-1996-4D46-B572-0482FA368D30}" id="{AF01FB2A-2E5B-4B7A-AF6B-56C5EDA13A7C}">
    <text>No data</text>
  </threadedComment>
  <threadedComment ref="B77" dT="2022-05-28T19:14:26.99" personId="{9D930204-1996-4D46-B572-0482FA368D30}" id="{95DE305B-8390-438F-858F-AEC72FC3600A}">
    <text>7.5% of EBITDA</text>
  </threadedComment>
  <threadedComment ref="G77" dT="2022-06-01T20:27:34.53" personId="{9D930204-1996-4D46-B572-0482FA368D30}" id="{70F9506A-1312-4442-A1F9-E8ED04D37B6C}">
    <text>No data 2017-2019</text>
  </threadedComment>
  <threadedComment ref="B78" dT="2022-05-28T19:14:39.58" personId="{9D930204-1996-4D46-B572-0482FA368D30}" id="{3D32255F-8128-45A1-BB09-0E3829E8D1CD}">
    <text>0.5% on sales</text>
  </threadedComment>
  <threadedComment ref="J78" dT="2022-06-01T20:40:48.85" personId="{9D930204-1996-4D46-B572-0482FA368D30}" id="{3A21AC70-E04D-4E94-B69E-4FE5689C2A43}">
    <text>No data</text>
  </threadedComment>
  <threadedComment ref="I83" dT="2022-06-01T21:53:03.55" personId="{9D930204-1996-4D46-B572-0482FA368D30}" id="{38F6D065-0D3F-433E-98D7-AC1DCAEDCC32}">
    <text>Includes the mining royalty and deferred income tax enpense</text>
  </threadedComment>
  <threadedComment ref="B87" dT="2022-05-30T22:28:32.17" personId="{9D930204-1996-4D46-B572-0482FA368D30}" id="{8129F3AE-BEEA-42B9-8481-256416A5578E}">
    <text>2091000 * 1.2 (2091000 is from the Technical report)</text>
  </threadedComment>
</ThreadedComments>
</file>

<file path=xl/threadedComments/threadedComment3.xml><?xml version="1.0" encoding="utf-8"?>
<ThreadedComments xmlns="http://schemas.microsoft.com/office/spreadsheetml/2018/threadedcomments" xmlns:x="http://schemas.openxmlformats.org/spreadsheetml/2006/main">
  <threadedComment ref="F7" dT="2022-05-24T12:21:31.32" personId="{9D930204-1996-4D46-B572-0482FA368D30}" id="{167B6703-20E7-4860-92EC-9B030B9901E3}">
    <text>End of 2022 Q1</text>
  </threadedComment>
  <threadedComment ref="J14" dT="2022-06-02T18:50:09.33" personId="{9D930204-1996-4D46-B572-0482FA368D30}" id="{1A20A62F-4375-4EFF-9747-8FDDD433ABDD}">
    <text>Average realized price</text>
  </threadedComment>
  <threadedComment ref="J18" dT="2022-06-02T23:21:19.99" personId="{9D930204-1996-4D46-B572-0482FA368D30}" id="{28C83DBE-8ABC-4A8A-812F-A0C804AF6E99}">
    <text>In the beginning of the quarter</text>
  </threadedComment>
  <threadedComment ref="L29" dT="2022-06-03T09:45:08.42" personId="{9D930204-1996-4D46-B572-0482FA368D30}" id="{55DFCB31-F367-4DE6-A733-025807E95F83}">
    <text>1,600 tpd capacity but only processing around 1,200 tdp or less. 1,080 tpd is guidance for 2022.</text>
  </threadedComment>
  <threadedComment ref="L31" dT="2022-06-03T11:24:47.19" personId="{9D930204-1996-4D46-B572-0482FA368D30}" id="{DB9EC9BF-9F4F-41BF-B30C-213CB77BFFB0}">
    <text>Guidance said similar grades as in 2021, but I believe in slightly higher grades as their probable resevers have higher grades.</text>
  </threadedComment>
  <threadedComment ref="L39" dT="2022-06-03T10:04:35.57" personId="{9D930204-1996-4D46-B572-0482FA368D30}" id="{3A27A682-FCD0-4D4B-AF38-2C0D6AEA7E0F}">
    <text>Guidance for 2022</text>
  </threadedComment>
  <threadedComment ref="O39" dT="2022-06-03T10:05:18.65" personId="{9D930204-1996-4D46-B572-0482FA368D30}" id="{29C8306A-FC4F-4422-BE76-402078723FB9}">
    <text>Conservative estimate that the recovery is getting a bit lower but higher than previous five years' average</text>
  </threadedComment>
  <threadedComment ref="B46" dT="2022-06-03T11:28:02.45" personId="{9D930204-1996-4D46-B572-0482FA368D30}" id="{F5A44405-992D-4237-9144-8E82E167C7B3}">
    <text>Concentrate production therefore lower payability</text>
  </threadedComment>
  <threadedComment ref="B54" dT="2022-06-07T12:43:51.99" personId="{9D930204-1996-4D46-B572-0482FA368D30}" id="{6E1556CB-B5B1-4B38-9F8E-B2798E8E1ACB}">
    <text>Gross sales, i.e. without deducting refinining, smelting and transportation costs</text>
  </threadedComment>
  <threadedComment ref="B64" dT="2022-05-28T14:25:30.54" personId="{9D930204-1996-4D46-B572-0482FA368D30}" id="{A81F1757-112C-4F19-AD69-EBC3843FFE03}">
    <text>Mining, processing, smelting, refining, transportation and selling costs, direct overhead costs (on-site general and administrative)</text>
  </threadedComment>
  <threadedComment ref="B66" dT="2022-05-28T13:39:02.74" personId="{9D930204-1996-4D46-B572-0482FA368D30}" id="{83D3B581-BC8A-443C-A19E-B8DF49079E3E}">
    <text>Cash cost per payable ounce of silver equivalent</text>
  </threadedComment>
  <threadedComment ref="B68" dT="2022-05-28T14:46:05.42" personId="{9D930204-1996-4D46-B572-0482FA368D30}" id="{5CBAA213-B177-4A52-9E54-73DF8E0631EF}">
    <text>Kan vara bara för den enskilda gruvan eller centralt, tex Endeavour sprider ut sin corporate G&amp;A över alla gruvor medan Hochschild delar upp G&amp;A i corporate och vanlig, där den vanliga tillskrivs enskilda gruvor.</text>
  </threadedComment>
  <threadedComment ref="B70" dT="2022-05-28T14:53:07.18" personId="{9D930204-1996-4D46-B572-0482FA368D30}" id="{02A4DEE6-7C8A-4605-AEB7-B3AC6DAE6D67}">
    <text>I Endeavours fall: Stock based compensation, intangible payments, equipment loan payments</text>
  </threadedComment>
  <threadedComment ref="J70" dT="2022-06-05T11:45:57.32" personId="{9D930204-1996-4D46-B572-0482FA368D30}" id="{80F59678-CD41-4531-9AFE-13469D191F2A}">
    <text>More equipment loans so higher equipment loan payments</text>
  </threadedComment>
  <threadedComment ref="B71" dT="2022-06-05T15:43:03.89" personId="{9D930204-1996-4D46-B572-0482FA368D30}" id="{3EE5952C-8540-4E92-A0C0-02EF8D1F78AF}">
    <text>0.76 is the average depreciation/capex ratio from 2017 to Q1 2022</text>
  </threadedComment>
  <threadedComment ref="B75" dT="2022-06-05T12:13:53.62" personId="{9D930204-1996-4D46-B572-0482FA368D30}" id="{40397A33-C559-48C3-94BE-198D14BFDACC}">
    <text>2% NSR Royalty on 4/26 concessions and they pay a small concession tax ($41K 2020), but these are negligible as their historic royalty have been around $200K-$250K</text>
  </threadedComment>
  <threadedComment ref="B76" dT="2022-05-28T19:14:26.99" personId="{9D930204-1996-4D46-B572-0482FA368D30}" id="{2A269C5D-EBB5-4926-A303-3CD18C3A2676}">
    <text>7.5% of EBITDA</text>
  </threadedComment>
  <threadedComment ref="G76" dT="2022-06-05T12:15:21.75" personId="{9D930204-1996-4D46-B572-0482FA368D30}" id="{43FA16BC-40DE-4361-8562-3DBFAE0C566C}">
    <text>No data 2019</text>
  </threadedComment>
  <threadedComment ref="B77" dT="2022-05-28T19:14:39.58" personId="{9D930204-1996-4D46-B572-0482FA368D30}" id="{FD56EA64-2BDD-4134-972B-94BCE5C9F0AA}">
    <text>0.5% on sales</text>
  </threadedComment>
  <threadedComment ref="B81" dT="2022-06-05T12:44:39.93" personId="{9D930204-1996-4D46-B572-0482FA368D30}" id="{4E27B9DC-5960-42FD-A832-87C5EEAD0767}">
    <text>Corporate tax rate in Mexico is 30%</text>
  </threadedComment>
  <threadedComment ref="J81" dT="2022-06-05T12:45:43.58" personId="{9D930204-1996-4D46-B572-0482FA368D30}" id="{0CCC7E6A-C38F-4B74-9C2E-6C6FCBA31CBA}">
    <text>Includes the mining royalties and deferred income taxes</text>
  </threadedComment>
  <threadedComment ref="B86" dT="2022-06-05T15:36:40.95" personId="{9D930204-1996-4D46-B572-0482FA368D30}" id="{CE6D4040-D611-4D54-9E93-E7B88B6E09FA}">
    <text>1,977,043 * 1.2 (1,977,043 is from the Technical Report)</text>
  </threadedComment>
</ThreadedComments>
</file>

<file path=xl/threadedComments/threadedComment4.xml><?xml version="1.0" encoding="utf-8"?>
<ThreadedComments xmlns="http://schemas.microsoft.com/office/spreadsheetml/2018/threadedcomments" xmlns:x="http://schemas.openxmlformats.org/spreadsheetml/2006/main">
  <threadedComment ref="E14" dT="2022-06-02T18:50:09.33" personId="{9D930204-1996-4D46-B572-0482FA368D30}" id="{3640AFC1-1942-494A-ACFF-A01E527DD512}">
    <text>Average realized price</text>
  </threadedComment>
  <threadedComment ref="K22" dT="2022-06-05T20:02:11.02" personId="{9D930204-1996-4D46-B572-0482FA368D30}" id="{F7D9B0AD-7E02-42E7-BE13-97925B8559AD}">
    <text>Fixed</text>
  </threadedComment>
  <threadedComment ref="B38" dT="2022-06-06T06:46:14.32" personId="{9D930204-1996-4D46-B572-0482FA368D30}" id="{1C20126C-0E7A-43A7-AEF2-D546CD28205E}">
    <text>Concentrate production so lower payability</text>
  </threadedComment>
  <threadedComment ref="B57" dT="2022-06-06T07:27:26.77" personId="{9D930204-1996-4D46-B572-0482FA368D30}" id="{818653AC-BB97-496F-9803-2E103BBF9613}">
    <text>For example: penalty for exceeding allowed arsenic levels in the produced concentrates</text>
  </threadedComment>
  <threadedComment ref="L63" dT="2022-06-06T10:23:16.04" personId="{9D930204-1996-4D46-B572-0482FA368D30}" id="{EA5A2A52-27F9-4CEF-B24D-AA18A63A24B6}">
    <text>Net operating earnings in the technical report are without depreciation and the numerator is the mining royalty (in the report) and the denominator is the royalty rate (7.5%).</text>
  </threadedComment>
  <threadedComment ref="B72" dT="2022-05-28T14:25:30.54" personId="{9D930204-1996-4D46-B572-0482FA368D30}" id="{98F928E8-7A02-4D81-BC93-5D88A4A0CB70}">
    <text>Mining, processing, smelting, refining, transportation and selling costs, direct overhead costs (on-site general and administrative)</text>
  </threadedComment>
  <threadedComment ref="B74" dT="2022-05-28T13:39:02.74" personId="{9D930204-1996-4D46-B572-0482FA368D30}" id="{D06F750A-F014-4B77-A2D4-2EB2ACED5B5B}">
    <text>Cash cost per payable ounce of silver equivalent</text>
  </threadedComment>
  <threadedComment ref="B76" dT="2022-06-05T12:13:53.62" personId="{9D930204-1996-4D46-B572-0482FA368D30}" id="{00A878FE-285E-4FA6-B757-E352CDB45876}">
    <text>2% NSR Royalty on 4/26 concessions and they pay a small concession tax ($41K 2020), but these are negligible as their historic royalty have been around $200K-$250K</text>
  </threadedComment>
  <threadedComment ref="B77" dT="2022-06-06T07:41:33.76" personId="{9D930204-1996-4D46-B572-0482FA368D30}" id="{F42D2039-D37D-42BE-9E6A-348A0DE3A114}">
    <text>2% of Net smelter return (NSR)</text>
  </threadedComment>
  <threadedComment ref="B78" dT="2022-05-28T19:14:26.99" personId="{9D930204-1996-4D46-B572-0482FA368D30}" id="{A954B980-EBF2-4623-BCB0-3103BA6470D9}">
    <text>7.5% of EBITDA</text>
  </threadedComment>
  <threadedComment ref="B79" dT="2022-05-28T19:14:39.58" personId="{9D930204-1996-4D46-B572-0482FA368D30}" id="{E1437A89-0AED-44DF-BD34-8A07CDF26DA3}">
    <text>0.5% on sales</text>
  </threadedComment>
</ThreadedComments>
</file>

<file path=xl/threadedComments/threadedComment5.xml><?xml version="1.0" encoding="utf-8"?>
<ThreadedComments xmlns="http://schemas.microsoft.com/office/spreadsheetml/2018/threadedcomments" xmlns:x="http://schemas.openxmlformats.org/spreadsheetml/2006/main">
  <threadedComment ref="B7" dT="2022-06-12T15:04:44.45" personId="{9D930204-1996-4D46-B572-0482FA368D30}" id="{3AA556D7-BCFB-4746-BB79-9376F2639D66}">
    <text>Weighted average interest rate</text>
  </threadedComment>
  <threadedComment ref="B8" dT="2022-06-12T15:04:47.70" personId="{9D930204-1996-4D46-B572-0482FA368D30}" id="{59434215-E7C5-4BD3-8A14-B4190217E7AE}">
    <text>Weighted average interest rate</text>
  </threadedComment>
  <threadedComment ref="B12" dT="2022-04-04T08:10:22.85" personId="{9D930204-1996-4D46-B572-0482FA368D30}" id="{E849ED32-5F66-4861-A553-1EEDC2B524DD}">
    <text>10 yr treasury yield</text>
  </threadedComment>
  <threadedComment ref="C18" dT="2022-06-02T20:04:31.85" personId="{9D930204-1996-4D46-B572-0482FA368D30}" id="{76C805CF-BFE8-4199-B0E4-7412EE8B473E}">
    <text>Since all their income is from Mexico and Mexico's tax corporate tax rate is 30%</text>
  </threadedComment>
</ThreadedComments>
</file>

<file path=xl/threadedComments/threadedComment6.xml><?xml version="1.0" encoding="utf-8"?>
<ThreadedComments xmlns="http://schemas.microsoft.com/office/spreadsheetml/2018/threadedcomments" xmlns:x="http://schemas.openxmlformats.org/spreadsheetml/2006/main">
  <threadedComment ref="A9" dT="2022-06-07T13:11:59.91" personId="{9D930204-1996-4D46-B572-0482FA368D30}" id="{7858B377-AD00-4AAA-96EA-86580304207C}">
    <text>Terronera</text>
  </threadedComment>
</ThreadedComments>
</file>

<file path=xl/threadedComments/threadedComment7.xml><?xml version="1.0" encoding="utf-8"?>
<ThreadedComments xmlns="http://schemas.microsoft.com/office/spreadsheetml/2018/threadedcomments" xmlns:x="http://schemas.openxmlformats.org/spreadsheetml/2006/main">
  <threadedComment ref="D2" dT="2022-06-11T12:22:10.28" personId="{9D930204-1996-4D46-B572-0482FA368D30}" id="{5CF4A114-9566-4564-A985-3B03E132CD8F}">
    <text>No data</text>
  </threadedComment>
  <threadedComment ref="K2" dT="2022-06-11T12:22:15.92" personId="{9D930204-1996-4D46-B572-0482FA368D30}" id="{E4CD2302-7296-461E-B606-D92BCCC678DD}">
    <text>No data</text>
  </threadedComment>
  <threadedComment ref="L2" dT="2022-06-11T12:06:56.49" personId="{9D930204-1996-4D46-B572-0482FA368D30}" id="{619347F8-E2EC-4E6C-B6BE-51F1342962D6}">
    <text>Covid-19 and ensuing production stopages caused lower production</text>
  </threadedComment>
  <threadedComment ref="C7" dT="2022-06-11T12:26:58.18" personId="{9D930204-1996-4D46-B572-0482FA368D30}" id="{265D1D85-7E90-4295-A6F9-05F1B280E207}">
    <text>Means production was lower than guidance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AAA3-3AB3-4E8D-82DC-05D5DF6987E8}">
  <dimension ref="A1:D16"/>
  <sheetViews>
    <sheetView showGridLines="0" zoomScale="160" zoomScaleNormal="160" workbookViewId="0">
      <selection activeCell="E10" sqref="E10"/>
    </sheetView>
  </sheetViews>
  <sheetFormatPr baseColWidth="10" defaultColWidth="9.140625" defaultRowHeight="15" x14ac:dyDescent="0.25"/>
  <cols>
    <col min="2" max="2" width="38.7109375" customWidth="1"/>
  </cols>
  <sheetData>
    <row r="1" spans="1:4" x14ac:dyDescent="0.25">
      <c r="B1" s="8" t="s">
        <v>106</v>
      </c>
    </row>
    <row r="2" spans="1:4" ht="21" customHeight="1" x14ac:dyDescent="0.35">
      <c r="A2" s="69"/>
      <c r="B2" s="69" t="s">
        <v>219</v>
      </c>
      <c r="C2" s="69"/>
      <c r="D2" s="69"/>
    </row>
    <row r="3" spans="1:4" x14ac:dyDescent="0.25">
      <c r="B3" t="s">
        <v>50</v>
      </c>
      <c r="C3" s="13" t="e">
        <f>'Central sheet '!I49/10^6</f>
        <v>#REF!</v>
      </c>
    </row>
    <row r="4" spans="1:4" x14ac:dyDescent="0.25">
      <c r="B4" t="s">
        <v>103</v>
      </c>
      <c r="C4" s="13">
        <f>SUM(WACC!C5:C6)</f>
        <v>13.302999999999999</v>
      </c>
    </row>
    <row r="5" spans="1:4" x14ac:dyDescent="0.25">
      <c r="B5" t="s">
        <v>220</v>
      </c>
      <c r="C5" s="13">
        <v>151.01400000000001</v>
      </c>
    </row>
    <row r="6" spans="1:4" x14ac:dyDescent="0.25">
      <c r="B6" t="s">
        <v>221</v>
      </c>
      <c r="C6" s="13">
        <f>C4-C5</f>
        <v>-137.71100000000001</v>
      </c>
    </row>
    <row r="7" spans="1:4" x14ac:dyDescent="0.25">
      <c r="B7" t="s">
        <v>222</v>
      </c>
      <c r="C7">
        <v>100</v>
      </c>
    </row>
    <row r="8" spans="1:4" ht="15.75" thickBot="1" x14ac:dyDescent="0.3">
      <c r="B8" s="29" t="s">
        <v>223</v>
      </c>
      <c r="C8" s="29">
        <v>20</v>
      </c>
    </row>
    <row r="9" spans="1:4" x14ac:dyDescent="0.25">
      <c r="B9" s="3" t="s">
        <v>224</v>
      </c>
      <c r="C9" s="68" t="e">
        <f>C3+SUM(C7:C8)</f>
        <v>#REF!</v>
      </c>
    </row>
    <row r="10" spans="1:4" x14ac:dyDescent="0.25">
      <c r="B10" s="3" t="s">
        <v>225</v>
      </c>
      <c r="C10" s="68" t="e">
        <f>C9-C6</f>
        <v>#REF!</v>
      </c>
    </row>
    <row r="11" spans="1:4" x14ac:dyDescent="0.25">
      <c r="B11" t="s">
        <v>226</v>
      </c>
      <c r="C11" s="13">
        <v>181.05</v>
      </c>
    </row>
    <row r="12" spans="1:4" x14ac:dyDescent="0.25">
      <c r="B12" t="s">
        <v>231</v>
      </c>
      <c r="C12" s="13">
        <f>C11+35/4.0805</f>
        <v>189.6273802230119</v>
      </c>
    </row>
    <row r="13" spans="1:4" x14ac:dyDescent="0.25">
      <c r="B13" t="s">
        <v>232</v>
      </c>
      <c r="C13" s="14" t="e">
        <f>C10/C12</f>
        <v>#REF!</v>
      </c>
    </row>
    <row r="14" spans="1:4" x14ac:dyDescent="0.25">
      <c r="B14" t="s">
        <v>227</v>
      </c>
      <c r="C14">
        <v>3.97</v>
      </c>
    </row>
    <row r="15" spans="1:4" x14ac:dyDescent="0.25">
      <c r="B15" t="s">
        <v>228</v>
      </c>
      <c r="C15" s="26" t="e">
        <f>C13/C14-1</f>
        <v>#REF!</v>
      </c>
    </row>
    <row r="16" spans="1:4" x14ac:dyDescent="0.25">
      <c r="B16" t="s">
        <v>229</v>
      </c>
      <c r="C16" s="26" t="e">
        <f>C14/C13-1</f>
        <v>#REF!</v>
      </c>
    </row>
  </sheetData>
  <pageMargins left="0.7" right="0.7" top="0.75" bottom="0.75" header="0.3" footer="0.3"/>
  <ignoredErrors>
    <ignoredError sqref="C4" formulaRange="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1CE52-9CD0-4413-B41D-E3716845DB6D}">
  <dimension ref="A1:AM49"/>
  <sheetViews>
    <sheetView showGridLines="0" tabSelected="1" zoomScale="93" zoomScaleNormal="93" workbookViewId="0">
      <selection activeCell="A2" sqref="A2:XFD2"/>
    </sheetView>
  </sheetViews>
  <sheetFormatPr baseColWidth="10" defaultColWidth="9.140625" defaultRowHeight="15" x14ac:dyDescent="0.25"/>
  <cols>
    <col min="1" max="1" width="40.5703125" customWidth="1"/>
    <col min="2" max="2" width="9.5703125" bestFit="1" customWidth="1"/>
    <col min="3" max="3" width="18.140625" bestFit="1" customWidth="1"/>
    <col min="4" max="4" width="17.28515625" bestFit="1" customWidth="1"/>
    <col min="5" max="7" width="13.85546875" bestFit="1" customWidth="1"/>
    <col min="8" max="8" width="14.7109375" bestFit="1" customWidth="1"/>
    <col min="9" max="9" width="14.7109375" customWidth="1"/>
    <col min="10" max="10" width="14.28515625" bestFit="1" customWidth="1"/>
    <col min="11" max="11" width="18.140625" bestFit="1" customWidth="1"/>
    <col min="12" max="12" width="17.42578125" bestFit="1" customWidth="1"/>
    <col min="13" max="13" width="12.7109375" bestFit="1" customWidth="1"/>
    <col min="14" max="14" width="12.140625" bestFit="1" customWidth="1"/>
    <col min="15" max="15" width="16" bestFit="1" customWidth="1"/>
    <col min="16" max="16" width="14.85546875" bestFit="1" customWidth="1"/>
    <col min="17" max="17" width="14.28515625" bestFit="1" customWidth="1"/>
    <col min="18" max="18" width="18.140625" bestFit="1" customWidth="1"/>
    <col min="19" max="19" width="17.42578125" bestFit="1" customWidth="1"/>
    <col min="20" max="25" width="11.5703125" bestFit="1" customWidth="1"/>
    <col min="26" max="26" width="10.5703125" bestFit="1" customWidth="1"/>
    <col min="27" max="27" width="9.5703125" bestFit="1" customWidth="1"/>
    <col min="28" max="34" width="8.85546875" bestFit="1" customWidth="1"/>
    <col min="35" max="36" width="8.85546875" customWidth="1"/>
  </cols>
  <sheetData>
    <row r="1" spans="1:39" x14ac:dyDescent="0.25">
      <c r="A1" s="6" t="s">
        <v>7</v>
      </c>
      <c r="B1" s="6" t="s">
        <v>8</v>
      </c>
      <c r="C1" s="6" t="s">
        <v>63</v>
      </c>
      <c r="D1" s="6" t="s">
        <v>10</v>
      </c>
      <c r="E1" s="6" t="s">
        <v>11</v>
      </c>
      <c r="F1" s="6" t="s">
        <v>12</v>
      </c>
      <c r="G1" s="6" t="s">
        <v>13</v>
      </c>
      <c r="H1" s="6" t="s">
        <v>55</v>
      </c>
      <c r="I1" s="6" t="s">
        <v>9</v>
      </c>
      <c r="J1" s="6" t="s">
        <v>56</v>
      </c>
      <c r="K1" s="6" t="s">
        <v>60</v>
      </c>
      <c r="L1" s="6" t="s">
        <v>61</v>
      </c>
      <c r="M1" s="6" t="s">
        <v>62</v>
      </c>
      <c r="N1" s="6" t="s">
        <v>57</v>
      </c>
      <c r="O1" s="6" t="s">
        <v>14</v>
      </c>
      <c r="P1" s="6" t="s">
        <v>15</v>
      </c>
      <c r="Q1" s="6" t="s">
        <v>16</v>
      </c>
      <c r="R1" s="6" t="s">
        <v>17</v>
      </c>
      <c r="S1" s="6" t="s">
        <v>18</v>
      </c>
      <c r="T1" s="6" t="s">
        <v>58</v>
      </c>
      <c r="U1" s="6" t="s">
        <v>59</v>
      </c>
      <c r="V1" s="6" t="s">
        <v>115</v>
      </c>
      <c r="W1" s="6" t="s">
        <v>116</v>
      </c>
      <c r="X1" s="6" t="s">
        <v>117</v>
      </c>
      <c r="Y1" s="6" t="s">
        <v>118</v>
      </c>
      <c r="Z1" s="6" t="s">
        <v>120</v>
      </c>
      <c r="AA1" s="6" t="s">
        <v>121</v>
      </c>
      <c r="AB1" s="6" t="s">
        <v>122</v>
      </c>
      <c r="AC1" s="6" t="s">
        <v>123</v>
      </c>
      <c r="AD1" s="6" t="s">
        <v>124</v>
      </c>
      <c r="AE1" s="6" t="s">
        <v>125</v>
      </c>
      <c r="AF1" s="6" t="s">
        <v>126</v>
      </c>
      <c r="AG1" s="6" t="s">
        <v>127</v>
      </c>
      <c r="AH1" s="6" t="s">
        <v>128</v>
      </c>
      <c r="AI1" s="6" t="s">
        <v>129</v>
      </c>
      <c r="AJ1" s="6" t="s">
        <v>130</v>
      </c>
      <c r="AK1" s="6" t="s">
        <v>131</v>
      </c>
      <c r="AL1" s="6"/>
      <c r="AM1" s="6"/>
    </row>
    <row r="2" spans="1:39" ht="15.75" thickBot="1" x14ac:dyDescent="0.3">
      <c r="A2" s="7" t="s">
        <v>19</v>
      </c>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39" x14ac:dyDescent="0.25">
      <c r="A3" t="s">
        <v>53</v>
      </c>
      <c r="B3" t="s">
        <v>20</v>
      </c>
      <c r="C3">
        <v>17.239999999999998</v>
      </c>
      <c r="D3">
        <v>15.65</v>
      </c>
      <c r="E3">
        <v>16.29</v>
      </c>
      <c r="F3" s="14">
        <v>21.6</v>
      </c>
      <c r="G3">
        <v>25.22</v>
      </c>
      <c r="H3">
        <v>24.38</v>
      </c>
      <c r="I3" s="45">
        <f>AVERAGE(J3:AJ3)</f>
        <v>24.703703703703702</v>
      </c>
      <c r="J3" s="35">
        <v>22</v>
      </c>
      <c r="K3" s="35">
        <v>22</v>
      </c>
      <c r="L3" s="40">
        <v>23</v>
      </c>
      <c r="M3" s="35">
        <v>25</v>
      </c>
      <c r="N3" s="35">
        <f>M3</f>
        <v>25</v>
      </c>
      <c r="O3" s="35">
        <f t="shared" ref="O3:T4" si="0">N3</f>
        <v>25</v>
      </c>
      <c r="P3" s="35">
        <f t="shared" si="0"/>
        <v>25</v>
      </c>
      <c r="Q3" s="35">
        <f t="shared" si="0"/>
        <v>25</v>
      </c>
      <c r="R3" s="35">
        <f t="shared" si="0"/>
        <v>25</v>
      </c>
      <c r="S3" s="35">
        <f t="shared" si="0"/>
        <v>25</v>
      </c>
      <c r="T3" s="35">
        <f t="shared" si="0"/>
        <v>25</v>
      </c>
      <c r="U3" s="35">
        <f t="shared" ref="U3:U4" si="1">T3</f>
        <v>25</v>
      </c>
      <c r="V3" s="35">
        <f t="shared" ref="V3:V4" si="2">U3</f>
        <v>25</v>
      </c>
      <c r="W3" s="35">
        <f t="shared" ref="W3:W4" si="3">V3</f>
        <v>25</v>
      </c>
      <c r="X3" s="35">
        <f t="shared" ref="X3:X4" si="4">W3</f>
        <v>25</v>
      </c>
      <c r="Y3" s="35">
        <f t="shared" ref="Y3:Y4" si="5">X3</f>
        <v>25</v>
      </c>
      <c r="Z3" s="35">
        <f t="shared" ref="Z3:Z4" si="6">Y3</f>
        <v>25</v>
      </c>
      <c r="AA3" s="35">
        <f t="shared" ref="AA3:AA4" si="7">Z3</f>
        <v>25</v>
      </c>
      <c r="AB3" s="35">
        <f t="shared" ref="AB3:AB4" si="8">AA3</f>
        <v>25</v>
      </c>
      <c r="AC3" s="35">
        <f t="shared" ref="AC3:AC4" si="9">AB3</f>
        <v>25</v>
      </c>
      <c r="AD3" s="35">
        <f t="shared" ref="AD3:AD4" si="10">AC3</f>
        <v>25</v>
      </c>
      <c r="AE3" s="35">
        <f t="shared" ref="AE3:AE4" si="11">AD3</f>
        <v>25</v>
      </c>
      <c r="AF3" s="35">
        <f t="shared" ref="AF3:AF4" si="12">AE3</f>
        <v>25</v>
      </c>
      <c r="AG3" s="35">
        <f t="shared" ref="AG3:AG4" si="13">AF3</f>
        <v>25</v>
      </c>
      <c r="AH3" s="35">
        <f t="shared" ref="AH3:AH4" si="14">AG3</f>
        <v>25</v>
      </c>
      <c r="AI3" s="35">
        <f t="shared" ref="AI3:AI4" si="15">AH3</f>
        <v>25</v>
      </c>
      <c r="AJ3" s="35">
        <f t="shared" ref="AJ3:AJ4" si="16">AI3</f>
        <v>25</v>
      </c>
      <c r="AK3" s="35"/>
    </row>
    <row r="4" spans="1:39" x14ac:dyDescent="0.25">
      <c r="A4" t="s">
        <v>54</v>
      </c>
      <c r="B4" t="s">
        <v>20</v>
      </c>
      <c r="C4" s="10">
        <v>1285</v>
      </c>
      <c r="D4" s="10">
        <v>1267</v>
      </c>
      <c r="E4" s="10">
        <v>1422</v>
      </c>
      <c r="F4" s="10">
        <v>1846</v>
      </c>
      <c r="G4" s="10">
        <v>1790</v>
      </c>
      <c r="H4" s="10">
        <v>1970</v>
      </c>
      <c r="I4" s="47">
        <f>AVERAGE(J4:AJ4)</f>
        <v>1760</v>
      </c>
      <c r="J4" s="36">
        <v>1870</v>
      </c>
      <c r="K4" s="36">
        <v>1850</v>
      </c>
      <c r="L4" s="36">
        <v>1800</v>
      </c>
      <c r="M4" s="36">
        <f>1750</f>
        <v>1750</v>
      </c>
      <c r="N4" s="36">
        <f>M4</f>
        <v>1750</v>
      </c>
      <c r="O4" s="36">
        <f t="shared" si="0"/>
        <v>1750</v>
      </c>
      <c r="P4" s="36">
        <f t="shared" si="0"/>
        <v>1750</v>
      </c>
      <c r="Q4" s="36">
        <f t="shared" si="0"/>
        <v>1750</v>
      </c>
      <c r="R4" s="36">
        <f t="shared" si="0"/>
        <v>1750</v>
      </c>
      <c r="S4" s="36">
        <f t="shared" si="0"/>
        <v>1750</v>
      </c>
      <c r="T4" s="36">
        <f t="shared" si="0"/>
        <v>1750</v>
      </c>
      <c r="U4" s="36">
        <f t="shared" si="1"/>
        <v>1750</v>
      </c>
      <c r="V4" s="36">
        <f t="shared" si="2"/>
        <v>1750</v>
      </c>
      <c r="W4" s="36">
        <f t="shared" si="3"/>
        <v>1750</v>
      </c>
      <c r="X4" s="36">
        <f t="shared" si="4"/>
        <v>1750</v>
      </c>
      <c r="Y4" s="36">
        <f t="shared" si="5"/>
        <v>1750</v>
      </c>
      <c r="Z4" s="36">
        <f t="shared" si="6"/>
        <v>1750</v>
      </c>
      <c r="AA4" s="36">
        <f t="shared" si="7"/>
        <v>1750</v>
      </c>
      <c r="AB4" s="36">
        <f t="shared" si="8"/>
        <v>1750</v>
      </c>
      <c r="AC4" s="36">
        <f t="shared" si="9"/>
        <v>1750</v>
      </c>
      <c r="AD4" s="36">
        <f t="shared" si="10"/>
        <v>1750</v>
      </c>
      <c r="AE4" s="36">
        <f t="shared" si="11"/>
        <v>1750</v>
      </c>
      <c r="AF4" s="36">
        <f t="shared" si="12"/>
        <v>1750</v>
      </c>
      <c r="AG4" s="36">
        <f t="shared" si="13"/>
        <v>1750</v>
      </c>
      <c r="AH4" s="36">
        <f t="shared" si="14"/>
        <v>1750</v>
      </c>
      <c r="AI4" s="36">
        <f t="shared" si="15"/>
        <v>1750</v>
      </c>
      <c r="AJ4" s="36">
        <f t="shared" si="16"/>
        <v>1750</v>
      </c>
      <c r="AK4" s="36"/>
    </row>
    <row r="5" spans="1:39" ht="15.75" thickBot="1" x14ac:dyDescent="0.3">
      <c r="A5" s="7" t="s">
        <v>156</v>
      </c>
      <c r="I5" s="49"/>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row>
    <row r="6" spans="1:39" x14ac:dyDescent="0.25">
      <c r="A6" t="s">
        <v>157</v>
      </c>
      <c r="B6" t="s">
        <v>22</v>
      </c>
      <c r="H6" s="26"/>
      <c r="I6" s="53"/>
      <c r="J6" s="44" t="e">
        <f>('DCF Guanacevi'!L18+'DCF Guanacevi'!L19+'DCF Bolanitos'!L18+'DCF Bolanitos'!L19+'DCF Terronera'!G18)/#REF!</f>
        <v>#REF!</v>
      </c>
      <c r="K6" s="44" t="e">
        <f>('DCF Guanacevi'!M18+'DCF Guanacevi'!M19+'DCF Bolanitos'!M18+'DCF Bolanitos'!M19+'DCF Terronera'!H18)/#REF!</f>
        <v>#REF!</v>
      </c>
      <c r="L6" s="44" t="e">
        <f>('DCF Guanacevi'!N18+'DCF Guanacevi'!N19+'DCF Bolanitos'!N18+'DCF Bolanitos'!N19+'DCF Terronera'!I18)/#REF!</f>
        <v>#REF!</v>
      </c>
      <c r="M6" s="44" t="e">
        <f>('DCF Guanacevi'!O18+'DCF Guanacevi'!O19+'DCF Bolanitos'!O18+'DCF Bolanitos'!O19+'DCF Terronera'!J18)/#REF!</f>
        <v>#REF!</v>
      </c>
      <c r="N6" s="44" t="e">
        <f>('DCF Guanacevi'!P18+'DCF Guanacevi'!P19+'DCF Bolanitos'!P18+'DCF Bolanitos'!P19+'DCF Terronera'!K18)/#REF!</f>
        <v>#REF!</v>
      </c>
      <c r="O6" s="44" t="e">
        <f>('DCF Guanacevi'!Q18+'DCF Guanacevi'!Q19+'DCF Bolanitos'!Q18+'DCF Bolanitos'!Q19+'DCF Terronera'!L18)/#REF!</f>
        <v>#REF!</v>
      </c>
      <c r="P6" s="44" t="e">
        <f>('DCF Guanacevi'!R18+'DCF Guanacevi'!R19+'DCF Bolanitos'!R18+'DCF Bolanitos'!R19+'DCF Terronera'!M18)/#REF!</f>
        <v>#REF!</v>
      </c>
      <c r="Q6" s="44" t="e">
        <f>('DCF Guanacevi'!S18+'DCF Guanacevi'!S19+'DCF Bolanitos'!S18+'DCF Bolanitos'!S19+'DCF Terronera'!N18)/#REF!</f>
        <v>#REF!</v>
      </c>
      <c r="R6" s="44" t="e">
        <f>('DCF Guanacevi'!T18+'DCF Guanacevi'!T19+'DCF Bolanitos'!T18+'DCF Bolanitos'!T19+'DCF Terronera'!O18)/#REF!</f>
        <v>#REF!</v>
      </c>
      <c r="S6" s="44" t="e">
        <f>('DCF Guanacevi'!U18+'DCF Guanacevi'!U19+'DCF Bolanitos'!U18+'DCF Bolanitos'!U19+'DCF Terronera'!P18)/#REF!</f>
        <v>#REF!</v>
      </c>
      <c r="T6" s="44" t="e">
        <f>('DCF Guanacevi'!V18+'DCF Guanacevi'!V19+'DCF Bolanitos'!V18+'DCF Bolanitos'!V19+'DCF Terronera'!Q18)/#REF!</f>
        <v>#REF!</v>
      </c>
      <c r="U6" s="44" t="e">
        <f>('DCF Guanacevi'!W18+'DCF Guanacevi'!W19+'DCF Bolanitos'!W18+'DCF Bolanitos'!W19+'DCF Terronera'!R18)/#REF!</f>
        <v>#REF!</v>
      </c>
      <c r="V6" s="44" t="e">
        <f>('DCF Guanacevi'!X18+'DCF Guanacevi'!X19+'DCF Bolanitos'!X18+'DCF Bolanitos'!X19+'DCF Terronera'!S18)/#REF!</f>
        <v>#REF!</v>
      </c>
      <c r="W6" s="44" t="e">
        <f>('DCF Guanacevi'!Y18+'DCF Guanacevi'!Y19+'DCF Bolanitos'!Y18+'DCF Bolanitos'!Y19+'DCF Terronera'!T18)/#REF!</f>
        <v>#REF!</v>
      </c>
      <c r="X6" s="44" t="e">
        <f>('DCF Guanacevi'!Z18+'DCF Guanacevi'!Z19+'DCF Bolanitos'!Z18+'DCF Bolanitos'!Z19+'DCF Terronera'!U18)/#REF!</f>
        <v>#REF!</v>
      </c>
      <c r="Y6" s="44" t="e">
        <f>('DCF Guanacevi'!AA18+'DCF Guanacevi'!AA19+'DCF Bolanitos'!AA18+'DCF Bolanitos'!AA19+'DCF Terronera'!V18)/#REF!</f>
        <v>#REF!</v>
      </c>
      <c r="Z6" s="44" t="e">
        <f>('DCF Guanacevi'!AB18+'DCF Guanacevi'!AB19+'DCF Bolanitos'!AB18+'DCF Bolanitos'!AB19+'DCF Terronera'!W18)/#REF!</f>
        <v>#REF!</v>
      </c>
      <c r="AA6" s="44" t="e">
        <f>('DCF Guanacevi'!AC18+'DCF Guanacevi'!AC19+'DCF Bolanitos'!AC18+'DCF Bolanitos'!AC19+'DCF Terronera'!X18)/#REF!</f>
        <v>#REF!</v>
      </c>
      <c r="AB6" s="44" t="e">
        <f>('DCF Guanacevi'!AD18+'DCF Guanacevi'!AD19+'DCF Bolanitos'!AD18+'DCF Bolanitos'!AD19+'DCF Terronera'!Y18)/#REF!</f>
        <v>#REF!</v>
      </c>
      <c r="AC6" s="44" t="e">
        <f>('DCF Guanacevi'!AE18+'DCF Guanacevi'!AE19+'DCF Bolanitos'!AE18+'DCF Bolanitos'!AE19+'DCF Terronera'!Z18)/#REF!</f>
        <v>#REF!</v>
      </c>
      <c r="AD6" s="44" t="e">
        <f>('DCF Guanacevi'!AF18+'DCF Guanacevi'!AF19+'DCF Bolanitos'!AF18+'DCF Bolanitos'!AF19+'DCF Terronera'!AA18)/#REF!</f>
        <v>#REF!</v>
      </c>
      <c r="AE6" s="44" t="e">
        <f>('DCF Guanacevi'!AG18+'DCF Guanacevi'!AG19+'DCF Bolanitos'!AG18+'DCF Bolanitos'!AG19+'DCF Terronera'!AB18)/#REF!</f>
        <v>#REF!</v>
      </c>
      <c r="AF6" s="44" t="e">
        <f>('DCF Guanacevi'!AH18+'DCF Guanacevi'!AH19+'DCF Bolanitos'!AH18+'DCF Bolanitos'!AH19+'DCF Terronera'!AC18)/#REF!</f>
        <v>#REF!</v>
      </c>
      <c r="AG6" s="44" t="e">
        <f>('DCF Guanacevi'!AI18+'DCF Guanacevi'!AI19+'DCF Bolanitos'!AI18+'DCF Bolanitos'!AI19+'DCF Terronera'!AD18)/#REF!</f>
        <v>#REF!</v>
      </c>
      <c r="AH6" s="44" t="e">
        <f>('DCF Guanacevi'!AJ18+'DCF Guanacevi'!AJ19+'DCF Bolanitos'!AJ18+'DCF Bolanitos'!AJ19+'DCF Terronera'!AE18)/#REF!</f>
        <v>#REF!</v>
      </c>
      <c r="AI6" s="44" t="e">
        <f>('DCF Guanacevi'!AK18+'DCF Guanacevi'!AK19+'DCF Bolanitos'!AK18+'DCF Bolanitos'!AK19+'DCF Terronera'!AF18)/#REF!</f>
        <v>#REF!</v>
      </c>
      <c r="AJ6" s="44" t="e">
        <f>('DCF Guanacevi'!AL18+'DCF Guanacevi'!AL19+'DCF Bolanitos'!AL18+'DCF Bolanitos'!AL19+'DCF Terronera'!AG18)/#REF!</f>
        <v>#REF!</v>
      </c>
      <c r="AK6" s="35"/>
    </row>
    <row r="7" spans="1:39" x14ac:dyDescent="0.25">
      <c r="A7" t="s">
        <v>158</v>
      </c>
      <c r="B7" t="s">
        <v>22</v>
      </c>
      <c r="H7" s="9"/>
      <c r="I7" s="56"/>
      <c r="J7" s="44" t="e">
        <f>('DCF Guanacevi'!L22+'DCF Guanacevi'!L23+'DCF Bolanitos'!L22+'DCF Bolanitos'!L23)/#REF!</f>
        <v>#REF!</v>
      </c>
      <c r="K7" s="44" t="e">
        <f>('DCF Guanacevi'!M22+'DCF Guanacevi'!M23+'DCF Bolanitos'!M22+'DCF Bolanitos'!M23)/#REF!</f>
        <v>#REF!</v>
      </c>
      <c r="L7" s="44" t="e">
        <f>('DCF Guanacevi'!N22+'DCF Guanacevi'!N23+'DCF Bolanitos'!N22+'DCF Bolanitos'!N23)/#REF!</f>
        <v>#REF!</v>
      </c>
      <c r="M7" s="44" t="e">
        <f>('DCF Guanacevi'!O22+'DCF Guanacevi'!O23+'DCF Bolanitos'!O22+'DCF Bolanitos'!O23)/#REF!</f>
        <v>#REF!</v>
      </c>
      <c r="N7" s="44" t="e">
        <f>('DCF Guanacevi'!P22+'DCF Guanacevi'!P23+'DCF Bolanitos'!P22+'DCF Bolanitos'!P23)/#REF!</f>
        <v>#REF!</v>
      </c>
      <c r="O7" s="44" t="e">
        <f>('DCF Guanacevi'!Q22+'DCF Guanacevi'!Q23+'DCF Bolanitos'!Q22+'DCF Bolanitos'!Q23)/#REF!</f>
        <v>#REF!</v>
      </c>
      <c r="P7" s="44" t="e">
        <f>('DCF Guanacevi'!R22+'DCF Guanacevi'!R23+'DCF Bolanitos'!R22+'DCF Bolanitos'!R23)/#REF!</f>
        <v>#REF!</v>
      </c>
      <c r="Q7" s="44" t="e">
        <f>('DCF Guanacevi'!S22+'DCF Guanacevi'!S23+'DCF Bolanitos'!S22+'DCF Bolanitos'!S23)/#REF!</f>
        <v>#REF!</v>
      </c>
      <c r="R7" s="44" t="e">
        <f>('DCF Guanacevi'!T22+'DCF Guanacevi'!T23+'DCF Bolanitos'!T22+'DCF Bolanitos'!T23)/#REF!</f>
        <v>#REF!</v>
      </c>
      <c r="S7" s="44" t="e">
        <f>('DCF Guanacevi'!U22+'DCF Guanacevi'!U23+'DCF Bolanitos'!U22+'DCF Bolanitos'!U23)/#REF!</f>
        <v>#REF!</v>
      </c>
      <c r="T7" s="44" t="e">
        <f>('DCF Guanacevi'!V22+'DCF Guanacevi'!V23+'DCF Bolanitos'!V22+'DCF Bolanitos'!V23)/#REF!</f>
        <v>#REF!</v>
      </c>
      <c r="U7" s="44" t="e">
        <f>('DCF Guanacevi'!W22+'DCF Guanacevi'!W23+'DCF Bolanitos'!W22+'DCF Bolanitos'!W23)/#REF!</f>
        <v>#REF!</v>
      </c>
      <c r="V7" s="44" t="e">
        <f>('DCF Guanacevi'!X22+'DCF Guanacevi'!X23+'DCF Bolanitos'!X22+'DCF Bolanitos'!X23)/#REF!</f>
        <v>#REF!</v>
      </c>
      <c r="W7" s="44" t="e">
        <f>('DCF Guanacevi'!Y22+'DCF Guanacevi'!Y23+'DCF Bolanitos'!Y22+'DCF Bolanitos'!Y23)/#REF!</f>
        <v>#REF!</v>
      </c>
      <c r="X7" s="44" t="e">
        <f>('DCF Guanacevi'!Z22+'DCF Guanacevi'!Z23+'DCF Bolanitos'!Z22+'DCF Bolanitos'!Z23)/#REF!</f>
        <v>#REF!</v>
      </c>
      <c r="Y7" s="44" t="e">
        <f>('DCF Guanacevi'!AA22+'DCF Guanacevi'!AA23+'DCF Bolanitos'!AA22+'DCF Bolanitos'!AA23)/#REF!</f>
        <v>#REF!</v>
      </c>
      <c r="Z7" s="44" t="e">
        <f>('DCF Guanacevi'!AB22+'DCF Guanacevi'!AB23+'DCF Bolanitos'!AB22+'DCF Bolanitos'!AB23)/#REF!</f>
        <v>#REF!</v>
      </c>
      <c r="AA7" s="44" t="e">
        <f>('DCF Guanacevi'!AC22+'DCF Guanacevi'!AC23+'DCF Bolanitos'!AC22+'DCF Bolanitos'!AC23)/#REF!</f>
        <v>#REF!</v>
      </c>
      <c r="AB7" s="44" t="e">
        <f>('DCF Guanacevi'!AD22+'DCF Guanacevi'!AD23+'DCF Bolanitos'!AD22+'DCF Bolanitos'!AD23)/#REF!</f>
        <v>#REF!</v>
      </c>
      <c r="AC7" s="44" t="e">
        <f>('DCF Guanacevi'!AE22+'DCF Guanacevi'!AE23+'DCF Bolanitos'!AE22+'DCF Bolanitos'!AE23)/#REF!</f>
        <v>#REF!</v>
      </c>
      <c r="AD7" s="44" t="e">
        <f>('DCF Guanacevi'!AF22+'DCF Guanacevi'!AF23+'DCF Bolanitos'!AF22+'DCF Bolanitos'!AF23)/#REF!</f>
        <v>#REF!</v>
      </c>
      <c r="AE7" s="44" t="e">
        <f>('DCF Guanacevi'!AG22+'DCF Guanacevi'!AG23+'DCF Bolanitos'!AG22+'DCF Bolanitos'!AG23)/#REF!</f>
        <v>#REF!</v>
      </c>
      <c r="AF7" s="44" t="e">
        <f>('DCF Guanacevi'!AH22+'DCF Guanacevi'!AH23+'DCF Bolanitos'!AH22+'DCF Bolanitos'!AH23)/#REF!</f>
        <v>#REF!</v>
      </c>
      <c r="AG7" s="44" t="e">
        <f>('DCF Guanacevi'!AI22+'DCF Guanacevi'!AI23+'DCF Bolanitos'!AI22+'DCF Bolanitos'!AI23)/#REF!</f>
        <v>#REF!</v>
      </c>
      <c r="AH7" s="44" t="e">
        <f>('DCF Guanacevi'!AJ22+'DCF Guanacevi'!AJ23+'DCF Bolanitos'!AJ22+'DCF Bolanitos'!AJ23)/#REF!</f>
        <v>#REF!</v>
      </c>
      <c r="AI7" s="44" t="e">
        <f>('DCF Guanacevi'!AK22+'DCF Guanacevi'!AK23+'DCF Bolanitos'!AK22+'DCF Bolanitos'!AK23)/#REF!</f>
        <v>#REF!</v>
      </c>
      <c r="AJ7" s="44" t="e">
        <f>('DCF Guanacevi'!AL22+'DCF Guanacevi'!AL23+'DCF Bolanitos'!AL22+'DCF Bolanitos'!AL23)/#REF!</f>
        <v>#REF!</v>
      </c>
      <c r="AK7" s="35"/>
    </row>
    <row r="8" spans="1:39" x14ac:dyDescent="0.25">
      <c r="A8" t="s">
        <v>159</v>
      </c>
      <c r="B8" t="s">
        <v>22</v>
      </c>
      <c r="H8" s="9"/>
      <c r="I8" s="56"/>
      <c r="J8" s="55" t="e">
        <f>('DCF Guanacevi'!L26+'DCF Bolanitos'!L26)/#REF!</f>
        <v>#REF!</v>
      </c>
      <c r="K8" s="55" t="e">
        <f>('DCF Guanacevi'!M26+'DCF Bolanitos'!M26)/#REF!</f>
        <v>#REF!</v>
      </c>
      <c r="L8" s="55" t="e">
        <f>('DCF Guanacevi'!N26+'DCF Bolanitos'!N26)/#REF!</f>
        <v>#REF!</v>
      </c>
      <c r="M8" s="55" t="e">
        <f>('DCF Guanacevi'!O26+'DCF Bolanitos'!O26)/#REF!</f>
        <v>#REF!</v>
      </c>
      <c r="N8" s="55" t="e">
        <f>('DCF Guanacevi'!P26+'DCF Bolanitos'!P26)/#REF!</f>
        <v>#REF!</v>
      </c>
      <c r="O8" s="55" t="e">
        <f>('DCF Guanacevi'!Q26+'DCF Bolanitos'!Q26)/#REF!</f>
        <v>#REF!</v>
      </c>
      <c r="P8" s="55" t="e">
        <f>('DCF Guanacevi'!R26+'DCF Bolanitos'!R26)/#REF!</f>
        <v>#REF!</v>
      </c>
      <c r="Q8" s="55" t="e">
        <f>('DCF Guanacevi'!S26+'DCF Bolanitos'!S26)/#REF!</f>
        <v>#REF!</v>
      </c>
      <c r="R8" s="55" t="e">
        <f>('DCF Guanacevi'!T26+'DCF Bolanitos'!T26)/#REF!</f>
        <v>#REF!</v>
      </c>
      <c r="S8" s="55" t="e">
        <f>('DCF Guanacevi'!U26+'DCF Bolanitos'!U26)/#REF!</f>
        <v>#REF!</v>
      </c>
      <c r="T8" s="55" t="e">
        <f>('DCF Guanacevi'!V26+'DCF Bolanitos'!V26)/#REF!</f>
        <v>#REF!</v>
      </c>
      <c r="U8" s="55" t="e">
        <f>('DCF Guanacevi'!W26+'DCF Bolanitos'!W26)/#REF!</f>
        <v>#REF!</v>
      </c>
      <c r="V8" s="55" t="e">
        <f>('DCF Guanacevi'!X26+'DCF Bolanitos'!X26)/#REF!</f>
        <v>#REF!</v>
      </c>
      <c r="W8" s="55" t="e">
        <f>('DCF Guanacevi'!Y26+'DCF Bolanitos'!Y26)/#REF!</f>
        <v>#REF!</v>
      </c>
      <c r="X8" s="55" t="e">
        <f>('DCF Guanacevi'!Z26+'DCF Bolanitos'!Z26)/#REF!</f>
        <v>#REF!</v>
      </c>
      <c r="Y8" s="55" t="e">
        <f>('DCF Guanacevi'!AA26+'DCF Bolanitos'!AA26)/#REF!</f>
        <v>#REF!</v>
      </c>
      <c r="Z8" s="55" t="e">
        <f>('DCF Guanacevi'!AB26+'DCF Bolanitos'!AB26)/#REF!</f>
        <v>#REF!</v>
      </c>
      <c r="AA8" s="55" t="e">
        <f>('DCF Guanacevi'!AC26+'DCF Bolanitos'!AC26)/#REF!</f>
        <v>#REF!</v>
      </c>
      <c r="AB8" s="55" t="e">
        <f>('DCF Guanacevi'!AD26+'DCF Bolanitos'!AD26)/#REF!</f>
        <v>#REF!</v>
      </c>
      <c r="AC8" s="55" t="e">
        <f>('DCF Guanacevi'!AE26+'DCF Bolanitos'!AE26)/#REF!</f>
        <v>#REF!</v>
      </c>
      <c r="AD8" s="55" t="e">
        <f>('DCF Guanacevi'!AF26+'DCF Bolanitos'!AF26)/#REF!</f>
        <v>#REF!</v>
      </c>
      <c r="AE8" s="55" t="e">
        <f>('DCF Guanacevi'!AG26+'DCF Bolanitos'!AG26)/#REF!</f>
        <v>#REF!</v>
      </c>
      <c r="AF8" s="55" t="e">
        <f>('DCF Guanacevi'!AH26+'DCF Bolanitos'!AH26)/#REF!</f>
        <v>#REF!</v>
      </c>
      <c r="AG8" s="55" t="e">
        <f>('DCF Guanacevi'!AI26+'DCF Bolanitos'!AI26)/#REF!</f>
        <v>#REF!</v>
      </c>
      <c r="AH8" s="55" t="e">
        <f>('DCF Guanacevi'!AJ26+'DCF Bolanitos'!AJ26)/#REF!</f>
        <v>#REF!</v>
      </c>
      <c r="AI8" s="55" t="e">
        <f>('DCF Guanacevi'!AK26+'DCF Bolanitos'!AK26)/#REF!</f>
        <v>#REF!</v>
      </c>
      <c r="AJ8" s="55" t="e">
        <f>('DCF Guanacevi'!AL26+'DCF Bolanitos'!AL26)/#REF!</f>
        <v>#REF!</v>
      </c>
      <c r="AK8" s="35"/>
    </row>
    <row r="9" spans="1:39" ht="15.75" thickBot="1" x14ac:dyDescent="0.3">
      <c r="A9" s="7" t="s">
        <v>164</v>
      </c>
      <c r="I9" s="49"/>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row>
    <row r="10" spans="1:39" x14ac:dyDescent="0.25">
      <c r="A10" t="s">
        <v>34</v>
      </c>
      <c r="B10" t="s">
        <v>35</v>
      </c>
      <c r="C10" s="10">
        <v>1279873</v>
      </c>
      <c r="D10" s="10">
        <v>1266831</v>
      </c>
      <c r="E10" s="10">
        <v>954886</v>
      </c>
      <c r="F10" s="10">
        <v>757160</v>
      </c>
      <c r="G10" s="10">
        <v>887424</v>
      </c>
      <c r="H10" s="10">
        <f>'DCF Guanacevi'!J30+'DCF Bolanitos'!J30</f>
        <v>206147</v>
      </c>
      <c r="I10" s="47">
        <f>SUM(J10:AJ10)</f>
        <v>10016853</v>
      </c>
      <c r="J10" s="36">
        <f>'DCF Guanacevi'!L30+'DCF Bolanitos'!L30+'DCF Terronera'!G22</f>
        <v>202930</v>
      </c>
      <c r="K10" s="36">
        <f>'DCF Guanacevi'!M30+'DCF Bolanitos'!M30+'DCF Terronera'!H22</f>
        <v>205160</v>
      </c>
      <c r="L10" s="36">
        <f>'DCF Guanacevi'!N30+'DCF Bolanitos'!N30+'DCF Terronera'!I22</f>
        <v>205160</v>
      </c>
      <c r="M10" s="36">
        <f>'DCF Guanacevi'!O30+'DCF Bolanitos'!O30+'DCF Terronera'!J22</f>
        <v>200700</v>
      </c>
      <c r="N10" s="36">
        <f>'DCF Guanacevi'!P30+'DCF Bolanitos'!P30+'DCF Terronera'!K22</f>
        <v>725250</v>
      </c>
      <c r="O10" s="36">
        <f>'DCF Guanacevi'!Q30+'DCF Bolanitos'!Q30+'DCF Terronera'!L22</f>
        <v>1424006</v>
      </c>
      <c r="P10" s="36">
        <f>'DCF Guanacevi'!R30+'DCF Bolanitos'!R30+'DCF Terronera'!M22</f>
        <v>1027647</v>
      </c>
      <c r="Q10" s="36">
        <f>'DCF Guanacevi'!S30+'DCF Bolanitos'!S30+'DCF Terronera'!N22</f>
        <v>621000</v>
      </c>
      <c r="R10" s="36">
        <f>'DCF Guanacevi'!T30+'DCF Bolanitos'!T30+'DCF Terronera'!O22</f>
        <v>621000</v>
      </c>
      <c r="S10" s="36">
        <f>'DCF Guanacevi'!U30+'DCF Bolanitos'!U30+'DCF Terronera'!P22</f>
        <v>621000</v>
      </c>
      <c r="T10" s="36">
        <f>'DCF Guanacevi'!V30+'DCF Bolanitos'!V30+'DCF Terronera'!Q22</f>
        <v>621000</v>
      </c>
      <c r="U10" s="36">
        <f>'DCF Guanacevi'!W30+'DCF Bolanitos'!W30+'DCF Terronera'!R22</f>
        <v>621000</v>
      </c>
      <c r="V10" s="36">
        <f>'DCF Guanacevi'!X30+'DCF Bolanitos'!X30+'DCF Terronera'!S22</f>
        <v>621000</v>
      </c>
      <c r="W10" s="36">
        <f>'DCF Guanacevi'!Y30+'DCF Bolanitos'!Y30+'DCF Terronera'!T22</f>
        <v>621000</v>
      </c>
      <c r="X10" s="36">
        <f>'DCF Guanacevi'!Z30+'DCF Bolanitos'!Z30+'DCF Terronera'!U22</f>
        <v>621000</v>
      </c>
      <c r="Y10" s="36">
        <f>'DCF Guanacevi'!AA30+'DCF Bolanitos'!AA30+'DCF Terronera'!V22</f>
        <v>621000</v>
      </c>
      <c r="Z10" s="36">
        <f>'DCF Guanacevi'!AB30+'DCF Bolanitos'!AB30+'DCF Terronera'!W22</f>
        <v>437000</v>
      </c>
      <c r="AA10" s="36">
        <f>'DCF Guanacevi'!AC30+'DCF Bolanitos'!AC30+'DCF Terronera'!X22</f>
        <v>0</v>
      </c>
      <c r="AB10" s="36">
        <f>'DCF Guanacevi'!AD30+'DCF Bolanitos'!AD30+'DCF Terronera'!Y22</f>
        <v>0</v>
      </c>
      <c r="AC10" s="36">
        <f>'DCF Guanacevi'!AE30+'DCF Bolanitos'!AE30+'DCF Terronera'!Z22</f>
        <v>0</v>
      </c>
      <c r="AD10" s="36">
        <f>'DCF Guanacevi'!AF30+'DCF Bolanitos'!AF30+'DCF Terronera'!AA22</f>
        <v>0</v>
      </c>
      <c r="AE10" s="36">
        <f>'DCF Guanacevi'!AG30+'DCF Bolanitos'!AG30+'DCF Terronera'!AB22</f>
        <v>0</v>
      </c>
      <c r="AF10" s="36">
        <f>'DCF Guanacevi'!AH30+'DCF Bolanitos'!AH30+'DCF Terronera'!AC22</f>
        <v>0</v>
      </c>
      <c r="AG10" s="36">
        <f>'DCF Guanacevi'!AI30+'DCF Bolanitos'!AI30+'DCF Terronera'!AD22</f>
        <v>0</v>
      </c>
      <c r="AH10" s="36">
        <f>'DCF Guanacevi'!AJ30+'DCF Bolanitos'!AJ30+'DCF Terronera'!AE22</f>
        <v>0</v>
      </c>
      <c r="AI10" s="36">
        <f>'DCF Guanacevi'!AK30+'DCF Bolanitos'!AK30+'DCF Terronera'!AF22</f>
        <v>0</v>
      </c>
      <c r="AJ10" s="36">
        <f>'DCF Guanacevi'!AL30+'DCF Bolanitos'!AL30+'DCF Terronera'!AG22</f>
        <v>0</v>
      </c>
      <c r="AK10" s="35"/>
    </row>
    <row r="11" spans="1:39" x14ac:dyDescent="0.25">
      <c r="A11" t="s">
        <v>160</v>
      </c>
      <c r="B11" t="s">
        <v>37</v>
      </c>
      <c r="C11" s="13">
        <v>140</v>
      </c>
      <c r="D11" s="13">
        <v>156</v>
      </c>
      <c r="E11" s="13">
        <v>149</v>
      </c>
      <c r="F11" s="13">
        <v>167</v>
      </c>
      <c r="G11" s="13">
        <v>195</v>
      </c>
      <c r="H11" s="13">
        <f>('DCF Guanacevi'!J30*'DCF Guanacevi'!J31+'DCF Bolanitos'!J30*'DCF Bolanitos'!J31)/'Central sheet '!H10</f>
        <v>230.94444740888784</v>
      </c>
      <c r="I11" s="46">
        <f>AVERAGEIF(J11:AJ11,"&gt;0")</f>
        <v>207.21498540287132</v>
      </c>
      <c r="J11" s="40">
        <f>IF(J10&gt;0,('DCF Guanacevi'!L30*'DCF Guanacevi'!L31+'DCF Bolanitos'!L30*'DCF Bolanitos'!L31+'DCF Terronera'!G22*'DCF Terronera'!G23)/'Central sheet '!J10,0)</f>
        <v>214.05381165919283</v>
      </c>
      <c r="K11" s="40">
        <f>IF(K10&gt;0,('DCF Guanacevi'!M30*'DCF Guanacevi'!M31+'DCF Bolanitos'!M30*'DCF Bolanitos'!M31+'DCF Terronera'!H22*'DCF Terronera'!H23)/'Central sheet '!K10,0)</f>
        <v>208.8968609865471</v>
      </c>
      <c r="L11" s="40">
        <f>IF(L10&gt;0,('DCF Guanacevi'!N30*'DCF Guanacevi'!N31+'DCF Bolanitos'!N30*'DCF Bolanitos'!N31+'DCF Terronera'!I22*'DCF Terronera'!I23)/'Central sheet '!L10,0)</f>
        <v>208.8968609865471</v>
      </c>
      <c r="M11" s="40">
        <f>IF(M10&gt;0,('DCF Guanacevi'!O30*'DCF Guanacevi'!O31+'DCF Bolanitos'!O30*'DCF Bolanitos'!O31+'DCF Terronera'!J22*'DCF Terronera'!J23)/'Central sheet '!M10,0)</f>
        <v>237.75784753363229</v>
      </c>
      <c r="N11" s="40">
        <f>IF(N10&gt;0,('DCF Guanacevi'!P30*'DCF Guanacevi'!P31+'DCF Bolanitos'!P30*'DCF Bolanitos'!P31+'DCF Terronera'!K22*'DCF Terronera'!K23)/'Central sheet '!N10,0)</f>
        <v>258.53371940710099</v>
      </c>
      <c r="O11" s="40">
        <f>IF(O10&gt;0,('DCF Guanacevi'!Q30*'DCF Guanacevi'!Q31+'DCF Bolanitos'!Q30*'DCF Bolanitos'!Q31+'DCF Terronera'!L22*'DCF Terronera'!L23)/'Central sheet '!O10,0)</f>
        <v>264.72382489961421</v>
      </c>
      <c r="P11" s="40">
        <f>IF(P10&gt;0,('DCF Guanacevi'!R30*'DCF Guanacevi'!R31+'DCF Bolanitos'!R30*'DCF Bolanitos'!R31+'DCF Terronera'!M22*'DCF Terronera'!M23)/'Central sheet '!P10,0)</f>
        <v>291.79182637617782</v>
      </c>
      <c r="Q11" s="40">
        <f>IF(Q10&gt;0,('DCF Guanacevi'!S30*'DCF Guanacevi'!S31+'DCF Bolanitos'!S30*'DCF Bolanitos'!S31+'DCF Terronera'!N22*'DCF Terronera'!N23)/'Central sheet '!Q10,0)</f>
        <v>279</v>
      </c>
      <c r="R11" s="40">
        <f>IF(R10&gt;0,('DCF Guanacevi'!T30*'DCF Guanacevi'!T31+'DCF Bolanitos'!T30*'DCF Bolanitos'!T31+'DCF Terronera'!O22*'DCF Terronera'!O23)/'Central sheet '!R10,0)</f>
        <v>221</v>
      </c>
      <c r="S11" s="40">
        <f>IF(S10&gt;0,('DCF Guanacevi'!U30*'DCF Guanacevi'!U31+'DCF Bolanitos'!U30*'DCF Bolanitos'!U31+'DCF Terronera'!P22*'DCF Terronera'!P23)/'Central sheet '!S10,0)</f>
        <v>174</v>
      </c>
      <c r="T11" s="40">
        <f>IF(T10&gt;0,('DCF Guanacevi'!V30*'DCF Guanacevi'!V31+'DCF Bolanitos'!V30*'DCF Bolanitos'!V31+'DCF Terronera'!Q22*'DCF Terronera'!Q23)/'Central sheet '!T10,0)</f>
        <v>198</v>
      </c>
      <c r="U11" s="40">
        <f>IF(U10&gt;0,('DCF Guanacevi'!W30*'DCF Guanacevi'!W31+'DCF Bolanitos'!W30*'DCF Bolanitos'!W31+'DCF Terronera'!R22*'DCF Terronera'!R23)/'Central sheet '!U10,0)</f>
        <v>212</v>
      </c>
      <c r="V11" s="40">
        <f>IF(V10&gt;0,('DCF Guanacevi'!X30*'DCF Guanacevi'!X31+'DCF Bolanitos'!X30*'DCF Bolanitos'!X31+'DCF Terronera'!S22*'DCF Terronera'!S23)/'Central sheet '!V10,0)</f>
        <v>178</v>
      </c>
      <c r="W11" s="40">
        <f>IF(W10&gt;0,('DCF Guanacevi'!Y30*'DCF Guanacevi'!Y31+'DCF Bolanitos'!Y30*'DCF Bolanitos'!Y31+'DCF Terronera'!T22*'DCF Terronera'!T23)/'Central sheet '!W10,0)</f>
        <v>158</v>
      </c>
      <c r="X11" s="40">
        <f>IF(X10&gt;0,('DCF Guanacevi'!Z30*'DCF Guanacevi'!Z31+'DCF Bolanitos'!Z30*'DCF Bolanitos'!Z31+'DCF Terronera'!U22*'DCF Terronera'!U23)/'Central sheet '!X10,0)</f>
        <v>138</v>
      </c>
      <c r="Y11" s="40">
        <f>IF(Y10&gt;0,('DCF Guanacevi'!AA30*'DCF Guanacevi'!AA31+'DCF Bolanitos'!AA30*'DCF Bolanitos'!AA31+'DCF Terronera'!V22*'DCF Terronera'!V23)/'Central sheet '!Y10,0)</f>
        <v>154</v>
      </c>
      <c r="Z11" s="40">
        <f>IF(Z10&gt;0,('DCF Guanacevi'!AB30*'DCF Guanacevi'!AB31+'DCF Bolanitos'!AB30*'DCF Bolanitos'!AB31+'DCF Terronera'!W22*'DCF Terronera'!W23)/'Central sheet '!Z10,0)</f>
        <v>126</v>
      </c>
      <c r="AA11" s="40">
        <f>IF(AA10&gt;0,('DCF Guanacevi'!AC30*'DCF Guanacevi'!AC31+'DCF Bolanitos'!AC30*'DCF Bolanitos'!AC31+'DCF Terronera'!X22*'DCF Terronera'!X23)/'Central sheet '!AA10,0)</f>
        <v>0</v>
      </c>
      <c r="AB11" s="40">
        <f>IF(AB10&gt;0,('DCF Guanacevi'!AD30*'DCF Guanacevi'!AD31+'DCF Bolanitos'!AD30*'DCF Bolanitos'!AD31+'DCF Terronera'!Y22*'DCF Terronera'!Y23)/'Central sheet '!AB10,0)</f>
        <v>0</v>
      </c>
      <c r="AC11" s="40">
        <f>IF(AC10&gt;0,('DCF Guanacevi'!AE30*'DCF Guanacevi'!AE31+'DCF Bolanitos'!AE30*'DCF Bolanitos'!AE31+'DCF Terronera'!Z22*'DCF Terronera'!Z23)/'Central sheet '!AC10,0)</f>
        <v>0</v>
      </c>
      <c r="AD11" s="40">
        <f>IF(AD10&gt;0,('DCF Guanacevi'!AF30*'DCF Guanacevi'!AF31+'DCF Bolanitos'!AF30*'DCF Bolanitos'!AF31+'DCF Terronera'!AA22*'DCF Terronera'!AA23)/'Central sheet '!AD10,0)</f>
        <v>0</v>
      </c>
      <c r="AE11" s="40">
        <f>IF(AE10&gt;0,('DCF Guanacevi'!AG30*'DCF Guanacevi'!AG31+'DCF Bolanitos'!AG30*'DCF Bolanitos'!AG31+'DCF Terronera'!AB22*'DCF Terronera'!AB23)/'Central sheet '!AE10,0)</f>
        <v>0</v>
      </c>
      <c r="AF11" s="40">
        <f>IF(AF10&gt;0,('DCF Guanacevi'!AH30*'DCF Guanacevi'!AH31+'DCF Bolanitos'!AH30*'DCF Bolanitos'!AH31+'DCF Terronera'!AC22*'DCF Terronera'!AC23)/'Central sheet '!AF10,0)</f>
        <v>0</v>
      </c>
      <c r="AG11" s="40">
        <f>IF(AG10&gt;0,('DCF Guanacevi'!AI30*'DCF Guanacevi'!AI31+'DCF Bolanitos'!AI30*'DCF Bolanitos'!AI31+'DCF Terronera'!AD22*'DCF Terronera'!AD23)/'Central sheet '!AG10,0)</f>
        <v>0</v>
      </c>
      <c r="AH11" s="40">
        <f>IF(AH10&gt;0,('DCF Guanacevi'!AJ30*'DCF Guanacevi'!AJ31+'DCF Bolanitos'!AJ30*'DCF Bolanitos'!AJ31+'DCF Terronera'!AE22*'DCF Terronera'!AE23)/'Central sheet '!AH10,0)</f>
        <v>0</v>
      </c>
      <c r="AI11" s="40">
        <f>IF(AI10&gt;0,('DCF Guanacevi'!AK30*'DCF Guanacevi'!AK31+'DCF Bolanitos'!AK30*'DCF Bolanitos'!AK31+'DCF Terronera'!AF22*'DCF Terronera'!AF23)/'Central sheet '!AI10,0)</f>
        <v>0</v>
      </c>
      <c r="AJ11" s="40">
        <f>IF(AJ10&gt;0,('DCF Guanacevi'!AL30*'DCF Guanacevi'!AL31+'DCF Bolanitos'!AL30*'DCF Bolanitos'!AL31+'DCF Terronera'!AG22*'DCF Terronera'!AG23)/'Central sheet '!AJ10,0)</f>
        <v>0</v>
      </c>
      <c r="AK11" s="35"/>
    </row>
    <row r="12" spans="1:39" x14ac:dyDescent="0.25">
      <c r="A12" t="s">
        <v>161</v>
      </c>
      <c r="B12" t="s">
        <v>37</v>
      </c>
      <c r="C12" s="14">
        <v>1.54</v>
      </c>
      <c r="D12" s="14">
        <v>1.53</v>
      </c>
      <c r="E12" s="14">
        <v>1.5</v>
      </c>
      <c r="F12" s="14">
        <v>1.78</v>
      </c>
      <c r="G12" s="14">
        <v>1.65</v>
      </c>
      <c r="H12" s="14">
        <f>('DCF Guanacevi'!J30*'DCF Guanacevi'!J32+'DCF Bolanitos'!J30*'DCF Bolanitos'!J32)/'Central sheet '!H10</f>
        <v>1.4647687815005797</v>
      </c>
      <c r="I12" s="45">
        <f>AVERAGEIF(J12:AJ12,"&gt;0")</f>
        <v>1.9148244297311956</v>
      </c>
      <c r="J12" s="41">
        <f>IF('Central sheet '!J10&gt;0,('DCF Guanacevi'!L30*'DCF Guanacevi'!L32+'DCF Bolanitos'!L30*'DCF Bolanitos'!L32+'DCF Terronera'!G22*'DCF Terronera'!G24)/'Central sheet '!J10,0)</f>
        <v>1.4908104272409206</v>
      </c>
      <c r="K12" s="41">
        <f>IF('Central sheet '!K10&gt;0,('DCF Guanacevi'!M30*'DCF Guanacevi'!M32+'DCF Bolanitos'!M30*'DCF Bolanitos'!M32+'DCF Terronera'!H22*'DCF Terronera'!H24)/'Central sheet '!K10,0)</f>
        <v>1.4882062780269059</v>
      </c>
      <c r="L12" s="41">
        <f>IF('Central sheet '!L10&gt;0,('DCF Guanacevi'!N30*'DCF Guanacevi'!N32+'DCF Bolanitos'!N30*'DCF Bolanitos'!N32+'DCF Terronera'!I22*'DCF Terronera'!I24)/'Central sheet '!L10,0)</f>
        <v>1.5333632286995518</v>
      </c>
      <c r="M12" s="41">
        <f>IF('Central sheet '!M10&gt;0,('DCF Guanacevi'!O30*'DCF Guanacevi'!O32+'DCF Bolanitos'!O30*'DCF Bolanitos'!O32+'DCF Terronera'!J22*'DCF Terronera'!J24)/'Central sheet '!M10,0)</f>
        <v>1.5333632286995516</v>
      </c>
      <c r="N12" s="41">
        <f>IF('Central sheet '!N10&gt;0,('DCF Guanacevi'!P30*'DCF Guanacevi'!P32+'DCF Bolanitos'!P30*'DCF Bolanitos'!P32+'DCF Terronera'!K22*'DCF Terronera'!K24)/'Central sheet '!N10,0)</f>
        <v>2.4248470182695621</v>
      </c>
      <c r="O12" s="41">
        <f>IF('Central sheet '!O10&gt;0,('DCF Guanacevi'!Q30*'DCF Guanacevi'!Q32+'DCF Bolanitos'!Q30*'DCF Bolanitos'!Q32+'DCF Terronera'!L22*'DCF Terronera'!L24)/'Central sheet '!O10,0)</f>
        <v>2.5879061534853083</v>
      </c>
      <c r="P12" s="41">
        <f>IF('Central sheet '!P10&gt;0,('DCF Guanacevi'!R30*'DCF Guanacevi'!R32+'DCF Bolanitos'!R30*'DCF Bolanitos'!R32+'DCF Terronera'!M22*'DCF Terronera'!M24)/'Central sheet '!P10,0)</f>
        <v>1.5135189710085271</v>
      </c>
      <c r="Q12" s="41">
        <f>IF('Central sheet '!Q10&gt;0,('DCF Guanacevi'!S30*'DCF Guanacevi'!S32+'DCF Bolanitos'!S30*'DCF Bolanitos'!S32+'DCF Terronera'!N22*'DCF Terronera'!N24)/'Central sheet '!Q10,0)</f>
        <v>1.85</v>
      </c>
      <c r="R12" s="41">
        <f>IF('Central sheet '!R10&gt;0,('DCF Guanacevi'!T30*'DCF Guanacevi'!T32+'DCF Bolanitos'!T30*'DCF Bolanitos'!T32+'DCF Terronera'!O22*'DCF Terronera'!O24)/'Central sheet '!R10,0)</f>
        <v>2.57</v>
      </c>
      <c r="S12" s="41">
        <f>IF('Central sheet '!S10&gt;0,('DCF Guanacevi'!U30*'DCF Guanacevi'!U32+'DCF Bolanitos'!U30*'DCF Bolanitos'!U32+'DCF Terronera'!P22*'DCF Terronera'!P24)/'Central sheet '!S10,0)</f>
        <v>2.74</v>
      </c>
      <c r="T12" s="41">
        <f>IF('Central sheet '!T10&gt;0,('DCF Guanacevi'!V30*'DCF Guanacevi'!V32+'DCF Bolanitos'!V30*'DCF Bolanitos'!V32+'DCF Terronera'!Q22*'DCF Terronera'!Q24)/'Central sheet '!T10,0)</f>
        <v>2.0299999999999998</v>
      </c>
      <c r="U12" s="41">
        <f>IF('Central sheet '!U10&gt;0,('DCF Guanacevi'!W30*'DCF Guanacevi'!W32+'DCF Bolanitos'!W30*'DCF Bolanitos'!W32+'DCF Terronera'!R22*'DCF Terronera'!R24)/'Central sheet '!U10,0)</f>
        <v>1.68</v>
      </c>
      <c r="V12" s="41">
        <f>IF('Central sheet '!V10&gt;0,('DCF Guanacevi'!X30*'DCF Guanacevi'!X32+'DCF Bolanitos'!X30*'DCF Bolanitos'!X32+'DCF Terronera'!S22*'DCF Terronera'!S24)/'Central sheet '!V10,0)</f>
        <v>1.73</v>
      </c>
      <c r="W12" s="41">
        <f>IF('Central sheet '!W10&gt;0,('DCF Guanacevi'!Y30*'DCF Guanacevi'!Y32+'DCF Bolanitos'!Y30*'DCF Bolanitos'!Y32+'DCF Terronera'!T22*'DCF Terronera'!T24)/'Central sheet '!W10,0)</f>
        <v>1.91</v>
      </c>
      <c r="X12" s="41">
        <f>IF('Central sheet '!X10&gt;0,('DCF Guanacevi'!Z30*'DCF Guanacevi'!Z32+'DCF Bolanitos'!Z30*'DCF Bolanitos'!Z32+'DCF Terronera'!U22*'DCF Terronera'!U24)/'Central sheet '!X10,0)</f>
        <v>1.94</v>
      </c>
      <c r="Y12" s="41">
        <f>IF('Central sheet '!Y10&gt;0,('DCF Guanacevi'!AA30*'DCF Guanacevi'!AA32+'DCF Bolanitos'!AA30*'DCF Bolanitos'!AA32+'DCF Terronera'!V22*'DCF Terronera'!V24)/'Central sheet '!Y10,0)</f>
        <v>1.72</v>
      </c>
      <c r="Z12" s="41">
        <f>IF('Central sheet '!Z10&gt;0,('DCF Guanacevi'!AB30*'DCF Guanacevi'!AB32+'DCF Bolanitos'!AB30*'DCF Bolanitos'!AB32+'DCF Terronera'!W22*'DCF Terronera'!W24)/'Central sheet '!Z10,0)</f>
        <v>1.81</v>
      </c>
      <c r="AA12" s="41">
        <f>IF('Central sheet '!AA10&gt;0,('DCF Guanacevi'!AC30*'DCF Guanacevi'!AC32+'DCF Bolanitos'!AC30*'DCF Bolanitos'!AC32+'DCF Terronera'!X22*'DCF Terronera'!X24)/'Central sheet '!AA10,0)</f>
        <v>0</v>
      </c>
      <c r="AB12" s="41">
        <f>IF('Central sheet '!AB10&gt;0,('DCF Guanacevi'!AD30*'DCF Guanacevi'!AD32+'DCF Bolanitos'!AD30*'DCF Bolanitos'!AD32+'DCF Terronera'!Y22*'DCF Terronera'!Y24)/'Central sheet '!AB10,0)</f>
        <v>0</v>
      </c>
      <c r="AC12" s="41">
        <f>IF('Central sheet '!AC10&gt;0,('DCF Guanacevi'!AE30*'DCF Guanacevi'!AE32+'DCF Bolanitos'!AE30*'DCF Bolanitos'!AE32+'DCF Terronera'!Z22*'DCF Terronera'!Z24)/'Central sheet '!AC10,0)</f>
        <v>0</v>
      </c>
      <c r="AD12" s="41">
        <f>IF('Central sheet '!AD10&gt;0,('DCF Guanacevi'!AF30*'DCF Guanacevi'!AF32+'DCF Bolanitos'!AF30*'DCF Bolanitos'!AF32+'DCF Terronera'!AA22*'DCF Terronera'!AA24)/'Central sheet '!AD10,0)</f>
        <v>0</v>
      </c>
      <c r="AE12" s="41">
        <f>IF('Central sheet '!AE10&gt;0,('DCF Guanacevi'!AG30*'DCF Guanacevi'!AG32+'DCF Bolanitos'!AG30*'DCF Bolanitos'!AG32+'DCF Terronera'!AB22*'DCF Terronera'!AB24)/'Central sheet '!AE10,0)</f>
        <v>0</v>
      </c>
      <c r="AF12" s="41">
        <f>IF('Central sheet '!AF10&gt;0,('DCF Guanacevi'!AH30*'DCF Guanacevi'!AH32+'DCF Bolanitos'!AH30*'DCF Bolanitos'!AH32+'DCF Terronera'!AC22*'DCF Terronera'!AC24)/'Central sheet '!AF10,0)</f>
        <v>0</v>
      </c>
      <c r="AG12" s="41">
        <f>IF('Central sheet '!AG10&gt;0,('DCF Guanacevi'!AI30*'DCF Guanacevi'!AI32+'DCF Bolanitos'!AI30*'DCF Bolanitos'!AI32+'DCF Terronera'!AD22*'DCF Terronera'!AD24)/'Central sheet '!AG10,0)</f>
        <v>0</v>
      </c>
      <c r="AH12" s="41">
        <f>IF('Central sheet '!AH10&gt;0,('DCF Guanacevi'!AJ30*'DCF Guanacevi'!AJ32+'DCF Bolanitos'!AJ30*'DCF Bolanitos'!AJ32+'DCF Terronera'!AE22*'DCF Terronera'!AE24)/'Central sheet '!AH10,0)</f>
        <v>0</v>
      </c>
      <c r="AI12" s="41">
        <f>IF('Central sheet '!AI10&gt;0,('DCF Guanacevi'!AK30*'DCF Guanacevi'!AK32+'DCF Bolanitos'!AK30*'DCF Bolanitos'!AK32+'DCF Terronera'!AF22*'DCF Terronera'!AF24)/'Central sheet '!AI10,0)</f>
        <v>0</v>
      </c>
      <c r="AJ12" s="41">
        <f>IF('Central sheet '!AJ10&gt;0,('DCF Guanacevi'!AL30*'DCF Guanacevi'!AL32+'DCF Bolanitos'!AL30*'DCF Bolanitos'!AL32+'DCF Terronera'!AG22*'DCF Terronera'!AG24)/'Central sheet '!AJ10,0)</f>
        <v>0</v>
      </c>
      <c r="AK12" s="35"/>
    </row>
    <row r="13" spans="1:39" x14ac:dyDescent="0.25">
      <c r="A13" t="s">
        <v>162</v>
      </c>
      <c r="B13" t="s">
        <v>22</v>
      </c>
      <c r="C13" s="16">
        <v>0.85399999999999998</v>
      </c>
      <c r="D13" s="16">
        <v>0.86899999999999999</v>
      </c>
      <c r="E13" s="16">
        <v>0.88</v>
      </c>
      <c r="F13" s="16">
        <f>86.5%</f>
        <v>0.86499999999999999</v>
      </c>
      <c r="G13" s="16">
        <v>0.876</v>
      </c>
      <c r="H13" s="16">
        <f>('DCF Guanacevi'!J30*'DCF Guanacevi'!J39+'DCF Bolanitos'!J30*'DCF Bolanitos'!J39)/'Central sheet '!H10</f>
        <v>0.86821194584447026</v>
      </c>
      <c r="I13" s="52">
        <f>AVERAGE(J13:AJ13)</f>
        <v>0.87516974891124666</v>
      </c>
      <c r="J13" s="43">
        <f>IF(J10&gt;0,('DCF Guanacevi'!L30*'DCF Guanacevi'!L39+'DCF Bolanitos'!L30*'DCF Bolanitos'!L39+'DCF Terronera'!G22*'DCF Terronera'!G31)/'Central sheet '!J10,"")</f>
        <v>0.86484304932735434</v>
      </c>
      <c r="K13" s="43">
        <f>IF(K10&gt;0,('DCF Guanacevi'!M30*'DCF Guanacevi'!M39+'DCF Bolanitos'!M30*'DCF Bolanitos'!M39+'DCF Terronera'!H22*'DCF Terronera'!H31)/'Central sheet '!K10,"")</f>
        <v>0.87515695067264576</v>
      </c>
      <c r="L13" s="43">
        <f>IF(L10&gt;0,('DCF Guanacevi'!N30*'DCF Guanacevi'!N39+'DCF Bolanitos'!N30*'DCF Bolanitos'!N39+'DCF Terronera'!I22*'DCF Terronera'!I31)/'Central sheet '!L10,"")</f>
        <v>0.87515695067264576</v>
      </c>
      <c r="M13" s="43">
        <f>IF(M10&gt;0,('DCF Guanacevi'!O30*'DCF Guanacevi'!O39+'DCF Bolanitos'!O30*'DCF Bolanitos'!O39+'DCF Terronera'!J22*'DCF Terronera'!J31)/'Central sheet '!M10,"")</f>
        <v>0.87031390134529152</v>
      </c>
      <c r="N13" s="43">
        <f>IF(N10&gt;0,('DCF Guanacevi'!P30*'DCF Guanacevi'!P39+'DCF Bolanitos'!P30*'DCF Bolanitos'!P39+'DCF Terronera'!K22*'DCF Terronera'!K31)/'Central sheet '!N10,"")</f>
        <v>0.87178599239321286</v>
      </c>
      <c r="O13" s="43">
        <f>IF(O10&gt;0,('DCF Guanacevi'!Q30*'DCF Guanacevi'!Q39+'DCF Bolanitos'!Q30*'DCF Bolanitos'!Q39+'DCF Terronera'!L22*'DCF Terronera'!L31)/'Central sheet '!O10,"")</f>
        <v>0.87311008801929191</v>
      </c>
      <c r="P13" s="43">
        <f>IF(P10&gt;0,('DCF Guanacevi'!R30*'DCF Guanacevi'!R39+'DCF Bolanitos'!R30*'DCF Bolanitos'!R39+'DCF Terronera'!M22*'DCF Terronera'!M31)/'Central sheet '!P10,"")</f>
        <v>0.87926496004951105</v>
      </c>
      <c r="Q13" s="43">
        <f>IF(Q10&gt;0,('DCF Guanacevi'!S30*'DCF Guanacevi'!S39+'DCF Bolanitos'!S30*'DCF Bolanitos'!S39+'DCF Terronera'!N22*'DCF Terronera'!N31)/'Central sheet '!Q10,"")</f>
        <v>0.87857147657091395</v>
      </c>
      <c r="R13" s="43">
        <f>IF(R10&gt;0,('DCF Guanacevi'!T30*'DCF Guanacevi'!T39+'DCF Bolanitos'!T30*'DCF Bolanitos'!T39+'DCF Terronera'!O22*'DCF Terronera'!O31)/'Central sheet '!R10,"")</f>
        <v>0.8777534821693227</v>
      </c>
      <c r="S13" s="43">
        <f>IF(S10&gt;0,('DCF Guanacevi'!U30*'DCF Guanacevi'!U39+'DCF Bolanitos'!U30*'DCF Bolanitos'!U39+'DCF Terronera'!P22*'DCF Terronera'!P31)/'Central sheet '!S10,"")</f>
        <v>0.87593129270920089</v>
      </c>
      <c r="T13" s="43">
        <f>IF(T10&gt;0,('DCF Guanacevi'!V30*'DCF Guanacevi'!V39+'DCF Bolanitos'!V30*'DCF Bolanitos'!V39+'DCF Terronera'!Q22*'DCF Terronera'!Q31)/'Central sheet '!T10,"")</f>
        <v>0.87600107482555023</v>
      </c>
      <c r="U13" s="43">
        <f>IF(U10&gt;0,('DCF Guanacevi'!W30*'DCF Guanacevi'!W39+'DCF Bolanitos'!W30*'DCF Bolanitos'!W39+'DCF Terronera'!R22*'DCF Terronera'!R31)/'Central sheet '!U10,"")</f>
        <v>0.87414444262145652</v>
      </c>
      <c r="V13" s="43">
        <f>IF(V10&gt;0,('DCF Guanacevi'!X30*'DCF Guanacevi'!X39+'DCF Bolanitos'!X30*'DCF Bolanitos'!X39+'DCF Terronera'!S22*'DCF Terronera'!S31)/'Central sheet '!V10,"")</f>
        <v>0.87650699516908204</v>
      </c>
      <c r="W13" s="43">
        <f>IF(W10&gt;0,('DCF Guanacevi'!Y30*'DCF Guanacevi'!Y39+'DCF Bolanitos'!Y30*'DCF Bolanitos'!Y39+'DCF Terronera'!T22*'DCF Terronera'!T31)/'Central sheet '!W10,"")</f>
        <v>0.87650699516908204</v>
      </c>
      <c r="X13" s="43">
        <f>IF(X10&gt;0,('DCF Guanacevi'!Z30*'DCF Guanacevi'!Z39+'DCF Bolanitos'!Z30*'DCF Bolanitos'!Z39+'DCF Terronera'!U22*'DCF Terronera'!U31)/'Central sheet '!X10,"")</f>
        <v>0.87432933803822721</v>
      </c>
      <c r="Y13" s="43">
        <f>IF(Y10&gt;0,('DCF Guanacevi'!AA30*'DCF Guanacevi'!AA39+'DCF Bolanitos'!AA30*'DCF Bolanitos'!AA39+'DCF Terronera'!V22*'DCF Terronera'!V31)/'Central sheet '!Y10,"")</f>
        <v>0.87390511911663216</v>
      </c>
      <c r="Z13" s="43">
        <f>IF(Z10&gt;0,('DCF Guanacevi'!AB30*'DCF Guanacevi'!AB39+'DCF Bolanitos'!AB30*'DCF Bolanitos'!AB39+'DCF Terronera'!W22*'DCF Terronera'!W31)/'Central sheet '!Z10,"")</f>
        <v>0.88460362262177183</v>
      </c>
      <c r="AA13" s="43" t="str">
        <f>IF(AA10&gt;0,('DCF Guanacevi'!AC30*'DCF Guanacevi'!AC39+'DCF Bolanitos'!AC30*'DCF Bolanitos'!AC39+'DCF Terronera'!X22*'DCF Terronera'!X31)/'Central sheet '!AA10,"")</f>
        <v/>
      </c>
      <c r="AB13" s="43" t="str">
        <f>IF(AB10&gt;0,('DCF Guanacevi'!AD30*'DCF Guanacevi'!AD39+'DCF Bolanitos'!AD30*'DCF Bolanitos'!AD39+'DCF Terronera'!Y22*'DCF Terronera'!Y31)/'Central sheet '!AB10,"")</f>
        <v/>
      </c>
      <c r="AC13" s="43" t="str">
        <f>IF(AC10&gt;0,('DCF Guanacevi'!AE30*'DCF Guanacevi'!AE39+'DCF Bolanitos'!AE30*'DCF Bolanitos'!AE39+'DCF Terronera'!Z22*'DCF Terronera'!Z31)/'Central sheet '!AC10,"")</f>
        <v/>
      </c>
      <c r="AD13" s="43" t="str">
        <f>IF(AD10&gt;0,('DCF Guanacevi'!AF30*'DCF Guanacevi'!AF39+'DCF Bolanitos'!AF30*'DCF Bolanitos'!AF39+'DCF Terronera'!AA22*'DCF Terronera'!AA31)/'Central sheet '!AD10,"")</f>
        <v/>
      </c>
      <c r="AE13" s="43" t="str">
        <f>IF(AE10&gt;0,('DCF Guanacevi'!AG30*'DCF Guanacevi'!AG39+'DCF Bolanitos'!AG30*'DCF Bolanitos'!AG39+'DCF Terronera'!AB22*'DCF Terronera'!AB31)/'Central sheet '!AE10,"")</f>
        <v/>
      </c>
      <c r="AF13" s="43" t="str">
        <f>IF(AF10&gt;0,('DCF Guanacevi'!AH30*'DCF Guanacevi'!AH39+'DCF Bolanitos'!AH30*'DCF Bolanitos'!AH39+'DCF Terronera'!AC22*'DCF Terronera'!AC31)/'Central sheet '!AF10,"")</f>
        <v/>
      </c>
      <c r="AG13" s="43" t="str">
        <f>IF(AG10&gt;0,('DCF Guanacevi'!AI30*'DCF Guanacevi'!AI39+'DCF Bolanitos'!AI30*'DCF Bolanitos'!AI39+'DCF Terronera'!AD22*'DCF Terronera'!AD31)/'Central sheet '!AG10,"")</f>
        <v/>
      </c>
      <c r="AH13" s="43" t="str">
        <f>IF(AH10&gt;0,('DCF Guanacevi'!AJ30*'DCF Guanacevi'!AJ39+'DCF Bolanitos'!AJ30*'DCF Bolanitos'!AJ39+'DCF Terronera'!AE22*'DCF Terronera'!AE31)/'Central sheet '!AH10,"")</f>
        <v/>
      </c>
      <c r="AI13" s="43" t="str">
        <f>IF(AI10&gt;0,('DCF Guanacevi'!AK30*'DCF Guanacevi'!AK39+'DCF Bolanitos'!AK30*'DCF Bolanitos'!AK39+'DCF Terronera'!AF22*'DCF Terronera'!AF31)/'Central sheet '!AI10,"")</f>
        <v/>
      </c>
      <c r="AJ13" s="43" t="str">
        <f>IF(AJ10&gt;0,('DCF Guanacevi'!AL30*'DCF Guanacevi'!AL39+'DCF Bolanitos'!AL30*'DCF Bolanitos'!AL39+'DCF Terronera'!AG22*'DCF Terronera'!AG31)/'Central sheet '!AJ10,"")</f>
        <v/>
      </c>
      <c r="AK13" s="35"/>
    </row>
    <row r="14" spans="1:39" x14ac:dyDescent="0.25">
      <c r="A14" t="s">
        <v>163</v>
      </c>
      <c r="B14" t="s">
        <v>22</v>
      </c>
      <c r="C14" s="16">
        <v>0.83899999999999997</v>
      </c>
      <c r="D14" s="16">
        <v>0.84899999999999998</v>
      </c>
      <c r="E14" s="16">
        <v>0.84699999999999998</v>
      </c>
      <c r="F14" s="16">
        <f>85.9%</f>
        <v>0.8590000000000001</v>
      </c>
      <c r="G14" s="16">
        <v>0.89800000000000002</v>
      </c>
      <c r="H14" s="16">
        <f>('DCF Guanacevi'!J30*'DCF Guanacevi'!J40+'DCF Bolanitos'!J30*'DCF Bolanitos'!J40)/'Central sheet '!H10</f>
        <v>0.89596467569258831</v>
      </c>
      <c r="I14" s="52">
        <f t="shared" ref="I14:I16" si="17">AVERAGE(J14:AJ14)</f>
        <v>0.80787610534883192</v>
      </c>
      <c r="J14" s="43">
        <f>IF(J10&gt;0,('DCF Guanacevi'!L30*'DCF Guanacevi'!L40+'DCF Bolanitos'!L30*'DCF Bolanitos'!L40+'DCF Terronera'!G22*'DCF Terronera'!G32)/'Central sheet '!J10,"")</f>
        <v>0.89854708520179372</v>
      </c>
      <c r="K14" s="43">
        <f>IF(K10&gt;0,('DCF Guanacevi'!M30*'DCF Guanacevi'!M40+'DCF Bolanitos'!M30*'DCF Bolanitos'!M40+'DCF Terronera'!H22*'DCF Terronera'!H32)/'Central sheet '!K10,"")</f>
        <v>0.90370403587443937</v>
      </c>
      <c r="L14" s="43">
        <f>IF(L10&gt;0,('DCF Guanacevi'!N30*'DCF Guanacevi'!N40+'DCF Bolanitos'!N30*'DCF Bolanitos'!N40+'DCF Terronera'!I22*'DCF Terronera'!I32)/'Central sheet '!L10,"")</f>
        <v>0.90370403587443937</v>
      </c>
      <c r="M14" s="43">
        <f>IF(M10&gt;0,('DCF Guanacevi'!O30*'DCF Guanacevi'!O40+'DCF Bolanitos'!O30*'DCF Bolanitos'!O40+'DCF Terronera'!J22*'DCF Terronera'!J32)/'Central sheet '!M10,"")</f>
        <v>0.89321973094170415</v>
      </c>
      <c r="N14" s="43">
        <f>IF(N10&gt;0,('DCF Guanacevi'!P30*'DCF Guanacevi'!P40+'DCF Bolanitos'!P30*'DCF Bolanitos'!P40+'DCF Terronera'!K22*'DCF Terronera'!K32)/'Central sheet '!N10,"")</f>
        <v>0.87660007518258098</v>
      </c>
      <c r="O14" s="43">
        <f>IF(O10&gt;0,('DCF Guanacevi'!Q30*'DCF Guanacevi'!Q40+'DCF Bolanitos'!Q30*'DCF Bolanitos'!Q40+'DCF Terronera'!L22*'DCF Terronera'!L32)/'Central sheet '!O10,"")</f>
        <v>0.8396246110475637</v>
      </c>
      <c r="P14" s="43">
        <f>IF(P10&gt;0,('DCF Guanacevi'!R30*'DCF Guanacevi'!R40+'DCF Bolanitos'!R30*'DCF Bolanitos'!R40+'DCF Terronera'!M22*'DCF Terronera'!M32)/'Central sheet '!P10,"")</f>
        <v>0.81535500070918632</v>
      </c>
      <c r="Q14" s="43">
        <f>IF(Q10&gt;0,('DCF Guanacevi'!S30*'DCF Guanacevi'!S40+'DCF Bolanitos'!S30*'DCF Bolanitos'!S40+'DCF Terronera'!N22*'DCF Terronera'!N32)/'Central sheet '!Q10,"")</f>
        <v>0.75806010393001699</v>
      </c>
      <c r="R14" s="43">
        <f>IF(R10&gt;0,('DCF Guanacevi'!T30*'DCF Guanacevi'!T40+'DCF Bolanitos'!T30*'DCF Bolanitos'!T40+'DCF Terronera'!O22*'DCF Terronera'!O32)/'Central sheet '!R10,"")</f>
        <v>0.76201052831820137</v>
      </c>
      <c r="S14" s="43">
        <f>IF(S10&gt;0,('DCF Guanacevi'!U30*'DCF Guanacevi'!U40+'DCF Bolanitos'!U30*'DCF Bolanitos'!U40+'DCF Terronera'!P22*'DCF Terronera'!P32)/'Central sheet '!S10,"")</f>
        <v>0.7640874327021403</v>
      </c>
      <c r="T14" s="43">
        <f>IF(T10&gt;0,('DCF Guanacevi'!V30*'DCF Guanacevi'!V40+'DCF Bolanitos'!V30*'DCF Bolanitos'!V40+'DCF Terronera'!Q22*'DCF Terronera'!Q32)/'Central sheet '!T10,"")</f>
        <v>0.76239454329977874</v>
      </c>
      <c r="U14" s="43">
        <f>IF(U10&gt;0,('DCF Guanacevi'!W30*'DCF Guanacevi'!W40+'DCF Bolanitos'!W30*'DCF Bolanitos'!W40+'DCF Terronera'!R22*'DCF Terronera'!R32)/'Central sheet '!U10,"")</f>
        <v>0.75725434276512538</v>
      </c>
      <c r="V14" s="43">
        <f>IF(V10&gt;0,('DCF Guanacevi'!X30*'DCF Guanacevi'!X40+'DCF Bolanitos'!X30*'DCF Bolanitos'!X40+'DCF Terronera'!S22*'DCF Terronera'!S32)/'Central sheet '!V10,"")</f>
        <v>0.75852958789198854</v>
      </c>
      <c r="W14" s="43">
        <f>IF(W10&gt;0,('DCF Guanacevi'!Y30*'DCF Guanacevi'!Y40+'DCF Bolanitos'!Y30*'DCF Bolanitos'!Y40+'DCF Terronera'!T22*'DCF Terronera'!T32)/'Central sheet '!W10,"")</f>
        <v>0.75784748422996173</v>
      </c>
      <c r="X14" s="43">
        <f>IF(X10&gt;0,('DCF Guanacevi'!Z30*'DCF Guanacevi'!Z40+'DCF Bolanitos'!Z30*'DCF Bolanitos'!Z40+'DCF Terronera'!U22*'DCF Terronera'!U32)/'Central sheet '!X10,"")</f>
        <v>0.75903698550724641</v>
      </c>
      <c r="Y14" s="43">
        <f>IF(Y10&gt;0,('DCF Guanacevi'!AA30*'DCF Guanacevi'!AA40+'DCF Bolanitos'!AA30*'DCF Bolanitos'!AA40+'DCF Terronera'!V22*'DCF Terronera'!V32)/'Central sheet '!Y10,"")</f>
        <v>0.75711567689023707</v>
      </c>
      <c r="Z14" s="43">
        <f>IF(Z10&gt;0,('DCF Guanacevi'!AB30*'DCF Guanacevi'!AB40+'DCF Bolanitos'!AB30*'DCF Bolanitos'!AB40+'DCF Terronera'!W22*'DCF Terronera'!W32)/'Central sheet '!Z10,"")</f>
        <v>0.76680253056373826</v>
      </c>
      <c r="AA14" s="43" t="str">
        <f>IF(AA10&gt;0,('DCF Guanacevi'!AC30*'DCF Guanacevi'!AC40+'DCF Bolanitos'!AC30*'DCF Bolanitos'!AC40+'DCF Terronera'!X22*'DCF Terronera'!X32)/'Central sheet '!AA10,"")</f>
        <v/>
      </c>
      <c r="AB14" s="43" t="str">
        <f>IF(AB10&gt;0,('DCF Guanacevi'!AD30*'DCF Guanacevi'!AD40+'DCF Bolanitos'!AD30*'DCF Bolanitos'!AD40+'DCF Terronera'!Y22*'DCF Terronera'!Y32)/'Central sheet '!AB10,"")</f>
        <v/>
      </c>
      <c r="AC14" s="43" t="str">
        <f>IF(AC10&gt;0,('DCF Guanacevi'!AE30*'DCF Guanacevi'!AE40+'DCF Bolanitos'!AE30*'DCF Bolanitos'!AE40+'DCF Terronera'!Z22*'DCF Terronera'!Z32)/'Central sheet '!AC10,"")</f>
        <v/>
      </c>
      <c r="AD14" s="43" t="str">
        <f>IF(AD10&gt;0,('DCF Guanacevi'!AF30*'DCF Guanacevi'!AF40+'DCF Bolanitos'!AF30*'DCF Bolanitos'!AF40+'DCF Terronera'!AA22*'DCF Terronera'!AA32)/'Central sheet '!AD10,"")</f>
        <v/>
      </c>
      <c r="AE14" s="43" t="str">
        <f>IF(AE10&gt;0,('DCF Guanacevi'!AG30*'DCF Guanacevi'!AG40+'DCF Bolanitos'!AG30*'DCF Bolanitos'!AG40+'DCF Terronera'!AB22*'DCF Terronera'!AB32)/'Central sheet '!AE10,"")</f>
        <v/>
      </c>
      <c r="AF14" s="43" t="str">
        <f>IF(AF10&gt;0,('DCF Guanacevi'!AH30*'DCF Guanacevi'!AH40+'DCF Bolanitos'!AH30*'DCF Bolanitos'!AH40+'DCF Terronera'!AC22*'DCF Terronera'!AC32)/'Central sheet '!AF10,"")</f>
        <v/>
      </c>
      <c r="AG14" s="43" t="str">
        <f>IF(AG10&gt;0,('DCF Guanacevi'!AI30*'DCF Guanacevi'!AI40+'DCF Bolanitos'!AI30*'DCF Bolanitos'!AI40+'DCF Terronera'!AD22*'DCF Terronera'!AD32)/'Central sheet '!AG10,"")</f>
        <v/>
      </c>
      <c r="AH14" s="43" t="str">
        <f>IF(AH10&gt;0,('DCF Guanacevi'!AJ30*'DCF Guanacevi'!AJ40+'DCF Bolanitos'!AJ30*'DCF Bolanitos'!AJ40+'DCF Terronera'!AE22*'DCF Terronera'!AE32)/'Central sheet '!AH10,"")</f>
        <v/>
      </c>
      <c r="AI14" s="43" t="str">
        <f>IF(AI10&gt;0,('DCF Guanacevi'!AK30*'DCF Guanacevi'!AK40+'DCF Bolanitos'!AK30*'DCF Bolanitos'!AK40+'DCF Terronera'!AF22*'DCF Terronera'!AF32)/'Central sheet '!AI10,"")</f>
        <v/>
      </c>
      <c r="AJ14" s="43" t="str">
        <f>IF(AJ10&gt;0,('DCF Guanacevi'!AL30*'DCF Guanacevi'!AL40+'DCF Bolanitos'!AL30*'DCF Bolanitos'!AL40+'DCF Terronera'!AG22*'DCF Terronera'!AG32)/'Central sheet '!AJ10,"")</f>
        <v/>
      </c>
      <c r="AK14" s="35"/>
    </row>
    <row r="15" spans="1:39" x14ac:dyDescent="0.25">
      <c r="A15" t="s">
        <v>166</v>
      </c>
      <c r="B15" t="s">
        <v>22</v>
      </c>
      <c r="C15" s="16">
        <f>4803589/4919788</f>
        <v>0.97638129935680151</v>
      </c>
      <c r="D15" s="16">
        <f>5417633/5522068</f>
        <v>0.98108770120179611</v>
      </c>
      <c r="E15" s="16">
        <f>3951923/4018735</f>
        <v>0.9833748679621821</v>
      </c>
      <c r="F15" s="16">
        <f>3482094/3513767</f>
        <v>0.99098602724654195</v>
      </c>
      <c r="G15" s="16">
        <f>4826681/4870787</f>
        <v>0.99094478982554568</v>
      </c>
      <c r="H15" s="16">
        <f>('DCF Guanacevi'!J43*'DCF Guanacevi'!J47+'DCF Bolanitos'!J43*'DCF Bolanitos'!J47)/('DCF Guanacevi'!J43+'DCF Bolanitos'!J43)</f>
        <v>0.99131909456977618</v>
      </c>
      <c r="I15" s="52">
        <f t="shared" si="17"/>
        <v>0.97150366037756897</v>
      </c>
      <c r="J15" s="43">
        <f>IF('DCF Guanacevi'!L43+'DCF Bolanitos'!L43+'DCF Terronera'!G35&gt;0,('DCF Guanacevi'!L43*'DCF Guanacevi'!L47+'DCF Bolanitos'!L43*'DCF Bolanitos'!L48+'DCF Terronera'!G35*'DCF Terronera'!G39)/('DCF Guanacevi'!L43+'DCF Bolanitos'!L43+'DCF Terronera'!G35),"")</f>
        <v>0.99444395735293145</v>
      </c>
      <c r="K15" s="43">
        <f>IF('DCF Guanacevi'!M43+'DCF Bolanitos'!M43+'DCF Terronera'!H35&gt;0,('DCF Guanacevi'!M43*'DCF Guanacevi'!M47+'DCF Bolanitos'!M43*'DCF Bolanitos'!M48+'DCF Terronera'!H35*'DCF Terronera'!H39)/('DCF Guanacevi'!M43+'DCF Bolanitos'!M43+'DCF Terronera'!H35),"")</f>
        <v>0.99443390601049431</v>
      </c>
      <c r="L15" s="43">
        <f>IF('DCF Guanacevi'!N43+'DCF Bolanitos'!N43+'DCF Terronera'!I35&gt;0,('DCF Guanacevi'!N43*'DCF Guanacevi'!N47+'DCF Bolanitos'!N43*'DCF Bolanitos'!N48+'DCF Terronera'!I35*'DCF Terronera'!I39)/('DCF Guanacevi'!N43+'DCF Bolanitos'!N43+'DCF Terronera'!I35),"")</f>
        <v>0.99443390601049431</v>
      </c>
      <c r="M15" s="43">
        <f>IF('DCF Guanacevi'!O43+'DCF Bolanitos'!O43+'DCF Terronera'!J35&gt;0,('DCF Guanacevi'!O43*'DCF Guanacevi'!O47+'DCF Bolanitos'!O43*'DCF Bolanitos'!O48+'DCF Terronera'!J35*'DCF Terronera'!J39)/('DCF Guanacevi'!O43+'DCF Bolanitos'!O43+'DCF Terronera'!J35),"")</f>
        <v>0.99397670716763564</v>
      </c>
      <c r="N15" s="43">
        <f>IF('DCF Guanacevi'!P43+'DCF Bolanitos'!P43+'DCF Terronera'!K35&gt;0,('DCF Guanacevi'!P43*'DCF Guanacevi'!P47+'DCF Bolanitos'!P43*'DCF Bolanitos'!P48+'DCF Terronera'!K35*'DCF Terronera'!K39)/('DCF Guanacevi'!P43+'DCF Bolanitos'!P43+'DCF Terronera'!K35),"")</f>
        <v>0.9879450583810272</v>
      </c>
      <c r="O15" s="43">
        <f>IF('DCF Guanacevi'!Q43+'DCF Bolanitos'!Q43+'DCF Terronera'!L35&gt;0,('DCF Guanacevi'!Q43*'DCF Guanacevi'!Q47+'DCF Bolanitos'!Q43*'DCF Bolanitos'!Q48+'DCF Terronera'!L35*'DCF Terronera'!L39)/('DCF Guanacevi'!Q43+'DCF Bolanitos'!Q43+'DCF Terronera'!L35),"")</f>
        <v>0.98034229077921453</v>
      </c>
      <c r="P15" s="43">
        <f>IF('DCF Guanacevi'!R43+'DCF Bolanitos'!R43+'DCF Terronera'!M35&gt;0,('DCF Guanacevi'!R43*'DCF Guanacevi'!R47+'DCF Bolanitos'!R43*'DCF Bolanitos'!R48+'DCF Terronera'!M35*'DCF Terronera'!M39)/('DCF Guanacevi'!R43+'DCF Bolanitos'!R43+'DCF Terronera'!M35),"")</f>
        <v>0.97799605189020533</v>
      </c>
      <c r="Q15" s="43">
        <f>IF('DCF Guanacevi'!S43+'DCF Bolanitos'!S43+'DCF Terronera'!N35&gt;0,('DCF Guanacevi'!S43*'DCF Guanacevi'!S47+'DCF Bolanitos'!S43*'DCF Bolanitos'!S48+'DCF Terronera'!N35*'DCF Terronera'!N39)/('DCF Guanacevi'!S43+'DCF Bolanitos'!S43+'DCF Terronera'!N35),"")</f>
        <v>0.96219861054352263</v>
      </c>
      <c r="R15" s="43">
        <f>IF('DCF Guanacevi'!T43+'DCF Bolanitos'!T43+'DCF Terronera'!O35&gt;0,('DCF Guanacevi'!T43*'DCF Guanacevi'!T47+'DCF Bolanitos'!T43*'DCF Bolanitos'!T48+'DCF Terronera'!O35*'DCF Terronera'!O39)/('DCF Guanacevi'!T43+'DCF Bolanitos'!T43+'DCF Terronera'!O35),"")</f>
        <v>0.96204492641363282</v>
      </c>
      <c r="S15" s="43">
        <f>IF('DCF Guanacevi'!U43+'DCF Bolanitos'!U43+'DCF Terronera'!P35&gt;0,('DCF Guanacevi'!U43*'DCF Guanacevi'!U47+'DCF Bolanitos'!U43*'DCF Bolanitos'!U48+'DCF Terronera'!P35*'DCF Terronera'!P39)/('DCF Guanacevi'!U43+'DCF Bolanitos'!U43+'DCF Terronera'!P35),"")</f>
        <v>0.96220834702596125</v>
      </c>
      <c r="T15" s="43">
        <f>IF('DCF Guanacevi'!V43+'DCF Bolanitos'!V43+'DCF Terronera'!Q35&gt;0,('DCF Guanacevi'!V43*'DCF Guanacevi'!V47+'DCF Bolanitos'!V43*'DCF Bolanitos'!V48+'DCF Terronera'!Q35*'DCF Terronera'!Q39)/('DCF Guanacevi'!V43+'DCF Bolanitos'!V43+'DCF Terronera'!Q35),"")</f>
        <v>0.96217152757724511</v>
      </c>
      <c r="U15" s="43">
        <f>IF('DCF Guanacevi'!W43+'DCF Bolanitos'!W43+'DCF Terronera'!R35&gt;0,('DCF Guanacevi'!W43*'DCF Guanacevi'!W47+'DCF Bolanitos'!W43*'DCF Bolanitos'!W48+'DCF Terronera'!R35*'DCF Terronera'!R39)/('DCF Guanacevi'!W43+'DCF Bolanitos'!W43+'DCF Terronera'!R35),"")</f>
        <v>0.96216216216216222</v>
      </c>
      <c r="V15" s="43">
        <f>IF('DCF Guanacevi'!X43+'DCF Bolanitos'!X43+'DCF Terronera'!S35&gt;0,('DCF Guanacevi'!X43*'DCF Guanacevi'!X47+'DCF Bolanitos'!X43*'DCF Bolanitos'!X48+'DCF Terronera'!S35*'DCF Terronera'!S39)/('DCF Guanacevi'!X43+'DCF Bolanitos'!X43+'DCF Terronera'!S35),"")</f>
        <v>0.96211878009630813</v>
      </c>
      <c r="W15" s="43">
        <f>IF('DCF Guanacevi'!Y43+'DCF Bolanitos'!Y43+'DCF Terronera'!T35&gt;0,('DCF Guanacevi'!Y43*'DCF Guanacevi'!Y47+'DCF Bolanitos'!Y43*'DCF Bolanitos'!Y48+'DCF Terronera'!T35*'DCF Terronera'!T39)/('DCF Guanacevi'!Y43+'DCF Bolanitos'!Y43+'DCF Terronera'!T35),"")</f>
        <v>0.95623869801084993</v>
      </c>
      <c r="X15" s="43">
        <f>IF('DCF Guanacevi'!Z43+'DCF Bolanitos'!Z43+'DCF Terronera'!U35&gt;0,('DCF Guanacevi'!Z43*'DCF Guanacevi'!Z47+'DCF Bolanitos'!Z43*'DCF Bolanitos'!Z48+'DCF Terronera'!U35*'DCF Terronera'!U39)/('DCF Guanacevi'!Z43+'DCF Bolanitos'!Z43+'DCF Terronera'!U35),"")</f>
        <v>0.954337899543379</v>
      </c>
      <c r="Y15" s="43">
        <f>IF('DCF Guanacevi'!AA43+'DCF Bolanitos'!AA43+'DCF Terronera'!V35&gt;0,('DCF Guanacevi'!AA43*'DCF Guanacevi'!AA47+'DCF Bolanitos'!AA43*'DCF Bolanitos'!AA48+'DCF Terronera'!V35*'DCF Terronera'!V39)/('DCF Guanacevi'!AA43+'DCF Bolanitos'!AA43+'DCF Terronera'!V35),"")</f>
        <v>0.95831782657238551</v>
      </c>
      <c r="Z15" s="43">
        <f>IF('DCF Guanacevi'!AB43+'DCF Bolanitos'!AB43+'DCF Terronera'!W35&gt;0,('DCF Guanacevi'!AB43*'DCF Guanacevi'!AB47+'DCF Bolanitos'!AB43*'DCF Bolanitos'!AB48+'DCF Terronera'!W35*'DCF Terronera'!W39)/('DCF Guanacevi'!AB43+'DCF Bolanitos'!AB43+'DCF Terronera'!W35),"")</f>
        <v>0.95019157088122608</v>
      </c>
      <c r="AA15" s="43" t="str">
        <f>IF('DCF Guanacevi'!AC43+'DCF Bolanitos'!AC43+'DCF Terronera'!X35&gt;0,('DCF Guanacevi'!AC43*'DCF Guanacevi'!AC47+'DCF Bolanitos'!AC43*'DCF Bolanitos'!AC48+'DCF Terronera'!X35*'DCF Terronera'!X39)/('DCF Guanacevi'!AC43+'DCF Bolanitos'!AC43+'DCF Terronera'!X35),"")</f>
        <v/>
      </c>
      <c r="AB15" s="43" t="str">
        <f>IF('DCF Guanacevi'!AD43+'DCF Bolanitos'!AD43+'DCF Terronera'!Y35&gt;0,('DCF Guanacevi'!AD43*'DCF Guanacevi'!AD47+'DCF Bolanitos'!AD43*'DCF Bolanitos'!AD48+'DCF Terronera'!Y35*'DCF Terronera'!Y39)/('DCF Guanacevi'!AD43+'DCF Bolanitos'!AD43+'DCF Terronera'!Y35),"")</f>
        <v/>
      </c>
      <c r="AC15" s="43" t="str">
        <f>IF('DCF Guanacevi'!AE43+'DCF Bolanitos'!AE43+'DCF Terronera'!Z35&gt;0,('DCF Guanacevi'!AE43*'DCF Guanacevi'!AE47+'DCF Bolanitos'!AE43*'DCF Bolanitos'!AE48+'DCF Terronera'!Z35*'DCF Terronera'!Z39)/('DCF Guanacevi'!AE43+'DCF Bolanitos'!AE43+'DCF Terronera'!Z35),"")</f>
        <v/>
      </c>
      <c r="AD15" s="43" t="str">
        <f>IF('DCF Guanacevi'!AF43+'DCF Bolanitos'!AF43+'DCF Terronera'!AA35&gt;0,('DCF Guanacevi'!AF43*'DCF Guanacevi'!AF47+'DCF Bolanitos'!AF43*'DCF Bolanitos'!AF48+'DCF Terronera'!AA35*'DCF Terronera'!AA39)/('DCF Guanacevi'!AF43+'DCF Bolanitos'!AF43+'DCF Terronera'!AA35),"")</f>
        <v/>
      </c>
      <c r="AE15" s="43" t="str">
        <f>IF('DCF Guanacevi'!AG43+'DCF Bolanitos'!AG43+'DCF Terronera'!AB35&gt;0,('DCF Guanacevi'!AG43*'DCF Guanacevi'!AG47+'DCF Bolanitos'!AG43*'DCF Bolanitos'!AG48+'DCF Terronera'!AB35*'DCF Terronera'!AB39)/('DCF Guanacevi'!AG43+'DCF Bolanitos'!AG43+'DCF Terronera'!AB35),"")</f>
        <v/>
      </c>
      <c r="AF15" s="43" t="str">
        <f>IF('DCF Guanacevi'!AH43+'DCF Bolanitos'!AH43+'DCF Terronera'!AC35&gt;0,('DCF Guanacevi'!AH43*'DCF Guanacevi'!AH47+'DCF Bolanitos'!AH43*'DCF Bolanitos'!AH48+'DCF Terronera'!AC35*'DCF Terronera'!AC39)/('DCF Guanacevi'!AH43+'DCF Bolanitos'!AH43+'DCF Terronera'!AC35),"")</f>
        <v/>
      </c>
      <c r="AG15" s="43" t="str">
        <f>IF('DCF Guanacevi'!AI43+'DCF Bolanitos'!AI43+'DCF Terronera'!AD35&gt;0,('DCF Guanacevi'!AI43*'DCF Guanacevi'!AI47+'DCF Bolanitos'!AI43*'DCF Bolanitos'!AI48+'DCF Terronera'!AD35*'DCF Terronera'!AD39)/('DCF Guanacevi'!AI43+'DCF Bolanitos'!AI43+'DCF Terronera'!AD35),"")</f>
        <v/>
      </c>
      <c r="AH15" s="43" t="str">
        <f>IF('DCF Guanacevi'!AJ43+'DCF Bolanitos'!AJ43+'DCF Terronera'!AE35&gt;0,('DCF Guanacevi'!AJ43*'DCF Guanacevi'!AJ47+'DCF Bolanitos'!AJ43*'DCF Bolanitos'!AJ48+'DCF Terronera'!AE35*'DCF Terronera'!AE39)/('DCF Guanacevi'!AJ43+'DCF Bolanitos'!AJ43+'DCF Terronera'!AE35),"")</f>
        <v/>
      </c>
      <c r="AI15" s="43" t="str">
        <f>IF('DCF Guanacevi'!AK43+'DCF Bolanitos'!AK43+'DCF Terronera'!AF35&gt;0,('DCF Guanacevi'!AK43*'DCF Guanacevi'!AK47+'DCF Bolanitos'!AK43*'DCF Bolanitos'!AK48+'DCF Terronera'!AF35*'DCF Terronera'!AF39)/('DCF Guanacevi'!AK43+'DCF Bolanitos'!AK43+'DCF Terronera'!AF35),"")</f>
        <v/>
      </c>
      <c r="AJ15" s="43" t="str">
        <f>IF('DCF Guanacevi'!AL43+'DCF Bolanitos'!AL43+'DCF Terronera'!AG35&gt;0,('DCF Guanacevi'!AL43*'DCF Guanacevi'!AL47+'DCF Bolanitos'!AL43*'DCF Bolanitos'!AL48+'DCF Terronera'!AG35*'DCF Terronera'!AG39)/('DCF Guanacevi'!AL43+'DCF Bolanitos'!AL43+'DCF Terronera'!AG35),"")</f>
        <v/>
      </c>
      <c r="AK15" s="35"/>
    </row>
    <row r="16" spans="1:39" x14ac:dyDescent="0.25">
      <c r="A16" t="s">
        <v>165</v>
      </c>
      <c r="B16" t="s">
        <v>22</v>
      </c>
      <c r="C16" s="16">
        <f>51797/53007</f>
        <v>0.97717282623049784</v>
      </c>
      <c r="D16" s="16">
        <f>51826/52967</f>
        <v>0.97845828534748047</v>
      </c>
      <c r="E16" s="16">
        <f>38003/38907</f>
        <v>0.97676510653609894</v>
      </c>
      <c r="F16" s="16">
        <f>36392/37139</f>
        <v>0.97988637281563851</v>
      </c>
      <c r="G16" s="16">
        <f>41438/42262</f>
        <v>0.98050257914911743</v>
      </c>
      <c r="H16" s="16">
        <f>('DCF Guanacevi'!J44*'DCF Guanacevi'!J48+'DCF Bolanitos'!J44*'DCF Bolanitos'!J48)/('DCF Guanacevi'!J44+'DCF Bolanitos'!J44)</f>
        <v>0.9832087406555492</v>
      </c>
      <c r="I16" s="52">
        <f t="shared" si="17"/>
        <v>0.96823347223805267</v>
      </c>
      <c r="J16" s="43">
        <f>IF('DCF Guanacevi'!L44+'DCF Bolanitos'!L44+'DCF Terronera'!G36&gt;0,('DCF Guanacevi'!L44*'DCF Guanacevi'!L48+'DCF Bolanitos'!L44*'DCF Bolanitos'!L48+'DCF Terronera'!G36*'DCF Terronera'!G40)/('DCF Guanacevi'!L44+'DCF Bolanitos'!L44+'DCF Terronera'!G36),"")</f>
        <v>0.98161954663600426</v>
      </c>
      <c r="K16" s="43">
        <f>IF('DCF Guanacevi'!M44+'DCF Bolanitos'!M44+'DCF Terronera'!H36&gt;0,('DCF Guanacevi'!M44*'DCF Guanacevi'!M48+'DCF Bolanitos'!M44*'DCF Bolanitos'!M48+'DCF Terronera'!H36*'DCF Terronera'!H40)/('DCF Guanacevi'!M44+'DCF Bolanitos'!M44+'DCF Terronera'!H36),"")</f>
        <v>0.98161017559595198</v>
      </c>
      <c r="L16" s="43">
        <f>IF('DCF Guanacevi'!N44+'DCF Bolanitos'!N44+'DCF Terronera'!I36&gt;0,('DCF Guanacevi'!N44*'DCF Guanacevi'!N48+'DCF Bolanitos'!N44*'DCF Bolanitos'!N48+'DCF Terronera'!I36*'DCF Terronera'!I40)/('DCF Guanacevi'!N44+'DCF Bolanitos'!N44+'DCF Terronera'!I36),"")</f>
        <v>0.98177204458514811</v>
      </c>
      <c r="M16" s="43">
        <f>IF('DCF Guanacevi'!O44+'DCF Bolanitos'!O44+'DCF Terronera'!J36&gt;0,('DCF Guanacevi'!O44*'DCF Guanacevi'!O48+'DCF Bolanitos'!O44*'DCF Bolanitos'!O48+'DCF Terronera'!J36*'DCF Terronera'!J40)/('DCF Guanacevi'!O44+'DCF Bolanitos'!O44+'DCF Terronera'!J36),"")</f>
        <v>0.98177884364905288</v>
      </c>
      <c r="N16" s="43">
        <f>IF('DCF Guanacevi'!P44+'DCF Bolanitos'!P44+'DCF Terronera'!K36&gt;0,('DCF Guanacevi'!P44*'DCF Guanacevi'!P48+'DCF Bolanitos'!P44*'DCF Bolanitos'!P48+'DCF Terronera'!K36*'DCF Terronera'!K40)/('DCF Guanacevi'!P44+'DCF Bolanitos'!P44+'DCF Terronera'!K36),"")</f>
        <v>0.97880809069550001</v>
      </c>
      <c r="O16" s="43">
        <f>IF('DCF Guanacevi'!Q44+'DCF Bolanitos'!Q44+'DCF Terronera'!L36&gt;0,('DCF Guanacevi'!Q44*'DCF Guanacevi'!Q48+'DCF Bolanitos'!Q44*'DCF Bolanitos'!Q48+'DCF Terronera'!L36*'DCF Terronera'!L40)/('DCF Guanacevi'!Q44+'DCF Bolanitos'!Q44+'DCF Terronera'!L36),"")</f>
        <v>0.97896151144421173</v>
      </c>
      <c r="P16" s="43">
        <f>IF('DCF Guanacevi'!R44+'DCF Bolanitos'!R44+'DCF Terronera'!M36&gt;0,('DCF Guanacevi'!R44*'DCF Guanacevi'!R48+'DCF Bolanitos'!R44*'DCF Bolanitos'!R48+'DCF Terronera'!M36*'DCF Terronera'!M40)/('DCF Guanacevi'!R44+'DCF Bolanitos'!R44+'DCF Terronera'!M36),"")</f>
        <v>0.96883707696271337</v>
      </c>
      <c r="Q16" s="43">
        <f>IF('DCF Guanacevi'!S44+'DCF Bolanitos'!S44+'DCF Terronera'!N36&gt;0,('DCF Guanacevi'!S44*'DCF Guanacevi'!S48+'DCF Bolanitos'!S44*'DCF Bolanitos'!S48+'DCF Terronera'!N36*'DCF Terronera'!N40)/('DCF Guanacevi'!S44+'DCF Bolanitos'!S44+'DCF Terronera'!N36),"")</f>
        <v>0.96071428571428574</v>
      </c>
      <c r="R16" s="43">
        <f>IF('DCF Guanacevi'!T44+'DCF Bolanitos'!T44+'DCF Terronera'!O36&gt;0,('DCF Guanacevi'!T44*'DCF Guanacevi'!T48+'DCF Bolanitos'!T44*'DCF Bolanitos'!T48+'DCF Terronera'!O36*'DCF Terronera'!O40)/('DCF Guanacevi'!T44+'DCF Bolanitos'!T44+'DCF Terronera'!O36),"")</f>
        <v>0.97186700767263423</v>
      </c>
      <c r="S16" s="43">
        <f>IF('DCF Guanacevi'!U44+'DCF Bolanitos'!U44+'DCF Terronera'!P36&gt;0,('DCF Guanacevi'!U44*'DCF Guanacevi'!U48+'DCF Bolanitos'!U44*'DCF Bolanitos'!U48+'DCF Terronera'!P36*'DCF Terronera'!P40)/('DCF Guanacevi'!U44+'DCF Bolanitos'!U44+'DCF Terronera'!P36),"")</f>
        <v>0.9569377990430622</v>
      </c>
      <c r="T16" s="43">
        <f>IF('DCF Guanacevi'!V44+'DCF Bolanitos'!V44+'DCF Terronera'!Q36&gt;0,('DCF Guanacevi'!V44*'DCF Guanacevi'!V48+'DCF Bolanitos'!V44*'DCF Bolanitos'!V48+'DCF Terronera'!Q36*'DCF Terronera'!Q40)/('DCF Guanacevi'!V44+'DCF Bolanitos'!V44+'DCF Terronera'!Q36),"")</f>
        <v>0.96116504854368934</v>
      </c>
      <c r="U16" s="43">
        <f>IF('DCF Guanacevi'!W44+'DCF Bolanitos'!W44+'DCF Terronera'!R36&gt;0,('DCF Guanacevi'!W44*'DCF Guanacevi'!W48+'DCF Bolanitos'!W44*'DCF Bolanitos'!W48+'DCF Terronera'!R36*'DCF Terronera'!R40)/('DCF Guanacevi'!W44+'DCF Bolanitos'!W44+'DCF Terronera'!R36),"")</f>
        <v>0.95669291338582674</v>
      </c>
      <c r="V16" s="43">
        <f>IF('DCF Guanacevi'!X44+'DCF Bolanitos'!X44+'DCF Terronera'!S36&gt;0,('DCF Guanacevi'!X44*'DCF Guanacevi'!X48+'DCF Bolanitos'!X44*'DCF Bolanitos'!X48+'DCF Terronera'!S36*'DCF Terronera'!S40)/('DCF Guanacevi'!X44+'DCF Bolanitos'!X44+'DCF Terronera'!S36),"")</f>
        <v>0.9580152671755725</v>
      </c>
      <c r="W16" s="43">
        <f>IF('DCF Guanacevi'!Y44+'DCF Bolanitos'!Y44+'DCF Terronera'!T36&gt;0,('DCF Guanacevi'!Y44*'DCF Guanacevi'!Y48+'DCF Bolanitos'!Y44*'DCF Bolanitos'!Y48+'DCF Terronera'!T36*'DCF Terronera'!T40)/('DCF Guanacevi'!Y44+'DCF Bolanitos'!Y44+'DCF Terronera'!T36),"")</f>
        <v>0.96193771626297575</v>
      </c>
      <c r="X16" s="43">
        <f>IF('DCF Guanacevi'!Z44+'DCF Bolanitos'!Z44+'DCF Terronera'!U36&gt;0,('DCF Guanacevi'!Z44*'DCF Guanacevi'!Z48+'DCF Bolanitos'!Z44*'DCF Bolanitos'!Z48+'DCF Terronera'!U36*'DCF Terronera'!U40)/('DCF Guanacevi'!Z44+'DCF Bolanitos'!Z44+'DCF Terronera'!U36),"")</f>
        <v>0.9625850340136054</v>
      </c>
      <c r="Y16" s="43">
        <f>IF('DCF Guanacevi'!AA44+'DCF Bolanitos'!AA44+'DCF Terronera'!V36&gt;0,('DCF Guanacevi'!AA44*'DCF Guanacevi'!AA48+'DCF Bolanitos'!AA44*'DCF Bolanitos'!AA48+'DCF Terronera'!V36*'DCF Terronera'!V40)/('DCF Guanacevi'!AA44+'DCF Bolanitos'!AA44+'DCF Terronera'!V36),"")</f>
        <v>0.95769230769230773</v>
      </c>
      <c r="Z16" s="43">
        <f>IF('DCF Guanacevi'!AB44+'DCF Bolanitos'!AB44+'DCF Terronera'!W36&gt;0,('DCF Guanacevi'!AB44*'DCF Guanacevi'!AB48+'DCF Bolanitos'!AB44*'DCF Bolanitos'!AB48+'DCF Terronera'!W36*'DCF Terronera'!W40)/('DCF Guanacevi'!AB44+'DCF Bolanitos'!AB44+'DCF Terronera'!W36),"")</f>
        <v>0.95897435897435901</v>
      </c>
      <c r="AA16" s="43" t="str">
        <f>IF('DCF Guanacevi'!AC44+'DCF Bolanitos'!AC44+'DCF Terronera'!X36&gt;0,('DCF Guanacevi'!AC44*'DCF Guanacevi'!AC48+'DCF Bolanitos'!AC44*'DCF Bolanitos'!AC48+'DCF Terronera'!X36*'DCF Terronera'!X40)/('DCF Guanacevi'!AC44+'DCF Bolanitos'!AC44+'DCF Terronera'!X36),"")</f>
        <v/>
      </c>
      <c r="AB16" s="43" t="str">
        <f>IF('DCF Guanacevi'!AD44+'DCF Bolanitos'!AD44+'DCF Terronera'!Y36&gt;0,('DCF Guanacevi'!AD44*'DCF Guanacevi'!AD48+'DCF Bolanitos'!AD44*'DCF Bolanitos'!AD48+'DCF Terronera'!Y36*'DCF Terronera'!Y40)/('DCF Guanacevi'!AD44+'DCF Bolanitos'!AD44+'DCF Terronera'!Y36),"")</f>
        <v/>
      </c>
      <c r="AC16" s="43" t="str">
        <f>IF('DCF Guanacevi'!AE44+'DCF Bolanitos'!AE44+'DCF Terronera'!Z36&gt;0,('DCF Guanacevi'!AE44*'DCF Guanacevi'!AE48+'DCF Bolanitos'!AE44*'DCF Bolanitos'!AE48+'DCF Terronera'!Z36*'DCF Terronera'!Z40)/('DCF Guanacevi'!AE44+'DCF Bolanitos'!AE44+'DCF Terronera'!Z36),"")</f>
        <v/>
      </c>
      <c r="AD16" s="43" t="str">
        <f>IF('DCF Guanacevi'!AF44+'DCF Bolanitos'!AF44+'DCF Terronera'!AA36&gt;0,('DCF Guanacevi'!AF44*'DCF Guanacevi'!AF48+'DCF Bolanitos'!AF44*'DCF Bolanitos'!AF48+'DCF Terronera'!AA36*'DCF Terronera'!AA40)/('DCF Guanacevi'!AF44+'DCF Bolanitos'!AF44+'DCF Terronera'!AA36),"")</f>
        <v/>
      </c>
      <c r="AE16" s="43" t="str">
        <f>IF('DCF Guanacevi'!AG44+'DCF Bolanitos'!AG44+'DCF Terronera'!AB36&gt;0,('DCF Guanacevi'!AG44*'DCF Guanacevi'!AG48+'DCF Bolanitos'!AG44*'DCF Bolanitos'!AG48+'DCF Terronera'!AB36*'DCF Terronera'!AB40)/('DCF Guanacevi'!AG44+'DCF Bolanitos'!AG44+'DCF Terronera'!AB36),"")</f>
        <v/>
      </c>
      <c r="AF16" s="43" t="str">
        <f>IF('DCF Guanacevi'!AH44+'DCF Bolanitos'!AH44+'DCF Terronera'!AC36&gt;0,('DCF Guanacevi'!AH44*'DCF Guanacevi'!AH48+'DCF Bolanitos'!AH44*'DCF Bolanitos'!AH48+'DCF Terronera'!AC36*'DCF Terronera'!AC40)/('DCF Guanacevi'!AH44+'DCF Bolanitos'!AH44+'DCF Terronera'!AC36),"")</f>
        <v/>
      </c>
      <c r="AG16" s="43" t="str">
        <f>IF('DCF Guanacevi'!AI44+'DCF Bolanitos'!AI44+'DCF Terronera'!AD36&gt;0,('DCF Guanacevi'!AI44*'DCF Guanacevi'!AI48+'DCF Bolanitos'!AI44*'DCF Bolanitos'!AI48+'DCF Terronera'!AD36*'DCF Terronera'!AD40)/('DCF Guanacevi'!AI44+'DCF Bolanitos'!AI44+'DCF Terronera'!AD36),"")</f>
        <v/>
      </c>
      <c r="AH16" s="43" t="str">
        <f>IF('DCF Guanacevi'!AJ44+'DCF Bolanitos'!AJ44+'DCF Terronera'!AE36&gt;0,('DCF Guanacevi'!AJ44*'DCF Guanacevi'!AJ48+'DCF Bolanitos'!AJ44*'DCF Bolanitos'!AJ48+'DCF Terronera'!AE36*'DCF Terronera'!AE40)/('DCF Guanacevi'!AJ44+'DCF Bolanitos'!AJ44+'DCF Terronera'!AE36),"")</f>
        <v/>
      </c>
      <c r="AI16" s="43" t="str">
        <f>IF('DCF Guanacevi'!AK44+'DCF Bolanitos'!AK44+'DCF Terronera'!AF36&gt;0,('DCF Guanacevi'!AK44*'DCF Guanacevi'!AK48+'DCF Bolanitos'!AK44*'DCF Bolanitos'!AK48+'DCF Terronera'!AF36*'DCF Terronera'!AF40)/('DCF Guanacevi'!AK44+'DCF Bolanitos'!AK44+'DCF Terronera'!AF36),"")</f>
        <v/>
      </c>
      <c r="AJ16" s="43" t="str">
        <f>IF('DCF Guanacevi'!AL44+'DCF Bolanitos'!AL44+'DCF Terronera'!AG36&gt;0,('DCF Guanacevi'!AL44*'DCF Guanacevi'!AL48+'DCF Bolanitos'!AL44*'DCF Bolanitos'!AL48+'DCF Terronera'!AG36*'DCF Terronera'!AG40)/('DCF Guanacevi'!AL44+'DCF Bolanitos'!AL44+'DCF Terronera'!AG36),"")</f>
        <v/>
      </c>
      <c r="AK16" s="35"/>
    </row>
    <row r="17" spans="1:37" x14ac:dyDescent="0.25">
      <c r="A17" t="s">
        <v>167</v>
      </c>
      <c r="B17" t="s">
        <v>40</v>
      </c>
      <c r="C17" s="10">
        <v>4803589</v>
      </c>
      <c r="D17" s="10">
        <v>5417633</v>
      </c>
      <c r="E17" s="10">
        <v>3951923</v>
      </c>
      <c r="F17" s="10">
        <f>3482094</f>
        <v>3482094</v>
      </c>
      <c r="G17" s="10">
        <f>4826681</f>
        <v>4826681</v>
      </c>
      <c r="H17" s="10">
        <f>'DCF Guanacevi'!J51+'DCF Bolanitos'!J51</f>
        <v>1303540</v>
      </c>
      <c r="I17" s="47">
        <f>SUM(J17:AJ17)</f>
        <v>59062957.93230319</v>
      </c>
      <c r="J17" s="36">
        <f>'DCF Guanacevi'!L51+'DCF Bolanitos'!L51+'DCF Terronera'!G43</f>
        <v>1193580.0649241398</v>
      </c>
      <c r="K17" s="36">
        <f>'DCF Guanacevi'!M51+'DCF Bolanitos'!M51+'DCF Terronera'!H43</f>
        <v>1201948.4472978557</v>
      </c>
      <c r="L17" s="36">
        <f>'DCF Guanacevi'!N51+'DCF Bolanitos'!N51+'DCF Terronera'!I43</f>
        <v>1201948.4472978557</v>
      </c>
      <c r="M17" s="36">
        <f>'DCF Guanacevi'!O51+'DCF Bolanitos'!O51+'DCF Terronera'!J43</f>
        <v>1334855.891076796</v>
      </c>
      <c r="N17" s="36">
        <f>'DCF Guanacevi'!P51+'DCF Bolanitos'!P51+'DCF Terronera'!K43</f>
        <v>5199486.6010605637</v>
      </c>
      <c r="O17" s="36">
        <f>'DCF Guanacevi'!Q51+'DCF Bolanitos'!Q51+'DCF Terronera'!L43</f>
        <v>10382278.337615274</v>
      </c>
      <c r="P17" s="36">
        <f>'DCF Guanacevi'!R51+'DCF Bolanitos'!R51+'DCF Terronera'!M43</f>
        <v>8290860.1430306984</v>
      </c>
      <c r="Q17" s="36">
        <f>'DCF Guanacevi'!S51+'DCF Bolanitos'!S51+'DCF Terronera'!N43</f>
        <v>4709000</v>
      </c>
      <c r="R17" s="36">
        <f>'DCF Guanacevi'!T51+'DCF Bolanitos'!T51+'DCF Terronera'!O43</f>
        <v>3726000</v>
      </c>
      <c r="S17" s="36">
        <f>'DCF Guanacevi'!U51+'DCF Bolanitos'!U51+'DCF Terronera'!P43</f>
        <v>2928000</v>
      </c>
      <c r="T17" s="36">
        <f>'DCF Guanacevi'!V51+'DCF Bolanitos'!V51+'DCF Terronera'!Q43</f>
        <v>3332000</v>
      </c>
      <c r="U17" s="36">
        <f>'DCF Guanacevi'!W51+'DCF Bolanitos'!W51+'DCF Terronera'!R43</f>
        <v>3560000</v>
      </c>
      <c r="V17" s="36">
        <f>'DCF Guanacevi'!X51+'DCF Bolanitos'!X51+'DCF Terronera'!S43</f>
        <v>2997000</v>
      </c>
      <c r="W17" s="36">
        <f>'DCF Guanacevi'!Y51+'DCF Bolanitos'!Y51+'DCF Terronera'!T43</f>
        <v>2644000</v>
      </c>
      <c r="X17" s="36">
        <f>'DCF Guanacevi'!Z51+'DCF Bolanitos'!Z51+'DCF Terronera'!U43</f>
        <v>2299000</v>
      </c>
      <c r="Y17" s="36">
        <f>'DCF Guanacevi'!AA51+'DCF Bolanitos'!AA51+'DCF Terronera'!V43</f>
        <v>2575000</v>
      </c>
      <c r="Z17" s="36">
        <f>'DCF Guanacevi'!AB51+'DCF Bolanitos'!AB51+'DCF Terronera'!W43</f>
        <v>1488000</v>
      </c>
      <c r="AA17" s="36">
        <f>'DCF Guanacevi'!AC51+'DCF Bolanitos'!AC51+'DCF Terronera'!X43</f>
        <v>0</v>
      </c>
      <c r="AB17" s="36">
        <f>'DCF Guanacevi'!AD51+'DCF Bolanitos'!AD51+'DCF Terronera'!Y43</f>
        <v>0</v>
      </c>
      <c r="AC17" s="36">
        <f>'DCF Guanacevi'!AE51+'DCF Bolanitos'!AE51+'DCF Terronera'!Z43</f>
        <v>0</v>
      </c>
      <c r="AD17" s="36">
        <f>'DCF Guanacevi'!AF51+'DCF Bolanitos'!AF51+'DCF Terronera'!AA43</f>
        <v>0</v>
      </c>
      <c r="AE17" s="36">
        <f>'DCF Guanacevi'!AG51+'DCF Bolanitos'!AG51+'DCF Terronera'!AB43</f>
        <v>0</v>
      </c>
      <c r="AF17" s="36">
        <f>'DCF Guanacevi'!AH51+'DCF Bolanitos'!AH51+'DCF Terronera'!AC43</f>
        <v>0</v>
      </c>
      <c r="AG17" s="36">
        <f>'DCF Guanacevi'!AI51+'DCF Bolanitos'!AI51+'DCF Terronera'!AD43</f>
        <v>0</v>
      </c>
      <c r="AH17" s="36">
        <f>'DCF Guanacevi'!AJ51+'DCF Bolanitos'!AJ51+'DCF Terronera'!AE43</f>
        <v>0</v>
      </c>
      <c r="AI17" s="36">
        <f>'DCF Guanacevi'!AK51+'DCF Bolanitos'!AK51+'DCF Terronera'!AF43</f>
        <v>0</v>
      </c>
      <c r="AJ17" s="36">
        <f>'DCF Guanacevi'!AL51+'DCF Bolanitos'!AL51+'DCF Terronera'!AG43</f>
        <v>0</v>
      </c>
      <c r="AK17" s="35"/>
    </row>
    <row r="18" spans="1:37" x14ac:dyDescent="0.25">
      <c r="A18" t="s">
        <v>168</v>
      </c>
      <c r="B18" t="s">
        <v>40</v>
      </c>
      <c r="C18" s="10">
        <v>51797</v>
      </c>
      <c r="D18" s="10">
        <v>51826</v>
      </c>
      <c r="E18" s="10">
        <v>38003</v>
      </c>
      <c r="F18" s="10">
        <f>36392</f>
        <v>36392</v>
      </c>
      <c r="G18" s="10">
        <f>41438</f>
        <v>41438</v>
      </c>
      <c r="H18" s="10">
        <f>'DCF Guanacevi'!J52+'DCF Bolanitos'!J52</f>
        <v>8549</v>
      </c>
      <c r="I18" s="47">
        <f>SUM(J18:AJ18)</f>
        <v>497289.23780989629</v>
      </c>
      <c r="J18" s="36">
        <f>'DCF Guanacevi'!L52+'DCF Bolanitos'!L52+'DCF Terronera'!G44</f>
        <v>8574.0792156280877</v>
      </c>
      <c r="K18" s="36">
        <f>'DCF Guanacevi'!M52+'DCF Bolanitos'!M52+'DCF Terronera'!H44</f>
        <v>8685.3806939487185</v>
      </c>
      <c r="L18" s="36">
        <f>'DCF Guanacevi'!N52+'DCF Bolanitos'!N52+'DCF Terronera'!I44</f>
        <v>8951.2915877918695</v>
      </c>
      <c r="M18" s="36">
        <f>'DCF Guanacevi'!O52+'DCF Bolanitos'!O52+'DCF Terronera'!J44</f>
        <v>8653.2374780349001</v>
      </c>
      <c r="N18" s="36">
        <f>'DCF Guanacevi'!P52+'DCF Bolanitos'!P52+'DCF Terronera'!K44</f>
        <v>46673.948983883085</v>
      </c>
      <c r="O18" s="36">
        <f>'DCF Guanacevi'!Q52+'DCF Bolanitos'!Q52+'DCF Terronera'!L44</f>
        <v>93948.580717969147</v>
      </c>
      <c r="P18" s="36">
        <f>'DCF Guanacevi'!R52+'DCF Bolanitos'!R52+'DCF Terronera'!M44</f>
        <v>38102.719132640501</v>
      </c>
      <c r="Q18" s="36">
        <f>'DCF Guanacevi'!S52+'DCF Bolanitos'!S52+'DCF Terronera'!N44</f>
        <v>26900</v>
      </c>
      <c r="R18" s="36">
        <f>'DCF Guanacevi'!T52+'DCF Bolanitos'!T52+'DCF Terronera'!O44</f>
        <v>38000</v>
      </c>
      <c r="S18" s="36">
        <f>'DCF Guanacevi'!U52+'DCF Bolanitos'!U52+'DCF Terronera'!P44</f>
        <v>40000</v>
      </c>
      <c r="T18" s="36">
        <f>'DCF Guanacevi'!V52+'DCF Bolanitos'!V52+'DCF Terronera'!Q44</f>
        <v>29700</v>
      </c>
      <c r="U18" s="36">
        <f>'DCF Guanacevi'!W52+'DCF Bolanitos'!W52+'DCF Terronera'!R44</f>
        <v>24300</v>
      </c>
      <c r="V18" s="36">
        <f>'DCF Guanacevi'!X52+'DCF Bolanitos'!X52+'DCF Terronera'!S44</f>
        <v>25100</v>
      </c>
      <c r="W18" s="36">
        <f>'DCF Guanacevi'!Y52+'DCF Bolanitos'!Y52+'DCF Terronera'!T44</f>
        <v>27800</v>
      </c>
      <c r="X18" s="36">
        <f>'DCF Guanacevi'!Z52+'DCF Bolanitos'!Z52+'DCF Terronera'!U44</f>
        <v>28300</v>
      </c>
      <c r="Y18" s="36">
        <f>'DCF Guanacevi'!AA52+'DCF Bolanitos'!AA52+'DCF Terronera'!V44</f>
        <v>24900</v>
      </c>
      <c r="Z18" s="36">
        <f>'DCF Guanacevi'!AB52+'DCF Bolanitos'!AB52+'DCF Terronera'!W44</f>
        <v>18700</v>
      </c>
      <c r="AA18" s="36">
        <f>'DCF Guanacevi'!AC52+'DCF Bolanitos'!AC52+'DCF Terronera'!X44</f>
        <v>0</v>
      </c>
      <c r="AB18" s="36">
        <f>'DCF Guanacevi'!AD52+'DCF Bolanitos'!AD52+'DCF Terronera'!Y44</f>
        <v>0</v>
      </c>
      <c r="AC18" s="36">
        <f>'DCF Guanacevi'!AE52+'DCF Bolanitos'!AE52+'DCF Terronera'!Z44</f>
        <v>0</v>
      </c>
      <c r="AD18" s="36">
        <f>'DCF Guanacevi'!AF52+'DCF Bolanitos'!AF52+'DCF Terronera'!AA44</f>
        <v>0</v>
      </c>
      <c r="AE18" s="36">
        <f>'DCF Guanacevi'!AG52+'DCF Bolanitos'!AG52+'DCF Terronera'!AB44</f>
        <v>0</v>
      </c>
      <c r="AF18" s="36">
        <f>'DCF Guanacevi'!AH52+'DCF Bolanitos'!AH52+'DCF Terronera'!AC44</f>
        <v>0</v>
      </c>
      <c r="AG18" s="36">
        <f>'DCF Guanacevi'!AI52+'DCF Bolanitos'!AI52+'DCF Terronera'!AD44</f>
        <v>0</v>
      </c>
      <c r="AH18" s="36">
        <f>'DCF Guanacevi'!AJ52+'DCF Bolanitos'!AJ52+'DCF Terronera'!AE44</f>
        <v>0</v>
      </c>
      <c r="AI18" s="36">
        <f>'DCF Guanacevi'!AK52+'DCF Bolanitos'!AK52+'DCF Terronera'!AF44</f>
        <v>0</v>
      </c>
      <c r="AJ18" s="36">
        <f>'DCF Guanacevi'!AL52+'DCF Bolanitos'!AL52+'DCF Terronera'!AG44</f>
        <v>0</v>
      </c>
      <c r="AK18" s="35"/>
    </row>
    <row r="19" spans="1:37" ht="15.75" thickBot="1" x14ac:dyDescent="0.3">
      <c r="A19" s="7" t="s">
        <v>43</v>
      </c>
      <c r="I19" s="49"/>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row>
    <row r="20" spans="1:37" x14ac:dyDescent="0.25">
      <c r="A20" t="s">
        <v>21</v>
      </c>
      <c r="B20" t="s">
        <v>44</v>
      </c>
      <c r="C20" s="10">
        <v>84360000</v>
      </c>
      <c r="D20" s="10">
        <v>85480000</v>
      </c>
      <c r="E20" s="10">
        <v>66054000</v>
      </c>
      <c r="F20" s="10">
        <v>74733000</v>
      </c>
      <c r="G20" s="10">
        <v>97257000</v>
      </c>
      <c r="H20" s="10">
        <v>41884000</v>
      </c>
      <c r="I20" s="47">
        <f>SUM(J20:AJ20)</f>
        <v>1466983465.876318</v>
      </c>
      <c r="J20" s="36">
        <f>J3*J17</f>
        <v>26258761.428331073</v>
      </c>
      <c r="K20" s="36">
        <f>K3*K17</f>
        <v>26442865.840552825</v>
      </c>
      <c r="L20" s="36">
        <f>L3*L17</f>
        <v>27644814.287850682</v>
      </c>
      <c r="M20" s="36">
        <f>M3*M17</f>
        <v>33371397.276919901</v>
      </c>
      <c r="N20" s="36">
        <f>N3*N17</f>
        <v>129987165.0265141</v>
      </c>
      <c r="O20" s="36">
        <f>O3*O17</f>
        <v>259556958.44038185</v>
      </c>
      <c r="P20" s="36">
        <f>P3*P17</f>
        <v>207271503.57576746</v>
      </c>
      <c r="Q20" s="36">
        <f>Q3*Q17</f>
        <v>117725000</v>
      </c>
      <c r="R20" s="36">
        <f>R3*R17</f>
        <v>93150000</v>
      </c>
      <c r="S20" s="36">
        <f>S3*S17</f>
        <v>73200000</v>
      </c>
      <c r="T20" s="36">
        <f>T3*T17</f>
        <v>83300000</v>
      </c>
      <c r="U20" s="36">
        <f>U3*U17</f>
        <v>89000000</v>
      </c>
      <c r="V20" s="36">
        <f>V3*V17</f>
        <v>74925000</v>
      </c>
      <c r="W20" s="36">
        <f>W3*W17</f>
        <v>66100000</v>
      </c>
      <c r="X20" s="36">
        <f>X3*X17</f>
        <v>57475000</v>
      </c>
      <c r="Y20" s="36">
        <f>Y3*Y17</f>
        <v>64375000</v>
      </c>
      <c r="Z20" s="36">
        <f>Z3*Z17</f>
        <v>37200000</v>
      </c>
      <c r="AA20" s="36">
        <f>AA3*AA17</f>
        <v>0</v>
      </c>
      <c r="AB20" s="36">
        <f>AB3*AB17</f>
        <v>0</v>
      </c>
      <c r="AC20" s="36">
        <f>AC3*AC17</f>
        <v>0</v>
      </c>
      <c r="AD20" s="36">
        <f>AD3*AD17</f>
        <v>0</v>
      </c>
      <c r="AE20" s="36">
        <f>AE3*AE17</f>
        <v>0</v>
      </c>
      <c r="AF20" s="36">
        <f>AF3*AF17</f>
        <v>0</v>
      </c>
      <c r="AG20" s="36">
        <f>AG3*AG17</f>
        <v>0</v>
      </c>
      <c r="AH20" s="36">
        <f>AH3*AH17</f>
        <v>0</v>
      </c>
      <c r="AI20" s="36">
        <f>AI3*AI17</f>
        <v>0</v>
      </c>
      <c r="AJ20" s="36">
        <f>AJ3*AJ17</f>
        <v>0</v>
      </c>
      <c r="AK20" s="35"/>
    </row>
    <row r="21" spans="1:37" x14ac:dyDescent="0.25">
      <c r="A21" s="5" t="s">
        <v>23</v>
      </c>
      <c r="B21" t="s">
        <v>44</v>
      </c>
      <c r="C21" s="10">
        <v>66139000</v>
      </c>
      <c r="D21" s="10">
        <v>65029000</v>
      </c>
      <c r="E21" s="10">
        <v>55670000</v>
      </c>
      <c r="F21" s="10">
        <v>65554000</v>
      </c>
      <c r="G21" s="10">
        <v>70022000</v>
      </c>
      <c r="H21" s="10">
        <v>16510000</v>
      </c>
      <c r="I21" s="47">
        <f>SUM(J21:AJ21)</f>
        <v>872601158.32197833</v>
      </c>
      <c r="J21" s="36">
        <f>J4*J18</f>
        <v>16033528.133224525</v>
      </c>
      <c r="K21" s="36">
        <f>K4*K18</f>
        <v>16067954.28380513</v>
      </c>
      <c r="L21" s="36">
        <f>L4*L18</f>
        <v>16112324.858025365</v>
      </c>
      <c r="M21" s="36">
        <f>M4*M18</f>
        <v>15143165.586561074</v>
      </c>
      <c r="N21" s="36">
        <f>N4*N18</f>
        <v>81679410.721795395</v>
      </c>
      <c r="O21" s="36">
        <f>O4*O18</f>
        <v>164410016.256446</v>
      </c>
      <c r="P21" s="36">
        <f>P4*P18</f>
        <v>66679758.482120879</v>
      </c>
      <c r="Q21" s="36">
        <f>Q4*Q18</f>
        <v>47075000</v>
      </c>
      <c r="R21" s="36">
        <f>R4*R18</f>
        <v>66500000</v>
      </c>
      <c r="S21" s="36">
        <f>S4*S18</f>
        <v>70000000</v>
      </c>
      <c r="T21" s="36">
        <f>T4*T18</f>
        <v>51975000</v>
      </c>
      <c r="U21" s="36">
        <f>U4*U18</f>
        <v>42525000</v>
      </c>
      <c r="V21" s="36">
        <f>V4*V18</f>
        <v>43925000</v>
      </c>
      <c r="W21" s="36">
        <f>W4*W18</f>
        <v>48650000</v>
      </c>
      <c r="X21" s="36">
        <f>X4*X18</f>
        <v>49525000</v>
      </c>
      <c r="Y21" s="36">
        <f>Y4*Y18</f>
        <v>43575000</v>
      </c>
      <c r="Z21" s="36">
        <f>Z4*Z18</f>
        <v>32725000</v>
      </c>
      <c r="AA21" s="36">
        <f>AA4*AA18</f>
        <v>0</v>
      </c>
      <c r="AB21" s="36">
        <f>AB4*AB18</f>
        <v>0</v>
      </c>
      <c r="AC21" s="36">
        <f>AC4*AC18</f>
        <v>0</v>
      </c>
      <c r="AD21" s="36">
        <f>AD4*AD18</f>
        <v>0</v>
      </c>
      <c r="AE21" s="36">
        <f>AE4*AE18</f>
        <v>0</v>
      </c>
      <c r="AF21" s="36">
        <f>AF4*AF18</f>
        <v>0</v>
      </c>
      <c r="AG21" s="36">
        <f>AG4*AG18</f>
        <v>0</v>
      </c>
      <c r="AH21" s="36">
        <f>AH4*AH18</f>
        <v>0</v>
      </c>
      <c r="AI21" s="36">
        <f>AI4*AI18</f>
        <v>0</v>
      </c>
      <c r="AJ21" s="36">
        <f>AJ4*AJ18</f>
        <v>0</v>
      </c>
      <c r="AK21" s="35"/>
    </row>
    <row r="22" spans="1:37" x14ac:dyDescent="0.25">
      <c r="A22" t="s">
        <v>27</v>
      </c>
      <c r="C22" s="10">
        <f t="shared" ref="C22:G22" si="18">SUM(C20:C21)</f>
        <v>150499000</v>
      </c>
      <c r="D22" s="10">
        <f t="shared" si="18"/>
        <v>150509000</v>
      </c>
      <c r="E22" s="10">
        <f t="shared" si="18"/>
        <v>121724000</v>
      </c>
      <c r="F22" s="10">
        <f t="shared" si="18"/>
        <v>140287000</v>
      </c>
      <c r="G22" s="10">
        <f t="shared" si="18"/>
        <v>167279000</v>
      </c>
      <c r="H22" s="10">
        <f>SUM(H20:H21)</f>
        <v>58394000</v>
      </c>
      <c r="I22" s="47">
        <f>SUM(J22:AJ22)</f>
        <v>2339584624.1982965</v>
      </c>
      <c r="J22" s="36">
        <f>SUM(J20:J21)</f>
        <v>42292289.561555594</v>
      </c>
      <c r="K22" s="36">
        <f t="shared" ref="K22:AJ22" si="19">SUM(K20:K21)</f>
        <v>42510820.124357954</v>
      </c>
      <c r="L22" s="36">
        <f t="shared" si="19"/>
        <v>43757139.14587605</v>
      </c>
      <c r="M22" s="36">
        <f t="shared" si="19"/>
        <v>48514562.863480978</v>
      </c>
      <c r="N22" s="36">
        <f t="shared" si="19"/>
        <v>211666575.74830949</v>
      </c>
      <c r="O22" s="36">
        <f t="shared" si="19"/>
        <v>423966974.69682789</v>
      </c>
      <c r="P22" s="36">
        <f t="shared" si="19"/>
        <v>273951262.05788833</v>
      </c>
      <c r="Q22" s="36">
        <f t="shared" si="19"/>
        <v>164800000</v>
      </c>
      <c r="R22" s="36">
        <f t="shared" si="19"/>
        <v>159650000</v>
      </c>
      <c r="S22" s="36">
        <f t="shared" si="19"/>
        <v>143200000</v>
      </c>
      <c r="T22" s="36">
        <f t="shared" si="19"/>
        <v>135275000</v>
      </c>
      <c r="U22" s="36">
        <f t="shared" si="19"/>
        <v>131525000</v>
      </c>
      <c r="V22" s="36">
        <f t="shared" si="19"/>
        <v>118850000</v>
      </c>
      <c r="W22" s="36">
        <f t="shared" si="19"/>
        <v>114750000</v>
      </c>
      <c r="X22" s="36">
        <f t="shared" si="19"/>
        <v>107000000</v>
      </c>
      <c r="Y22" s="36">
        <f t="shared" si="19"/>
        <v>107950000</v>
      </c>
      <c r="Z22" s="36">
        <f t="shared" si="19"/>
        <v>69925000</v>
      </c>
      <c r="AA22" s="36">
        <f t="shared" si="19"/>
        <v>0</v>
      </c>
      <c r="AB22" s="36">
        <f t="shared" si="19"/>
        <v>0</v>
      </c>
      <c r="AC22" s="36">
        <f t="shared" si="19"/>
        <v>0</v>
      </c>
      <c r="AD22" s="36">
        <f t="shared" si="19"/>
        <v>0</v>
      </c>
      <c r="AE22" s="36">
        <f t="shared" si="19"/>
        <v>0</v>
      </c>
      <c r="AF22" s="36">
        <f t="shared" si="19"/>
        <v>0</v>
      </c>
      <c r="AG22" s="36">
        <f t="shared" si="19"/>
        <v>0</v>
      </c>
      <c r="AH22" s="36">
        <f t="shared" si="19"/>
        <v>0</v>
      </c>
      <c r="AI22" s="36">
        <f t="shared" si="19"/>
        <v>0</v>
      </c>
      <c r="AJ22" s="36">
        <f t="shared" si="19"/>
        <v>0</v>
      </c>
      <c r="AK22" s="35"/>
    </row>
    <row r="23" spans="1:37" x14ac:dyDescent="0.25">
      <c r="A23" t="s">
        <v>87</v>
      </c>
      <c r="B23" t="s">
        <v>22</v>
      </c>
      <c r="C23" s="26">
        <f>C20/SUM(C20:C21)</f>
        <v>0.5605352859487438</v>
      </c>
      <c r="D23" s="26">
        <f t="shared" ref="D23:H23" si="20">D20/SUM(D20:D21)</f>
        <v>0.56793945876990748</v>
      </c>
      <c r="E23" s="26">
        <f t="shared" si="20"/>
        <v>0.5426538726956065</v>
      </c>
      <c r="F23" s="26">
        <f t="shared" si="20"/>
        <v>0.53271507694939657</v>
      </c>
      <c r="G23" s="26">
        <f t="shared" si="20"/>
        <v>0.5814059146695042</v>
      </c>
      <c r="H23" s="26">
        <f t="shared" si="20"/>
        <v>0.71726547248004935</v>
      </c>
      <c r="I23" s="53">
        <f>AVERAGE(J23:AJ23)</f>
        <v>0.61875691570933666</v>
      </c>
      <c r="J23" s="44">
        <f t="shared" ref="J23:Z23" si="21">IF(SUM(J20:J21)&gt;0,J20/SUM(J20:J21),"")</f>
        <v>0.62088767717604798</v>
      </c>
      <c r="K23" s="44">
        <f t="shared" si="21"/>
        <v>0.62202671609719262</v>
      </c>
      <c r="L23" s="44">
        <f t="shared" si="21"/>
        <v>0.63177837553980276</v>
      </c>
      <c r="M23" s="44">
        <f t="shared" si="21"/>
        <v>0.68786350545559594</v>
      </c>
      <c r="N23" s="44">
        <f t="shared" si="21"/>
        <v>0.61411285445974462</v>
      </c>
      <c r="O23" s="44">
        <f t="shared" si="21"/>
        <v>0.61221032281107968</v>
      </c>
      <c r="P23" s="44">
        <f t="shared" si="21"/>
        <v>0.75659992225905193</v>
      </c>
      <c r="Q23" s="44">
        <f t="shared" si="21"/>
        <v>0.71435072815533984</v>
      </c>
      <c r="R23" s="44">
        <f t="shared" si="21"/>
        <v>0.58346382712182898</v>
      </c>
      <c r="S23" s="44">
        <f t="shared" si="21"/>
        <v>0.51117318435754189</v>
      </c>
      <c r="T23" s="44">
        <f t="shared" si="21"/>
        <v>0.61578266494178524</v>
      </c>
      <c r="U23" s="44">
        <f t="shared" si="21"/>
        <v>0.67667743774947731</v>
      </c>
      <c r="V23" s="44">
        <f t="shared" si="21"/>
        <v>0.63041649137568367</v>
      </c>
      <c r="W23" s="44">
        <f t="shared" si="21"/>
        <v>0.57603485838779955</v>
      </c>
      <c r="X23" s="44">
        <f t="shared" si="21"/>
        <v>0.53714953271028032</v>
      </c>
      <c r="Y23" s="44">
        <f t="shared" si="21"/>
        <v>0.59634089856415007</v>
      </c>
      <c r="Z23" s="44">
        <f t="shared" si="21"/>
        <v>0.53199856989631744</v>
      </c>
      <c r="AA23" s="44" t="str">
        <f t="shared" ref="AA23" si="22">IF(SUM(AA20:AA21)&gt;0,AA20/SUM(AA20:AA21),"")</f>
        <v/>
      </c>
      <c r="AB23" s="44" t="str">
        <f t="shared" ref="AB23" si="23">IF(SUM(AB20:AB21)&gt;0,AB20/SUM(AB20:AB21),"")</f>
        <v/>
      </c>
      <c r="AC23" s="44" t="str">
        <f t="shared" ref="AC23" si="24">IF(SUM(AC20:AC21)&gt;0,AC20/SUM(AC20:AC21),"")</f>
        <v/>
      </c>
      <c r="AD23" s="44" t="str">
        <f t="shared" ref="AD23" si="25">IF(SUM(AD20:AD21)&gt;0,AD20/SUM(AD20:AD21),"")</f>
        <v/>
      </c>
      <c r="AE23" s="44" t="str">
        <f t="shared" ref="AE23" si="26">IF(SUM(AE20:AE21)&gt;0,AE20/SUM(AE20:AE21),"")</f>
        <v/>
      </c>
      <c r="AF23" s="44" t="str">
        <f t="shared" ref="AF23" si="27">IF(SUM(AF20:AF21)&gt;0,AF20/SUM(AF20:AF21),"")</f>
        <v/>
      </c>
      <c r="AG23" s="44" t="str">
        <f t="shared" ref="AG23" si="28">IF(SUM(AG20:AG21)&gt;0,AG20/SUM(AG20:AG21),"")</f>
        <v/>
      </c>
      <c r="AH23" s="44" t="str">
        <f t="shared" ref="AH23" si="29">IF(SUM(AH20:AH21)&gt;0,AH20/SUM(AH20:AH21),"")</f>
        <v/>
      </c>
      <c r="AI23" s="44" t="str">
        <f t="shared" ref="AI23" si="30">IF(SUM(AI20:AI21)&gt;0,AI20/SUM(AI20:AI21),"")</f>
        <v/>
      </c>
      <c r="AJ23" s="44" t="str">
        <f t="shared" ref="AJ23" si="31">IF(SUM(AJ20:AJ21)&gt;0,AJ20/SUM(AJ20:AJ21),"")</f>
        <v/>
      </c>
      <c r="AK23" s="35"/>
    </row>
    <row r="24" spans="1:37" ht="15.75" thickBot="1" x14ac:dyDescent="0.3">
      <c r="A24" s="7" t="s">
        <v>170</v>
      </c>
      <c r="I24" s="49"/>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row>
    <row r="25" spans="1:37" x14ac:dyDescent="0.25">
      <c r="A25" t="s">
        <v>169</v>
      </c>
      <c r="B25" t="s">
        <v>44</v>
      </c>
      <c r="C25" s="10">
        <v>102828000</v>
      </c>
      <c r="D25" s="10">
        <v>105853000</v>
      </c>
      <c r="E25" s="10">
        <v>103085000</v>
      </c>
      <c r="F25" s="10">
        <v>76605000</v>
      </c>
      <c r="G25" s="10">
        <v>102377000</v>
      </c>
      <c r="H25" s="10">
        <v>25328000</v>
      </c>
      <c r="I25" s="47">
        <f>SUM(J25:AJ25)</f>
        <v>1031291242.1769669</v>
      </c>
      <c r="J25" s="36">
        <f>'DCF Guanacevi'!L65+'DCF Bolanitos'!L65+'DCF Terronera'!G73</f>
        <v>25752498.255301513</v>
      </c>
      <c r="K25" s="36">
        <f>'DCF Guanacevi'!M65+'DCF Bolanitos'!M65+'DCF Terronera'!H73</f>
        <v>26556202.596455976</v>
      </c>
      <c r="L25" s="36">
        <f>'DCF Guanacevi'!N65+'DCF Bolanitos'!N65+'DCF Terronera'!I73</f>
        <v>26821764.622420542</v>
      </c>
      <c r="M25" s="36">
        <f>'DCF Guanacevi'!O65+'DCF Bolanitos'!O65+'DCF Terronera'!J73</f>
        <v>26238682.782802701</v>
      </c>
      <c r="N25" s="36">
        <f>'DCF Guanacevi'!P65+'DCF Bolanitos'!P65+'DCF Terronera'!K73</f>
        <v>88439052.947452694</v>
      </c>
      <c r="O25" s="36">
        <f>'DCF Guanacevi'!Q65+'DCF Bolanitos'!Q65+'DCF Terronera'!L73</f>
        <v>181874171.79278168</v>
      </c>
      <c r="P25" s="36">
        <f>'DCF Guanacevi'!R65+'DCF Bolanitos'!R65+'DCF Terronera'!M73</f>
        <v>135858769.17975181</v>
      </c>
      <c r="Q25" s="36">
        <f>'DCF Guanacevi'!S65+'DCF Bolanitos'!S65+'DCF Terronera'!N73</f>
        <v>58948200</v>
      </c>
      <c r="R25" s="36">
        <f>'DCF Guanacevi'!T65+'DCF Bolanitos'!T65+'DCF Terronera'!O73</f>
        <v>63568200</v>
      </c>
      <c r="S25" s="36">
        <f>'DCF Guanacevi'!U65+'DCF Bolanitos'!U65+'DCF Terronera'!P73</f>
        <v>64025800</v>
      </c>
      <c r="T25" s="36">
        <f>'DCF Guanacevi'!V65+'DCF Bolanitos'!V65+'DCF Terronera'!Q73</f>
        <v>63314100</v>
      </c>
      <c r="U25" s="36">
        <f>'DCF Guanacevi'!W65+'DCF Bolanitos'!W65+'DCF Terronera'!R73</f>
        <v>51082100</v>
      </c>
      <c r="V25" s="36">
        <f>'DCF Guanacevi'!X65+'DCF Bolanitos'!X65+'DCF Terronera'!S73</f>
        <v>47921800</v>
      </c>
      <c r="W25" s="36">
        <f>'DCF Guanacevi'!Y65+'DCF Bolanitos'!Y65+'DCF Terronera'!T73</f>
        <v>48618100</v>
      </c>
      <c r="X25" s="36">
        <f>'DCF Guanacevi'!Z65+'DCF Bolanitos'!Z65+'DCF Terronera'!U73</f>
        <v>45714100</v>
      </c>
      <c r="Y25" s="36">
        <f>'DCF Guanacevi'!AA65+'DCF Bolanitos'!AA65+'DCF Terronera'!V73</f>
        <v>45663500</v>
      </c>
      <c r="Z25" s="36">
        <f>'DCF Guanacevi'!AB65+'DCF Bolanitos'!AB65+'DCF Terronera'!W73</f>
        <v>30894200.000000004</v>
      </c>
      <c r="AA25" s="36">
        <f>'DCF Guanacevi'!AC65+'DCF Bolanitos'!AC65+'DCF Terronera'!X73</f>
        <v>0</v>
      </c>
      <c r="AB25" s="36">
        <f>'DCF Guanacevi'!AD65+'DCF Bolanitos'!AD65+'DCF Terronera'!Y73</f>
        <v>0</v>
      </c>
      <c r="AC25" s="36">
        <f>'DCF Guanacevi'!AE65+'DCF Bolanitos'!AE65+'DCF Terronera'!Z73</f>
        <v>0</v>
      </c>
      <c r="AD25" s="36">
        <f>'DCF Guanacevi'!AF65+'DCF Bolanitos'!AF65+'DCF Terronera'!AA73</f>
        <v>0</v>
      </c>
      <c r="AE25" s="36">
        <f>'DCF Guanacevi'!AG65+'DCF Bolanitos'!AG65+'DCF Terronera'!AB73</f>
        <v>0</v>
      </c>
      <c r="AF25" s="36">
        <f>'DCF Guanacevi'!AH65+'DCF Bolanitos'!AH65+'DCF Terronera'!AC73</f>
        <v>0</v>
      </c>
      <c r="AG25" s="36">
        <f>'DCF Guanacevi'!AI65+'DCF Bolanitos'!AI65+'DCF Terronera'!AD73</f>
        <v>0</v>
      </c>
      <c r="AH25" s="36">
        <f>'DCF Guanacevi'!AJ65+'DCF Bolanitos'!AJ65+'DCF Terronera'!AE73</f>
        <v>0</v>
      </c>
      <c r="AI25" s="36">
        <f>'DCF Guanacevi'!AK65+'DCF Bolanitos'!AK65+'DCF Terronera'!AF73</f>
        <v>0</v>
      </c>
      <c r="AJ25" s="36">
        <f>'DCF Guanacevi'!AL65+'DCF Bolanitos'!AL65+'DCF Terronera'!AG73</f>
        <v>0</v>
      </c>
      <c r="AK25" s="35"/>
    </row>
    <row r="26" spans="1:37" x14ac:dyDescent="0.25">
      <c r="A26" t="s">
        <v>175</v>
      </c>
      <c r="C26" s="10">
        <v>1</v>
      </c>
      <c r="D26" s="10">
        <v>1</v>
      </c>
      <c r="E26" s="10">
        <v>1</v>
      </c>
      <c r="F26" s="10">
        <v>1</v>
      </c>
      <c r="G26" s="10">
        <v>1</v>
      </c>
      <c r="H26" s="10">
        <v>1</v>
      </c>
      <c r="I26" s="47"/>
      <c r="J26" s="36">
        <f>1</f>
        <v>1</v>
      </c>
      <c r="K26" s="36">
        <f>1</f>
        <v>1</v>
      </c>
      <c r="L26" s="36">
        <f>1</f>
        <v>1</v>
      </c>
      <c r="M26" s="36">
        <f>1</f>
        <v>1</v>
      </c>
      <c r="N26" s="36">
        <f>1</f>
        <v>1</v>
      </c>
      <c r="O26" s="36">
        <f>1</f>
        <v>1</v>
      </c>
      <c r="P26" s="36">
        <f>1</f>
        <v>1</v>
      </c>
      <c r="Q26" s="36">
        <f>1</f>
        <v>1</v>
      </c>
      <c r="R26" s="36">
        <f>1</f>
        <v>1</v>
      </c>
      <c r="S26" s="36">
        <f>1</f>
        <v>1</v>
      </c>
      <c r="T26" s="36">
        <f>1</f>
        <v>1</v>
      </c>
      <c r="U26" s="36">
        <f>1</f>
        <v>1</v>
      </c>
      <c r="V26" s="36">
        <f>1</f>
        <v>1</v>
      </c>
      <c r="W26" s="36">
        <f>1</f>
        <v>1</v>
      </c>
      <c r="X26" s="36">
        <f>1</f>
        <v>1</v>
      </c>
      <c r="Y26" s="36">
        <f>1</f>
        <v>1</v>
      </c>
      <c r="Z26" s="36">
        <f>1</f>
        <v>1</v>
      </c>
      <c r="AA26" s="36">
        <f>1</f>
        <v>1</v>
      </c>
      <c r="AB26" s="36">
        <f>1</f>
        <v>1</v>
      </c>
      <c r="AC26" s="36">
        <f>1</f>
        <v>1</v>
      </c>
      <c r="AD26" s="36">
        <f>1</f>
        <v>1</v>
      </c>
      <c r="AE26" s="36">
        <f>1</f>
        <v>1</v>
      </c>
      <c r="AF26" s="36">
        <f>1</f>
        <v>1</v>
      </c>
      <c r="AG26" s="36">
        <f>1</f>
        <v>1</v>
      </c>
      <c r="AH26" s="36">
        <f>1</f>
        <v>1</v>
      </c>
      <c r="AI26" s="36">
        <f>1</f>
        <v>1</v>
      </c>
      <c r="AJ26" s="36">
        <f>1</f>
        <v>1</v>
      </c>
      <c r="AK26" s="35"/>
    </row>
    <row r="27" spans="1:37" x14ac:dyDescent="0.25">
      <c r="A27" t="s">
        <v>177</v>
      </c>
      <c r="C27" s="10">
        <f>C25*C26</f>
        <v>102828000</v>
      </c>
      <c r="D27" s="10">
        <f t="shared" ref="D27:H27" si="32">D25*D26</f>
        <v>105853000</v>
      </c>
      <c r="E27" s="10">
        <f t="shared" si="32"/>
        <v>103085000</v>
      </c>
      <c r="F27" s="10">
        <f t="shared" si="32"/>
        <v>76605000</v>
      </c>
      <c r="G27" s="10">
        <f t="shared" si="32"/>
        <v>102377000</v>
      </c>
      <c r="H27" s="10">
        <f t="shared" si="32"/>
        <v>25328000</v>
      </c>
      <c r="I27" s="47">
        <f t="shared" ref="I27" si="33">SUM(J27:AJ27)</f>
        <v>1031291242.1769669</v>
      </c>
      <c r="J27" s="36">
        <f>J25*J26</f>
        <v>25752498.255301513</v>
      </c>
      <c r="K27" s="36">
        <f t="shared" ref="K27:AJ27" si="34">K25*K26</f>
        <v>26556202.596455976</v>
      </c>
      <c r="L27" s="36">
        <f t="shared" si="34"/>
        <v>26821764.622420542</v>
      </c>
      <c r="M27" s="36">
        <f t="shared" si="34"/>
        <v>26238682.782802701</v>
      </c>
      <c r="N27" s="36">
        <f t="shared" si="34"/>
        <v>88439052.947452694</v>
      </c>
      <c r="O27" s="36">
        <f t="shared" si="34"/>
        <v>181874171.79278168</v>
      </c>
      <c r="P27" s="36">
        <f t="shared" si="34"/>
        <v>135858769.17975181</v>
      </c>
      <c r="Q27" s="36">
        <f t="shared" si="34"/>
        <v>58948200</v>
      </c>
      <c r="R27" s="36">
        <f t="shared" si="34"/>
        <v>63568200</v>
      </c>
      <c r="S27" s="36">
        <f t="shared" si="34"/>
        <v>64025800</v>
      </c>
      <c r="T27" s="36">
        <f t="shared" si="34"/>
        <v>63314100</v>
      </c>
      <c r="U27" s="36">
        <f t="shared" si="34"/>
        <v>51082100</v>
      </c>
      <c r="V27" s="36">
        <f t="shared" si="34"/>
        <v>47921800</v>
      </c>
      <c r="W27" s="36">
        <f t="shared" si="34"/>
        <v>48618100</v>
      </c>
      <c r="X27" s="36">
        <f t="shared" si="34"/>
        <v>45714100</v>
      </c>
      <c r="Y27" s="36">
        <f t="shared" si="34"/>
        <v>45663500</v>
      </c>
      <c r="Z27" s="36">
        <f t="shared" si="34"/>
        <v>30894200.000000004</v>
      </c>
      <c r="AA27" s="36">
        <f t="shared" si="34"/>
        <v>0</v>
      </c>
      <c r="AB27" s="36">
        <f t="shared" si="34"/>
        <v>0</v>
      </c>
      <c r="AC27" s="36">
        <f t="shared" si="34"/>
        <v>0</v>
      </c>
      <c r="AD27" s="36">
        <f t="shared" si="34"/>
        <v>0</v>
      </c>
      <c r="AE27" s="36">
        <f t="shared" si="34"/>
        <v>0</v>
      </c>
      <c r="AF27" s="36">
        <f t="shared" si="34"/>
        <v>0</v>
      </c>
      <c r="AG27" s="36">
        <f t="shared" si="34"/>
        <v>0</v>
      </c>
      <c r="AH27" s="36">
        <f t="shared" si="34"/>
        <v>0</v>
      </c>
      <c r="AI27" s="36">
        <f t="shared" si="34"/>
        <v>0</v>
      </c>
      <c r="AJ27" s="36">
        <f t="shared" si="34"/>
        <v>0</v>
      </c>
      <c r="AK27" s="35"/>
    </row>
    <row r="28" spans="1:37" x14ac:dyDescent="0.25">
      <c r="A28" s="22" t="s">
        <v>82</v>
      </c>
      <c r="B28" t="s">
        <v>20</v>
      </c>
      <c r="C28" s="14">
        <f>C27/(C17+C18*C4/C3)</f>
        <v>11.867971388645028</v>
      </c>
      <c r="D28" s="14">
        <f>D27/(D17+D18*D4/D3)</f>
        <v>11.011000149997509</v>
      </c>
      <c r="E28" s="14">
        <f>E27/(E17+E18*E4/E3)</f>
        <v>14.180846922669572</v>
      </c>
      <c r="F28" s="14">
        <f>F27/(F17+F18*F4/F3)</f>
        <v>11.620442008896649</v>
      </c>
      <c r="G28" s="14">
        <f>G27/(G17+G18*G4/G3)</f>
        <v>13.179732125845865</v>
      </c>
      <c r="H28" s="14">
        <f>H27/(H17+H18*H4/H3)</f>
        <v>12.69998628106082</v>
      </c>
      <c r="I28" s="45">
        <f>AVERAGE(J28:AJ28)</f>
        <v>11.340344963339076</v>
      </c>
      <c r="J28" s="41">
        <f>IF(OR(J17&gt;0,J18&gt;0),J25/(J17+J18*J4/J3),"")</f>
        <v>13.396176170411007</v>
      </c>
      <c r="K28" s="41">
        <f>IF(OR(K17&gt;0,K18&gt;0),K25/(K17+K18*K4/K3),"")</f>
        <v>13.743241259823971</v>
      </c>
      <c r="L28" s="41">
        <f>IF(OR(L17&gt;0,L18&gt;0),L25/(L17+L18*L4/L3),"")</f>
        <v>14.098284265318867</v>
      </c>
      <c r="M28" s="41">
        <f>IF(OR(M17&gt;0,M18&gt;0),M25/(M17+M18*M4/M3),"")</f>
        <v>13.521034321507667</v>
      </c>
      <c r="N28" s="41">
        <f>IF(OR(N17&gt;0,N18&gt;0),N25/(N17+N18*N4/N3),"")</f>
        <v>10.445561921478648</v>
      </c>
      <c r="O28" s="41">
        <f>IF(OR(O17&gt;0,O18&gt;0),O25/(O17+O18*O4/O3),"")</f>
        <v>10.724548293109212</v>
      </c>
      <c r="P28" s="41">
        <f>IF(OR(P17&gt;0,P18&gt;0),P25/(P17+P18*P4/P3),"")</f>
        <v>12.398078417233542</v>
      </c>
      <c r="Q28" s="41">
        <f>IF(OR(Q17&gt;0,Q18&gt;0),Q25/(Q17+Q18*Q4/Q3),"")</f>
        <v>8.9423847087378636</v>
      </c>
      <c r="R28" s="41">
        <f>IF(OR(R17&gt;0,R18&gt;0),R25/(R17+R18*R4/R3),"")</f>
        <v>9.9543062950203574</v>
      </c>
      <c r="S28" s="41">
        <f>IF(OR(S17&gt;0,S18&gt;0),S25/(S17+S18*S4/S3),"")</f>
        <v>11.177688547486033</v>
      </c>
      <c r="T28" s="41">
        <f>IF(OR(T17&gt;0,T18&gt;0),T25/(T17+T18*T4/T3),"")</f>
        <v>11.700997967104048</v>
      </c>
      <c r="U28" s="41">
        <f>IF(OR(U17&gt;0,U18&gt;0),U25/(U17+U18*U4/U3),"")</f>
        <v>9.7095799277703865</v>
      </c>
      <c r="V28" s="41">
        <f>IF(OR(V17&gt;0,V18&gt;0),V25/(V17+V18*V4/V3),"")</f>
        <v>10.080311316785865</v>
      </c>
      <c r="W28" s="41">
        <f>IF(OR(W17&gt;0,W18&gt;0),W25/(W17+W18*W4/W3),"")</f>
        <v>10.592178649237473</v>
      </c>
      <c r="X28" s="41">
        <f>IF(OR(X17&gt;0,X18&gt;0),X25/(X17+X18*X4/X3),"")</f>
        <v>10.680864485981308</v>
      </c>
      <c r="Y28" s="41">
        <f>IF(OR(Y17&gt;0,Y18&gt;0),Y25/(Y17+Y18*Y4/Y3),"")</f>
        <v>10.575150532654007</v>
      </c>
      <c r="Z28" s="41">
        <f>IF(OR(Z17&gt;0,Z18&gt;0),Z25/(Z17+Z18*Z4/Z3),"")</f>
        <v>11.045477297104041</v>
      </c>
      <c r="AA28" s="41" t="str">
        <f>IF(OR(AA17&gt;0,AA18&gt;0),AA25/(AA17+AA18*AA4/AA3),"")</f>
        <v/>
      </c>
      <c r="AB28" s="41" t="str">
        <f>IF(OR(AB17&gt;0,AB18&gt;0),AB25/(AB17+AB18*AB4/AB3),"")</f>
        <v/>
      </c>
      <c r="AC28" s="41" t="str">
        <f>IF(OR(AC17&gt;0,AC18&gt;0),AC25/(AC17+AC18*AC4/AC3),"")</f>
        <v/>
      </c>
      <c r="AD28" s="41" t="str">
        <f>IF(OR(AD17&gt;0,AD18&gt;0),AD25/(AD17+AD18*AD4/AD3),"")</f>
        <v/>
      </c>
      <c r="AE28" s="41" t="str">
        <f>IF(OR(AE17&gt;0,AE18&gt;0),AE25/(AE17+AE18*AE4/AE3),"")</f>
        <v/>
      </c>
      <c r="AF28" s="41" t="str">
        <f>IF(OR(AF17&gt;0,AF18&gt;0),AF25/(AF17+AF18*AF4/AF3),"")</f>
        <v/>
      </c>
      <c r="AG28" s="41" t="str">
        <f>IF(OR(AG17&gt;0,AG18&gt;0),AG25/(AG17+AG18*AG4/AG3),"")</f>
        <v/>
      </c>
      <c r="AH28" s="41" t="str">
        <f>IF(OR(AH17&gt;0,AH18&gt;0),AH25/(AH17+AH18*AH4/AH3),"")</f>
        <v/>
      </c>
      <c r="AI28" s="41" t="str">
        <f>IF(OR(AI17&gt;0,AI18&gt;0),AI25/(AI17+AI18*AI4/AI3),"")</f>
        <v/>
      </c>
      <c r="AJ28" s="41" t="str">
        <f>IF(OR(AJ17&gt;0,AJ18&gt;0),AJ25/(AJ17+AJ18*AJ4/AJ3),"")</f>
        <v/>
      </c>
      <c r="AK28" s="35"/>
    </row>
    <row r="29" spans="1:37" x14ac:dyDescent="0.25">
      <c r="A29" s="22" t="s">
        <v>142</v>
      </c>
      <c r="B29" t="s">
        <v>44</v>
      </c>
      <c r="C29" s="10">
        <f>5225000</f>
        <v>5225000</v>
      </c>
      <c r="D29" s="10">
        <f>6193000</f>
        <v>6193000</v>
      </c>
      <c r="E29" s="10">
        <f>7217000</f>
        <v>7217000</v>
      </c>
      <c r="F29" s="10">
        <f>10024000</f>
        <v>10024000</v>
      </c>
      <c r="G29" s="10">
        <f>6575000</f>
        <v>6575000</v>
      </c>
      <c r="H29" s="10">
        <f>2943000</f>
        <v>2943000</v>
      </c>
      <c r="I29" s="47">
        <f>SUM(J29:AJ29)</f>
        <v>30948988.888888888</v>
      </c>
      <c r="J29" s="36">
        <f>'DCF Guanacevi'!L68+'DCF Bolanitos'!L68</f>
        <v>2253900</v>
      </c>
      <c r="K29" s="36">
        <f>'DCF Guanacevi'!M68+'DCF Bolanitos'!M68</f>
        <v>2253900</v>
      </c>
      <c r="L29" s="36">
        <f>'DCF Guanacevi'!N68+'DCF Bolanitos'!N68</f>
        <v>2253900</v>
      </c>
      <c r="M29" s="36">
        <f>'DCF Guanacevi'!O68+'DCF Bolanitos'!O68</f>
        <v>2253900</v>
      </c>
      <c r="N29" s="36">
        <f>'DCF Guanacevi'!P68+'DCF Bolanitos'!P68</f>
        <v>6761700</v>
      </c>
      <c r="O29" s="36">
        <f>'DCF Guanacevi'!Q68+'DCF Bolanitos'!Q68</f>
        <v>9015600</v>
      </c>
      <c r="P29" s="36">
        <f>'DCF Guanacevi'!R68+'DCF Bolanitos'!R68</f>
        <v>6156088.888888889</v>
      </c>
      <c r="Q29" s="36">
        <f>'DCF Guanacevi'!S68+'DCF Bolanitos'!S68</f>
        <v>0</v>
      </c>
      <c r="R29" s="36">
        <f>'DCF Guanacevi'!T68+'DCF Bolanitos'!T68</f>
        <v>0</v>
      </c>
      <c r="S29" s="36">
        <f>'DCF Guanacevi'!U68+'DCF Bolanitos'!U68</f>
        <v>0</v>
      </c>
      <c r="T29" s="36">
        <f>'DCF Guanacevi'!V68+'DCF Bolanitos'!V68</f>
        <v>0</v>
      </c>
      <c r="U29" s="36">
        <f>'DCF Guanacevi'!W68+'DCF Bolanitos'!W68</f>
        <v>0</v>
      </c>
      <c r="V29" s="36">
        <f>'DCF Guanacevi'!X68+'DCF Bolanitos'!X68</f>
        <v>0</v>
      </c>
      <c r="W29" s="36">
        <f>'DCF Guanacevi'!Y68+'DCF Bolanitos'!Y68</f>
        <v>0</v>
      </c>
      <c r="X29" s="36">
        <f>'DCF Guanacevi'!Z68+'DCF Bolanitos'!Z68</f>
        <v>0</v>
      </c>
      <c r="Y29" s="36">
        <f>'DCF Guanacevi'!AA68+'DCF Bolanitos'!AA68</f>
        <v>0</v>
      </c>
      <c r="Z29" s="36">
        <f>'DCF Guanacevi'!AB68+'DCF Bolanitos'!AB68</f>
        <v>0</v>
      </c>
      <c r="AA29" s="36">
        <f>'DCF Guanacevi'!AC68+'DCF Bolanitos'!AC68</f>
        <v>0</v>
      </c>
      <c r="AB29" s="36">
        <f>'DCF Guanacevi'!AD68+'DCF Bolanitos'!AD68</f>
        <v>0</v>
      </c>
      <c r="AC29" s="36">
        <f>'DCF Guanacevi'!AE68+'DCF Bolanitos'!AE68</f>
        <v>0</v>
      </c>
      <c r="AD29" s="36">
        <f>'DCF Guanacevi'!AF68+'DCF Bolanitos'!AF68</f>
        <v>0</v>
      </c>
      <c r="AE29" s="36">
        <f>'DCF Guanacevi'!AG68+'DCF Bolanitos'!AG68</f>
        <v>0</v>
      </c>
      <c r="AF29" s="36">
        <f>'DCF Guanacevi'!AH68+'DCF Bolanitos'!AH68</f>
        <v>0</v>
      </c>
      <c r="AG29" s="36">
        <f>'DCF Guanacevi'!AI68+'DCF Bolanitos'!AI68</f>
        <v>0</v>
      </c>
      <c r="AH29" s="36">
        <f>'DCF Guanacevi'!AJ68+'DCF Bolanitos'!AJ68</f>
        <v>0</v>
      </c>
      <c r="AI29" s="36">
        <f>'DCF Guanacevi'!AK68+'DCF Bolanitos'!AK68</f>
        <v>0</v>
      </c>
      <c r="AJ29" s="36">
        <f>'DCF Guanacevi'!AL68+'DCF Bolanitos'!AL68</f>
        <v>0</v>
      </c>
      <c r="AK29" s="35"/>
    </row>
    <row r="30" spans="1:37" x14ac:dyDescent="0.25">
      <c r="A30" s="22" t="s">
        <v>152</v>
      </c>
      <c r="B30" t="s">
        <v>44</v>
      </c>
      <c r="C30" s="10">
        <f>12898000</f>
        <v>12898000</v>
      </c>
      <c r="D30" s="10">
        <f>12383000</f>
        <v>12383000</v>
      </c>
      <c r="E30" s="10">
        <f>12001000</f>
        <v>12001000</v>
      </c>
      <c r="F30" s="10">
        <f>9756000</f>
        <v>9756000</v>
      </c>
      <c r="G30" s="10">
        <f>17925000</f>
        <v>17925000</v>
      </c>
      <c r="H30" s="10">
        <f>'DCF Guanacevi'!J69+'DCF Bolanitos'!J69+'DCF Terronera'!E64+600000+1598000</f>
        <v>3200000</v>
      </c>
      <c r="I30" s="47">
        <f t="shared" ref="I30:I31" si="35">SUM(J30:AJ30)</f>
        <v>18900000</v>
      </c>
      <c r="J30" s="36">
        <f>'DCF Guanacevi'!L69+'DCF Bolanitos'!L69+'DCF Terronera'!G64+(1900000+1500000+1200000+2200000-1598000-600000)/3</f>
        <v>3100000</v>
      </c>
      <c r="K30" s="36">
        <f>'DCF Guanacevi'!M69+'DCF Bolanitos'!M69+'DCF Terronera'!H64+(1900000+1500000+1200000+2200000-1598000-600000)/3</f>
        <v>3100000</v>
      </c>
      <c r="L30" s="36">
        <f>'DCF Guanacevi'!N69+'DCF Bolanitos'!N69+'DCF Terronera'!I64+(1900000+1500000+1200000+2200000-1598000-600000)/3</f>
        <v>3100000</v>
      </c>
      <c r="M30" s="36">
        <f>'DCF Guanacevi'!O69+'DCF Bolanitos'!O69+'DCF Terronera'!J64</f>
        <v>950000</v>
      </c>
      <c r="N30" s="36">
        <f>'DCF Guanacevi'!P69+'DCF Bolanitos'!P69+'DCF Terronera'!K64</f>
        <v>2850000</v>
      </c>
      <c r="O30" s="36">
        <f>'DCF Guanacevi'!Q69+'DCF Bolanitos'!Q69+'DCF Terronera'!L64</f>
        <v>3800000</v>
      </c>
      <c r="P30" s="36">
        <f>'DCF Guanacevi'!R69+'DCF Bolanitos'!R69+'DCF Terronera'!M64</f>
        <v>2000000</v>
      </c>
      <c r="Q30" s="36">
        <f>'DCF Guanacevi'!S69+'DCF Bolanitos'!S69+'DCF Terronera'!N64</f>
        <v>0</v>
      </c>
      <c r="R30" s="36">
        <f>'DCF Guanacevi'!T69+'DCF Bolanitos'!T69+'DCF Terronera'!O64</f>
        <v>0</v>
      </c>
      <c r="S30" s="36">
        <f>'DCF Guanacevi'!U69+'DCF Bolanitos'!U69+'DCF Terronera'!P64</f>
        <v>0</v>
      </c>
      <c r="T30" s="36">
        <f>'DCF Guanacevi'!V69+'DCF Bolanitos'!V69+'DCF Terronera'!Q64</f>
        <v>0</v>
      </c>
      <c r="U30" s="36">
        <f>'DCF Guanacevi'!W69+'DCF Bolanitos'!W69+'DCF Terronera'!R64</f>
        <v>0</v>
      </c>
      <c r="V30" s="36">
        <f>'DCF Guanacevi'!X69+'DCF Bolanitos'!X69+'DCF Terronera'!S64</f>
        <v>0</v>
      </c>
      <c r="W30" s="36">
        <f>'DCF Guanacevi'!Y69+'DCF Bolanitos'!Y69+'DCF Terronera'!T64</f>
        <v>0</v>
      </c>
      <c r="X30" s="36">
        <f>'DCF Guanacevi'!Z69+'DCF Bolanitos'!Z69+'DCF Terronera'!U64</f>
        <v>0</v>
      </c>
      <c r="Y30" s="36">
        <f>'DCF Guanacevi'!AA69+'DCF Bolanitos'!AA69+'DCF Terronera'!V64</f>
        <v>0</v>
      </c>
      <c r="Z30" s="36">
        <f>'DCF Guanacevi'!AB69+'DCF Bolanitos'!AB69+'DCF Terronera'!W64</f>
        <v>0</v>
      </c>
      <c r="AA30" s="36">
        <f>'DCF Guanacevi'!AC69+'DCF Bolanitos'!AC69+'DCF Terronera'!X64</f>
        <v>0</v>
      </c>
      <c r="AB30" s="36">
        <f>'DCF Guanacevi'!AD69+'DCF Bolanitos'!AD69+'DCF Terronera'!Y64</f>
        <v>0</v>
      </c>
      <c r="AC30" s="36">
        <f>'DCF Guanacevi'!AE69+'DCF Bolanitos'!AE69+'DCF Terronera'!Z64</f>
        <v>0</v>
      </c>
      <c r="AD30" s="36">
        <f>'DCF Guanacevi'!AF69+'DCF Bolanitos'!AF69+'DCF Terronera'!AA64</f>
        <v>0</v>
      </c>
      <c r="AE30" s="36">
        <f>'DCF Guanacevi'!AG69+'DCF Bolanitos'!AG69+'DCF Terronera'!AB64</f>
        <v>0</v>
      </c>
      <c r="AF30" s="36">
        <f>'DCF Guanacevi'!AH69+'DCF Bolanitos'!AH69+'DCF Terronera'!AC64</f>
        <v>0</v>
      </c>
      <c r="AG30" s="36">
        <f>'DCF Guanacevi'!AI69+'DCF Bolanitos'!AI69+'DCF Terronera'!AD64</f>
        <v>0</v>
      </c>
      <c r="AH30" s="36">
        <f>'DCF Guanacevi'!AJ69+'DCF Bolanitos'!AJ69+'DCF Terronera'!AE64</f>
        <v>0</v>
      </c>
      <c r="AI30" s="36">
        <f>'DCF Guanacevi'!AK69+'DCF Bolanitos'!AK69+'DCF Terronera'!AF64</f>
        <v>0</v>
      </c>
      <c r="AJ30" s="36">
        <f>'DCF Guanacevi'!AL69+'DCF Bolanitos'!AL69+'DCF Terronera'!AG64</f>
        <v>0</v>
      </c>
      <c r="AK30" s="35"/>
    </row>
    <row r="31" spans="1:37" x14ac:dyDescent="0.25">
      <c r="A31" s="22" t="s">
        <v>84</v>
      </c>
      <c r="B31" t="s">
        <v>44</v>
      </c>
      <c r="C31" s="10">
        <f>'DCF Guanacevi'!E70+'DCF Bolanitos'!E70+1020000</f>
        <v>2473000</v>
      </c>
      <c r="D31" s="10">
        <f>'DCF Guanacevi'!F70+'DCF Bolanitos'!F70+1020000</f>
        <v>2087000</v>
      </c>
      <c r="E31" s="10">
        <f>'DCF Guanacevi'!G70+'DCF Bolanitos'!G70+4589000+1001000</f>
        <v>7231000</v>
      </c>
      <c r="F31" s="10">
        <f>'DCF Guanacevi'!H70+'DCF Bolanitos'!H70+5233000+516000</f>
        <v>11281000</v>
      </c>
      <c r="G31" s="10">
        <f>'DCF Guanacevi'!I70+'DCF Bolanitos'!I70+1356000+870000+217000</f>
        <v>9133000</v>
      </c>
      <c r="H31" s="10">
        <f>'DCF Guanacevi'!J70+'DCF Bolanitos'!J70+190000</f>
        <v>2398000</v>
      </c>
      <c r="I31" s="47">
        <f t="shared" si="35"/>
        <v>24771666.666666668</v>
      </c>
      <c r="J31" s="36">
        <f>'DCF Guanacevi'!L70+'DCF Bolanitos'!L70+190000</f>
        <v>2130000</v>
      </c>
      <c r="K31" s="36">
        <f>'DCF Guanacevi'!M70+'DCF Bolanitos'!M70+190000</f>
        <v>1990000</v>
      </c>
      <c r="L31" s="36">
        <f>'DCF Guanacevi'!N70+'DCF Bolanitos'!N70+190000</f>
        <v>1990000</v>
      </c>
      <c r="M31" s="36">
        <f>'DCF Guanacevi'!O70+'DCF Bolanitos'!O70+190000</f>
        <v>2018333.3333333335</v>
      </c>
      <c r="N31" s="36">
        <f>'DCF Guanacevi'!P70+'DCF Bolanitos'!P70+190000</f>
        <v>5690000</v>
      </c>
      <c r="O31" s="36">
        <f>'DCF Guanacevi'!Q70+'DCF Bolanitos'!Q70</f>
        <v>7333333.333333334</v>
      </c>
      <c r="P31" s="36">
        <f>'DCF Guanacevi'!R70+'DCF Bolanitos'!R70</f>
        <v>3620000</v>
      </c>
      <c r="Q31" s="36">
        <f>'DCF Guanacevi'!S70+'DCF Bolanitos'!S70</f>
        <v>0</v>
      </c>
      <c r="R31" s="36">
        <f>'DCF Guanacevi'!T70+'DCF Bolanitos'!T70</f>
        <v>0</v>
      </c>
      <c r="S31" s="36">
        <f>'DCF Guanacevi'!U70+'DCF Bolanitos'!U70</f>
        <v>0</v>
      </c>
      <c r="T31" s="36">
        <f>'DCF Guanacevi'!V70+'DCF Bolanitos'!V70</f>
        <v>0</v>
      </c>
      <c r="U31" s="36">
        <f>'DCF Guanacevi'!W70+'DCF Bolanitos'!W70</f>
        <v>0</v>
      </c>
      <c r="V31" s="36">
        <f>'DCF Guanacevi'!X70+'DCF Bolanitos'!X70</f>
        <v>0</v>
      </c>
      <c r="W31" s="36">
        <f>'DCF Guanacevi'!Y70+'DCF Bolanitos'!Y70</f>
        <v>0</v>
      </c>
      <c r="X31" s="36">
        <f>'DCF Guanacevi'!Z70+'DCF Bolanitos'!Z70</f>
        <v>0</v>
      </c>
      <c r="Y31" s="36">
        <f>'DCF Guanacevi'!AA70+'DCF Bolanitos'!AA70</f>
        <v>0</v>
      </c>
      <c r="Z31" s="36">
        <f>'DCF Guanacevi'!AB70+'DCF Bolanitos'!AB70</f>
        <v>0</v>
      </c>
      <c r="AA31" s="36">
        <f>'DCF Guanacevi'!AC70+'DCF Bolanitos'!AC70</f>
        <v>0</v>
      </c>
      <c r="AB31" s="36">
        <f>'DCF Guanacevi'!AD70+'DCF Bolanitos'!AD70</f>
        <v>0</v>
      </c>
      <c r="AC31" s="36">
        <f>'DCF Guanacevi'!AE70+'DCF Bolanitos'!AE70</f>
        <v>0</v>
      </c>
      <c r="AD31" s="36">
        <f>'DCF Guanacevi'!AF70+'DCF Bolanitos'!AF70</f>
        <v>0</v>
      </c>
      <c r="AE31" s="36">
        <f>'DCF Guanacevi'!AG70+'DCF Bolanitos'!AG70</f>
        <v>0</v>
      </c>
      <c r="AF31" s="36">
        <f>'DCF Guanacevi'!AH70+'DCF Bolanitos'!AH70</f>
        <v>0</v>
      </c>
      <c r="AG31" s="36">
        <f>'DCF Guanacevi'!AI70+'DCF Bolanitos'!AI70</f>
        <v>0</v>
      </c>
      <c r="AH31" s="36">
        <f>'DCF Guanacevi'!AJ70+'DCF Bolanitos'!AJ70</f>
        <v>0</v>
      </c>
      <c r="AI31" s="36">
        <f>'DCF Guanacevi'!AK70+'DCF Bolanitos'!AK70</f>
        <v>0</v>
      </c>
      <c r="AJ31" s="36">
        <f>'DCF Guanacevi'!AL70+'DCF Bolanitos'!AL70</f>
        <v>0</v>
      </c>
      <c r="AK31" s="35"/>
    </row>
    <row r="32" spans="1:37" x14ac:dyDescent="0.25">
      <c r="A32" s="22" t="s">
        <v>85</v>
      </c>
      <c r="B32" t="s">
        <v>44</v>
      </c>
      <c r="C32" s="10">
        <f>16990000</f>
        <v>16990000</v>
      </c>
      <c r="D32" s="10">
        <f>38777000</f>
        <v>38777000</v>
      </c>
      <c r="E32" s="10">
        <f>32050000</f>
        <v>32050000</v>
      </c>
      <c r="F32" s="10">
        <f>28863000</f>
        <v>28863000</v>
      </c>
      <c r="G32" s="10">
        <f>24527000</f>
        <v>24527000</v>
      </c>
      <c r="H32" s="10">
        <f>6462000</f>
        <v>6462000</v>
      </c>
      <c r="I32" s="47">
        <f>SUM(J32:AJ32)</f>
        <v>375909220.8475194</v>
      </c>
      <c r="J32" s="36">
        <f>'DCF Guanacevi'!L71+'DCF Bolanitos'!L71+'DCF Terronera'!G63</f>
        <v>8016997.0452131862</v>
      </c>
      <c r="K32" s="36">
        <f>'DCF Guanacevi'!M71+'DCF Bolanitos'!M71+'DCF Terronera'!H63</f>
        <v>8354272.0452131871</v>
      </c>
      <c r="L32" s="36">
        <f>'DCF Guanacevi'!N71+'DCF Bolanitos'!N71+'DCF Terronera'!I63</f>
        <v>8354272.0452131871</v>
      </c>
      <c r="M32" s="36">
        <f>'DCF Guanacevi'!O71+'DCF Bolanitos'!O71+'DCF Terronera'!J63</f>
        <v>8354272.0452131871</v>
      </c>
      <c r="N32" s="36">
        <f>'DCF Guanacevi'!P71+'DCF Bolanitos'!P71+'DCF Terronera'!K63</f>
        <v>23932741</v>
      </c>
      <c r="O32" s="36">
        <f>'DCF Guanacevi'!Q71+'DCF Bolanitos'!Q71+'DCF Terronera'!L63</f>
        <v>91422333.333333328</v>
      </c>
      <c r="P32" s="36">
        <f>'DCF Guanacevi'!R71+'DCF Bolanitos'!R71+'DCF Terronera'!M63</f>
        <v>30721333.333333328</v>
      </c>
      <c r="Q32" s="36">
        <f>'DCF Guanacevi'!S71+'DCF Bolanitos'!S71+'DCF Terronera'!N63</f>
        <v>30004333.333333328</v>
      </c>
      <c r="R32" s="36">
        <f>'DCF Guanacevi'!T71+'DCF Bolanitos'!T71+'DCF Terronera'!O63</f>
        <v>20891666.666666664</v>
      </c>
      <c r="S32" s="36">
        <f>'DCF Guanacevi'!U71+'DCF Bolanitos'!U71+'DCF Terronera'!P63</f>
        <v>22503333.333333328</v>
      </c>
      <c r="T32" s="36">
        <f>'DCF Guanacevi'!V71+'DCF Bolanitos'!V71+'DCF Terronera'!Q63</f>
        <v>20935000</v>
      </c>
      <c r="U32" s="36">
        <f>'DCF Guanacevi'!W71+'DCF Bolanitos'!W71+'DCF Terronera'!R63</f>
        <v>21387666.666666664</v>
      </c>
      <c r="V32" s="36">
        <f>'DCF Guanacevi'!X71+'DCF Bolanitos'!X71+'DCF Terronera'!S63</f>
        <v>22001333.333333332</v>
      </c>
      <c r="W32" s="36">
        <f>'DCF Guanacevi'!Y71+'DCF Bolanitos'!Y71+'DCF Terronera'!T63</f>
        <v>22237000</v>
      </c>
      <c r="X32" s="36">
        <f>'DCF Guanacevi'!Z71+'DCF Bolanitos'!Z71+'DCF Terronera'!U63</f>
        <v>22624666.666666664</v>
      </c>
      <c r="Y32" s="36">
        <f>'DCF Guanacevi'!AA71+'DCF Bolanitos'!AA71+'DCF Terronera'!V63</f>
        <v>6933000</v>
      </c>
      <c r="Z32" s="36">
        <f>'DCF Guanacevi'!AB71+'DCF Bolanitos'!AB71+'DCF Terronera'!W63</f>
        <v>7235000</v>
      </c>
      <c r="AA32" s="36">
        <f>'DCF Guanacevi'!AC71+'DCF Bolanitos'!AC71+'DCF Terronera'!X63</f>
        <v>0</v>
      </c>
      <c r="AB32" s="36">
        <f>'DCF Guanacevi'!AD71+'DCF Bolanitos'!AD71+'DCF Terronera'!Y63</f>
        <v>0</v>
      </c>
      <c r="AC32" s="36">
        <f>'DCF Guanacevi'!AE71+'DCF Bolanitos'!AE71+'DCF Terronera'!Z63</f>
        <v>0</v>
      </c>
      <c r="AD32" s="36">
        <f>'DCF Guanacevi'!AF71+'DCF Bolanitos'!AF71+'DCF Terronera'!AA63</f>
        <v>0</v>
      </c>
      <c r="AE32" s="36">
        <f>'DCF Guanacevi'!AG71+'DCF Bolanitos'!AG71+'DCF Terronera'!AB63</f>
        <v>0</v>
      </c>
      <c r="AF32" s="36">
        <f>'DCF Guanacevi'!AH71+'DCF Bolanitos'!AH71+'DCF Terronera'!AC63</f>
        <v>0</v>
      </c>
      <c r="AG32" s="36">
        <f>'DCF Guanacevi'!AI71+'DCF Bolanitos'!AI71+'DCF Terronera'!AD63</f>
        <v>0</v>
      </c>
      <c r="AH32" s="36">
        <f>'DCF Guanacevi'!AJ71+'DCF Bolanitos'!AJ71+'DCF Terronera'!AE63</f>
        <v>0</v>
      </c>
      <c r="AI32" s="36">
        <f>'DCF Guanacevi'!AK71+'DCF Bolanitos'!AK71+'DCF Terronera'!AF63</f>
        <v>0</v>
      </c>
      <c r="AJ32" s="36">
        <f>'DCF Guanacevi'!AL71+'DCF Bolanitos'!AL71+'DCF Terronera'!AG63</f>
        <v>0</v>
      </c>
      <c r="AK32" s="35"/>
    </row>
    <row r="33" spans="1:37" x14ac:dyDescent="0.25">
      <c r="A33" s="3" t="s">
        <v>171</v>
      </c>
      <c r="B33" t="s">
        <v>44</v>
      </c>
      <c r="C33" s="34">
        <v>7667000</v>
      </c>
      <c r="D33" s="34">
        <v>-17501000</v>
      </c>
      <c r="E33" s="34">
        <v>-43931000</v>
      </c>
      <c r="F33" s="34">
        <v>-793000</v>
      </c>
      <c r="G33" s="34">
        <v>29688000</v>
      </c>
      <c r="H33" s="34">
        <v>12566000</v>
      </c>
      <c r="I33" s="47">
        <f>SUM(J33:AJ33)</f>
        <v>857763505.61825454</v>
      </c>
      <c r="J33" s="47">
        <f>J22-J25*J26-SUM(J29:J32)</f>
        <v>1038894.2610408962</v>
      </c>
      <c r="K33" s="47">
        <f>K22-K25*K26-SUM(K29:K32)</f>
        <v>256445.48268879019</v>
      </c>
      <c r="L33" s="47">
        <f>L22-L25*L26-SUM(L29:L32)</f>
        <v>1237202.4782423209</v>
      </c>
      <c r="M33" s="47">
        <f>M22-M25*M26-SUM(M29:M32)</f>
        <v>8699374.7021317557</v>
      </c>
      <c r="N33" s="47">
        <f>N22-N25*N26-SUM(N29:N32)</f>
        <v>83993081.800856799</v>
      </c>
      <c r="O33" s="47">
        <f>O22-O25*O26-SUM(O29:O32)</f>
        <v>130521536.23737955</v>
      </c>
      <c r="P33" s="47">
        <f>P22-P25*P26-SUM(P29:P32)</f>
        <v>95595070.655914307</v>
      </c>
      <c r="Q33" s="47">
        <f>Q22-Q25*Q26-SUM(Q29:Q32)</f>
        <v>75847466.666666672</v>
      </c>
      <c r="R33" s="47">
        <f>R22-R25*R26-SUM(R29:R32)</f>
        <v>75190133.333333343</v>
      </c>
      <c r="S33" s="47">
        <f>S22-S25*S26-SUM(S29:S32)</f>
        <v>56670866.666666672</v>
      </c>
      <c r="T33" s="47">
        <f>T22-T25*T26-SUM(T29:T32)</f>
        <v>51025900</v>
      </c>
      <c r="U33" s="47">
        <f>U22-U25*U26-SUM(U29:U32)</f>
        <v>59055233.333333336</v>
      </c>
      <c r="V33" s="47">
        <f>V22-V25*V26-SUM(V29:V32)</f>
        <v>48926866.666666672</v>
      </c>
      <c r="W33" s="47">
        <f>W22-W25*W26-SUM(W29:W32)</f>
        <v>43894900</v>
      </c>
      <c r="X33" s="47">
        <f>X22-X25*X26-SUM(X29:X32)</f>
        <v>38661233.333333336</v>
      </c>
      <c r="Y33" s="47">
        <f>Y22-Y25*Y26-SUM(Y29:Y32)</f>
        <v>55353500</v>
      </c>
      <c r="Z33" s="47">
        <f>Z22-Z25*Z26-SUM(Z29:Z32)</f>
        <v>31795800</v>
      </c>
      <c r="AA33" s="47">
        <f>AA22-AA25*AA26-SUM(AA29:AA32)</f>
        <v>0</v>
      </c>
      <c r="AB33" s="47">
        <f>AB22-AB25*AB26-SUM(AB29:AB32)</f>
        <v>0</v>
      </c>
      <c r="AC33" s="47">
        <f>AC22-AC25*AC26-SUM(AC29:AC32)</f>
        <v>0</v>
      </c>
      <c r="AD33" s="47">
        <f>AD22-AD25*AD26-SUM(AD29:AD32)</f>
        <v>0</v>
      </c>
      <c r="AE33" s="47">
        <f>AE22-AE25*AE26-SUM(AE29:AE32)</f>
        <v>0</v>
      </c>
      <c r="AF33" s="47">
        <f>AF22-AF25*AF26-SUM(AF29:AF32)</f>
        <v>0</v>
      </c>
      <c r="AG33" s="47">
        <f>AG22-AG25*AG26-SUM(AG29:AG32)</f>
        <v>0</v>
      </c>
      <c r="AH33" s="47">
        <f>AH22-AH25*AH26-SUM(AH29:AH32)</f>
        <v>0</v>
      </c>
      <c r="AI33" s="47">
        <f>AI22-AI25*AI26-SUM(AI29:AI32)</f>
        <v>0</v>
      </c>
      <c r="AJ33" s="47">
        <f>AJ22-AJ25*AJ26-SUM(AJ29:AJ32)</f>
        <v>0</v>
      </c>
      <c r="AK33" s="35"/>
    </row>
    <row r="34" spans="1:37" ht="15.75" thickBot="1" x14ac:dyDescent="0.3">
      <c r="A34" s="7" t="s">
        <v>172</v>
      </c>
      <c r="I34" s="49"/>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row>
    <row r="35" spans="1:37" x14ac:dyDescent="0.25">
      <c r="A35" t="s">
        <v>173</v>
      </c>
      <c r="B35" t="s">
        <v>44</v>
      </c>
      <c r="C35" s="10">
        <f>1740000+844000</f>
        <v>2584000</v>
      </c>
      <c r="D35" s="10">
        <f>1653000+1850000</f>
        <v>3503000</v>
      </c>
      <c r="E35" s="10">
        <f>2034000</f>
        <v>2034000</v>
      </c>
      <c r="F35" s="10">
        <f>8154000+1989000</f>
        <v>10143000</v>
      </c>
      <c r="G35" s="10">
        <f>13780000+2727000</f>
        <v>16507000</v>
      </c>
      <c r="H35" s="10">
        <f>4317000+975000</f>
        <v>5292000</v>
      </c>
      <c r="I35" s="47">
        <f>SUM(J35:AJ35)</f>
        <v>198853828.75940323</v>
      </c>
      <c r="J35" s="36">
        <f>SUM('DCF Guanacevi'!L76:L78)+SUM('DCF Bolanitos'!L76:L77)+SUM('DCF Terronera'!G77:G79)</f>
        <v>4966154.3575178487</v>
      </c>
      <c r="K35" s="36">
        <f>SUM('DCF Guanacevi'!M76:M78)+SUM('DCF Bolanitos'!M76:M77)+SUM('DCF Terronera'!H77:H79)</f>
        <v>4962124.8447075738</v>
      </c>
      <c r="L35" s="36">
        <f>SUM('DCF Guanacevi'!N76:N78)+SUM('DCF Bolanitos'!N76:N77)+SUM('DCF Terronera'!I77:I79)</f>
        <v>5151336.3470196789</v>
      </c>
      <c r="M35" s="36">
        <f>SUM('DCF Guanacevi'!O76:O78)+SUM('DCF Bolanitos'!O76:O77)+SUM('DCF Terronera'!J77:J79)</f>
        <v>5919603.7521049744</v>
      </c>
      <c r="N35" s="36">
        <f>SUM('DCF Guanacevi'!P76:P78)+SUM('DCF Bolanitos'!P76:P77)+SUM('DCF Terronera'!K77:K79)</f>
        <v>23529987.963556837</v>
      </c>
      <c r="O35" s="36">
        <f>SUM('DCF Guanacevi'!Q76:Q78)+SUM('DCF Bolanitos'!Q76:Q77)+SUM('DCF Terronera'!L77:L79)</f>
        <v>41162812.537745461</v>
      </c>
      <c r="P35" s="36">
        <f>SUM('DCF Guanacevi'!R76:R78)+SUM('DCF Bolanitos'!R76:R77)+SUM('DCF Terronera'!M77:M79)</f>
        <v>28839786.456750851</v>
      </c>
      <c r="Q35" s="36">
        <f>SUM('DCF Guanacevi'!S76:S78)+SUM('DCF Bolanitos'!S76:S77)+SUM('DCF Terronera'!N77:N79)</f>
        <v>11831619</v>
      </c>
      <c r="R35" s="36">
        <f>SUM('DCF Guanacevi'!T76:T78)+SUM('DCF Bolanitos'!T76:T77)+SUM('DCF Terronera'!O77:O79)</f>
        <v>10982593</v>
      </c>
      <c r="S35" s="36">
        <f>SUM('DCF Guanacevi'!U76:U78)+SUM('DCF Bolanitos'!U76:U77)+SUM('DCF Terronera'!P77:P79)</f>
        <v>9314317</v>
      </c>
      <c r="T35" s="36">
        <f>SUM('DCF Guanacevi'!V76:V78)+SUM('DCF Bolanitos'!V76:V77)+SUM('DCF Terronera'!Q77:Q79)</f>
        <v>8570970.5</v>
      </c>
      <c r="U35" s="36">
        <f>SUM('DCF Guanacevi'!W76:W78)+SUM('DCF Bolanitos'!W76:W77)+SUM('DCF Terronera'!R77:R79)</f>
        <v>9110884.5</v>
      </c>
      <c r="V35" s="36">
        <f>SUM('DCF Guanacevi'!X76:X78)+SUM('DCF Bolanitos'!X76:X77)+SUM('DCF Terronera'!S77:S79)</f>
        <v>8088349</v>
      </c>
      <c r="W35" s="36">
        <f>SUM('DCF Guanacevi'!Y76:Y78)+SUM('DCF Bolanitos'!Y76:Y77)+SUM('DCF Terronera'!T77:T79)</f>
        <v>7630812.5</v>
      </c>
      <c r="X35" s="36">
        <f>SUM('DCF Guanacevi'!Z76:Z78)+SUM('DCF Bolanitos'!Z76:Z77)+SUM('DCF Terronera'!U77:U79)</f>
        <v>7078452.5</v>
      </c>
      <c r="Y35" s="36">
        <f>SUM('DCF Guanacevi'!AA76:AA78)+SUM('DCF Bolanitos'!AA76:AA77)+SUM('DCF Terronera'!V77:V79)</f>
        <v>7173771.5</v>
      </c>
      <c r="Z35" s="36">
        <f>SUM('DCF Guanacevi'!AB76:AB78)+SUM('DCF Bolanitos'!AB76:AB77)+SUM('DCF Terronera'!W77:W79)</f>
        <v>4540253</v>
      </c>
      <c r="AA35" s="36">
        <f>SUM('DCF Guanacevi'!AC76:AC78)+SUM('DCF Bolanitos'!AC76:AC77)+SUM('DCF Terronera'!X77:X79)</f>
        <v>0</v>
      </c>
      <c r="AB35" s="36">
        <f>SUM('DCF Guanacevi'!AD76:AD78)+SUM('DCF Bolanitos'!AD76:AD77)+SUM('DCF Terronera'!Y77:Y79)</f>
        <v>0</v>
      </c>
      <c r="AC35" s="36">
        <f>SUM('DCF Guanacevi'!AE76:AE78)+SUM('DCF Bolanitos'!AE76:AE77)+SUM('DCF Terronera'!Z77:Z79)</f>
        <v>0</v>
      </c>
      <c r="AD35" s="36">
        <f>SUM('DCF Guanacevi'!AF76:AF78)+SUM('DCF Bolanitos'!AF76:AF77)+SUM('DCF Terronera'!AA77:AA79)</f>
        <v>0</v>
      </c>
      <c r="AE35" s="36">
        <f>SUM('DCF Guanacevi'!AG76:AG78)+SUM('DCF Bolanitos'!AG76:AG77)+SUM('DCF Terronera'!AB77:AB79)</f>
        <v>0</v>
      </c>
      <c r="AF35" s="36">
        <f>SUM('DCF Guanacevi'!AH76:AH78)+SUM('DCF Bolanitos'!AH76:AH77)+SUM('DCF Terronera'!AC77:AC79)</f>
        <v>0</v>
      </c>
      <c r="AG35" s="36">
        <f>SUM('DCF Guanacevi'!AI76:AI78)+SUM('DCF Bolanitos'!AI76:AI77)+SUM('DCF Terronera'!AD77:AD79)</f>
        <v>0</v>
      </c>
      <c r="AH35" s="36">
        <f>SUM('DCF Guanacevi'!AJ76:AJ78)+SUM('DCF Bolanitos'!AJ76:AJ77)+SUM('DCF Terronera'!AE77:AE79)</f>
        <v>0</v>
      </c>
      <c r="AI35" s="36">
        <f>SUM('DCF Guanacevi'!AK76:AK78)+SUM('DCF Bolanitos'!AK76:AK77)+SUM('DCF Terronera'!AF77:AF79)</f>
        <v>0</v>
      </c>
      <c r="AJ35" s="36">
        <f>SUM('DCF Guanacevi'!AL76:AL78)+SUM('DCF Bolanitos'!AL76:AL77)+SUM('DCF Terronera'!AG77:AG79)</f>
        <v>0</v>
      </c>
      <c r="AK35" s="35"/>
    </row>
    <row r="36" spans="1:37" x14ac:dyDescent="0.25">
      <c r="A36" s="24" t="s">
        <v>49</v>
      </c>
      <c r="B36" t="s">
        <v>44</v>
      </c>
      <c r="C36" s="10">
        <v>7887000</v>
      </c>
      <c r="D36" s="10">
        <v>-17711000</v>
      </c>
      <c r="E36" s="10">
        <v>-44004000</v>
      </c>
      <c r="F36" s="10">
        <v>-1054000</v>
      </c>
      <c r="G36" s="10">
        <v>29688000</v>
      </c>
      <c r="H36" s="10">
        <v>18899000</v>
      </c>
      <c r="I36" s="47">
        <f>SUM(J36:AJ36)</f>
        <v>658909676.85885131</v>
      </c>
      <c r="J36" s="36">
        <f>J33-J35</f>
        <v>-3927260.0964769525</v>
      </c>
      <c r="K36" s="36">
        <f>K33-K35</f>
        <v>-4705679.3620187836</v>
      </c>
      <c r="L36" s="36">
        <f>L33-L35</f>
        <v>-3914133.868777358</v>
      </c>
      <c r="M36" s="36">
        <f>M33-M35</f>
        <v>2779770.9500267813</v>
      </c>
      <c r="N36" s="36">
        <f>N33-N35</f>
        <v>60463093.837299958</v>
      </c>
      <c r="O36" s="36">
        <f>O33-O35</f>
        <v>89358723.69963409</v>
      </c>
      <c r="P36" s="36">
        <f>P33-P35</f>
        <v>66755284.199163452</v>
      </c>
      <c r="Q36" s="36">
        <f>Q33-Q35</f>
        <v>64015847.666666672</v>
      </c>
      <c r="R36" s="36">
        <f>R33-R35</f>
        <v>64207540.333333343</v>
      </c>
      <c r="S36" s="36">
        <f>S33-S35</f>
        <v>47356549.666666672</v>
      </c>
      <c r="T36" s="36">
        <f>T33-T35</f>
        <v>42454929.5</v>
      </c>
      <c r="U36" s="36">
        <f>U33-U35</f>
        <v>49944348.833333336</v>
      </c>
      <c r="V36" s="36">
        <f>V33-V35</f>
        <v>40838517.666666672</v>
      </c>
      <c r="W36" s="36">
        <f>W33-W35</f>
        <v>36264087.5</v>
      </c>
      <c r="X36" s="36">
        <f>X33-X35</f>
        <v>31582780.833333336</v>
      </c>
      <c r="Y36" s="36">
        <f>Y33-Y35</f>
        <v>48179728.5</v>
      </c>
      <c r="Z36" s="36">
        <f>Z33-Z35</f>
        <v>27255547</v>
      </c>
      <c r="AA36" s="36">
        <f>AA33-AA35</f>
        <v>0</v>
      </c>
      <c r="AB36" s="36">
        <f>AB33-AB35</f>
        <v>0</v>
      </c>
      <c r="AC36" s="36">
        <f>AC33-AC35</f>
        <v>0</v>
      </c>
      <c r="AD36" s="36">
        <f>AD33-AD35</f>
        <v>0</v>
      </c>
      <c r="AE36" s="36">
        <f>AE33-AE35</f>
        <v>0</v>
      </c>
      <c r="AF36" s="36">
        <f>AF33-AF35</f>
        <v>0</v>
      </c>
      <c r="AG36" s="36">
        <f>AG33-AG35</f>
        <v>0</v>
      </c>
      <c r="AH36" s="36">
        <f>AH33-AH35</f>
        <v>0</v>
      </c>
      <c r="AI36" s="36">
        <f>AI33-AI35</f>
        <v>0</v>
      </c>
      <c r="AJ36" s="36">
        <f>AJ33-AJ35</f>
        <v>0</v>
      </c>
      <c r="AK36" s="35"/>
    </row>
    <row r="37" spans="1:37" x14ac:dyDescent="0.25">
      <c r="A37" s="24" t="s">
        <v>145</v>
      </c>
      <c r="B37" t="s">
        <v>22</v>
      </c>
      <c r="C37" s="16"/>
      <c r="D37" s="16"/>
      <c r="E37" s="16"/>
      <c r="F37" s="16"/>
      <c r="G37" s="16">
        <f>(G36-G39)/G36</f>
        <v>0.52994475882511449</v>
      </c>
      <c r="H37" s="16">
        <f>(H36-H39)/H36</f>
        <v>0.38293031377321551</v>
      </c>
      <c r="I37" s="52">
        <f>AVERAGEIF(J37:AJ37,"&gt;0")</f>
        <v>0.29999999999999993</v>
      </c>
      <c r="J37" s="43">
        <f>IF('DCF Guanacevi'!L81+'DCF Bolanitos'!L80+'DCF Terronera'!G82=0,0,IF(AND('DCF Guanacevi'!L81&gt;=0,'DCF Bolanitos'!L80&gt;=0,'DCF Terronera'!G82&gt;=0),('DCF Guanacevi'!L81*'DCF Guanacevi'!L82+'DCF Bolanitos'!L80*'DCF Bolanitos'!L81+'DCF Terronera'!G82*'DCF Terronera'!G84)/('DCF Guanacevi'!L81+'DCF Bolanitos'!L80+'DCF Terronera'!G82),IF(AND('DCF Guanacevi'!L81&gt;=0,'DCF Bolanitos'!L80&gt;=0),('DCF Guanacevi'!L81*'DCF Guanacevi'!L82+'DCF Bolanitos'!L80*'DCF Bolanitos'!L81)/('DCF Guanacevi'!L81+'DCF Bolanitos'!L80),IF(AND('DCF Bolanitos'!L80&gt;=0,'DCF Terronera'!G82&gt;=0),('DCF Bolanitos'!L80*'DCF Bolanitos'!L81+'DCF Terronera'!G82*'DCF Terronera'!G84)/('DCF Bolanitos'!L80+'DCF Terronera'!G82),IF(AND('DCF Guanacevi'!L81&gt;=0,'DCF Terronera'!G82&gt;=0),('DCF Guanacevi'!L81*'DCF Guanacevi'!L82+'DCF Terronera'!G82*'DCF Terronera'!G84)/('DCF Guanacevi'!L81+'DCF Terronera'!G82),IF('DCF Guanacevi'!L81&gt;=0,'DCF Guanacevi'!L82,IF('DCF Bolanitos'!L80&gt;=0,'DCF Bolanitos'!L81,IF('DCF Terronera'!G82&gt;=0,'DCF Terronera'!G84,0))))))))</f>
        <v>0.3</v>
      </c>
      <c r="K37" s="43">
        <f>IF('DCF Guanacevi'!M81+'DCF Bolanitos'!M80+'DCF Terronera'!H82=0,0,IF(AND('DCF Guanacevi'!M81&gt;=0,'DCF Bolanitos'!M80&gt;=0,'DCF Terronera'!H82&gt;=0),('DCF Guanacevi'!M81*'DCF Guanacevi'!M82+'DCF Bolanitos'!M80*'DCF Bolanitos'!M81+'DCF Terronera'!H82*'DCF Terronera'!H84)/('DCF Guanacevi'!M81+'DCF Bolanitos'!M80+'DCF Terronera'!H82),IF(AND('DCF Guanacevi'!M81&gt;=0,'DCF Bolanitos'!M80&gt;=0),('DCF Guanacevi'!M81*'DCF Guanacevi'!M82+'DCF Bolanitos'!M80*'DCF Bolanitos'!M81)/('DCF Guanacevi'!M81+'DCF Bolanitos'!M80),IF(AND('DCF Bolanitos'!M80&gt;=0,'DCF Terronera'!H82&gt;=0),('DCF Bolanitos'!M80*'DCF Bolanitos'!M81+'DCF Terronera'!H82*'DCF Terronera'!H84)/('DCF Bolanitos'!M80+'DCF Terronera'!H82),IF(AND('DCF Guanacevi'!M81&gt;=0,'DCF Terronera'!H82&gt;=0),('DCF Guanacevi'!M81*'DCF Guanacevi'!M82+'DCF Terronera'!H82*'DCF Terronera'!H84)/('DCF Guanacevi'!M81+'DCF Terronera'!H82),IF('DCF Guanacevi'!M81&gt;=0,'DCF Guanacevi'!M82,IF('DCF Bolanitos'!M80&gt;=0,'DCF Bolanitos'!M81,IF('DCF Terronera'!H82&gt;=0,'DCF Terronera'!H84,0))))))))</f>
        <v>0</v>
      </c>
      <c r="L37" s="43">
        <f>IF('DCF Guanacevi'!N81+'DCF Bolanitos'!N80+'DCF Terronera'!I82=0,0,IF(AND('DCF Guanacevi'!N81&gt;=0,'DCF Bolanitos'!N80&gt;=0,'DCF Terronera'!I82&gt;=0),('DCF Guanacevi'!N81*'DCF Guanacevi'!N82+'DCF Bolanitos'!N80*'DCF Bolanitos'!N81+'DCF Terronera'!I82*'DCF Terronera'!I84)/('DCF Guanacevi'!N81+'DCF Bolanitos'!N80+'DCF Terronera'!I82),IF(AND('DCF Guanacevi'!N81&gt;=0,'DCF Bolanitos'!N80&gt;=0),('DCF Guanacevi'!N81*'DCF Guanacevi'!N82+'DCF Bolanitos'!N80*'DCF Bolanitos'!N81)/('DCF Guanacevi'!N81+'DCF Bolanitos'!N80),IF(AND('DCF Bolanitos'!N80&gt;=0,'DCF Terronera'!I82&gt;=0),('DCF Bolanitos'!N80*'DCF Bolanitos'!N81+'DCF Terronera'!I82*'DCF Terronera'!I84)/('DCF Bolanitos'!N80+'DCF Terronera'!I82),IF(AND('DCF Guanacevi'!N81&gt;=0,'DCF Terronera'!I82&gt;=0),('DCF Guanacevi'!N81*'DCF Guanacevi'!N82+'DCF Terronera'!I82*'DCF Terronera'!I84)/('DCF Guanacevi'!N81+'DCF Terronera'!I82),IF('DCF Guanacevi'!N81&gt;=0,'DCF Guanacevi'!N82,IF('DCF Bolanitos'!N80&gt;=0,'DCF Bolanitos'!N81,IF('DCF Terronera'!I82&gt;=0,'DCF Terronera'!I84,0))))))))</f>
        <v>0.3</v>
      </c>
      <c r="M37" s="43">
        <f>IF('DCF Guanacevi'!O81+'DCF Bolanitos'!O80+'DCF Terronera'!J82=0,0,IF(AND('DCF Guanacevi'!O81&gt;=0,'DCF Bolanitos'!O80&gt;=0,'DCF Terronera'!J82&gt;=0),('DCF Guanacevi'!O81*'DCF Guanacevi'!O82+'DCF Bolanitos'!O80*'DCF Bolanitos'!O81+'DCF Terronera'!J82*'DCF Terronera'!J84)/('DCF Guanacevi'!O81+'DCF Bolanitos'!O80+'DCF Terronera'!J82),IF(AND('DCF Guanacevi'!O81&gt;=0,'DCF Bolanitos'!O80&gt;=0),('DCF Guanacevi'!O81*'DCF Guanacevi'!O82+'DCF Bolanitos'!O80*'DCF Bolanitos'!O81)/('DCF Guanacevi'!O81+'DCF Bolanitos'!O80),IF(AND('DCF Bolanitos'!O80&gt;=0,'DCF Terronera'!J82&gt;=0),('DCF Bolanitos'!O80*'DCF Bolanitos'!O81+'DCF Terronera'!J82*'DCF Terronera'!J84)/('DCF Bolanitos'!O80+'DCF Terronera'!J82),IF(AND('DCF Guanacevi'!O81&gt;=0,'DCF Terronera'!J82&gt;=0),('DCF Guanacevi'!O81*'DCF Guanacevi'!O82+'DCF Terronera'!J82*'DCF Terronera'!J84)/('DCF Guanacevi'!O81+'DCF Terronera'!J82),IF('DCF Guanacevi'!O81&gt;=0,'DCF Guanacevi'!O82,IF('DCF Bolanitos'!O80&gt;=0,'DCF Bolanitos'!O81,IF('DCF Terronera'!J82&gt;=0,'DCF Terronera'!J84,0))))))))</f>
        <v>0.3</v>
      </c>
      <c r="N37" s="43">
        <f>IF('DCF Guanacevi'!P81+'DCF Bolanitos'!P80+'DCF Terronera'!K82=0,0,IF(AND('DCF Guanacevi'!P81&gt;=0,'DCF Bolanitos'!P80&gt;=0,'DCF Terronera'!K82&gt;=0),('DCF Guanacevi'!P81*'DCF Guanacevi'!P82+'DCF Bolanitos'!P80*'DCF Bolanitos'!P81+'DCF Terronera'!K82*'DCF Terronera'!K84)/('DCF Guanacevi'!P81+'DCF Bolanitos'!P80+'DCF Terronera'!K82),IF(AND('DCF Guanacevi'!P81&gt;=0,'DCF Bolanitos'!P80&gt;=0),('DCF Guanacevi'!P81*'DCF Guanacevi'!P82+'DCF Bolanitos'!P80*'DCF Bolanitos'!P81)/('DCF Guanacevi'!P81+'DCF Bolanitos'!P80),IF(AND('DCF Bolanitos'!P80&gt;=0,'DCF Terronera'!K82&gt;=0),('DCF Bolanitos'!P80*'DCF Bolanitos'!P81+'DCF Terronera'!K82*'DCF Terronera'!K84)/('DCF Bolanitos'!P80+'DCF Terronera'!K82),IF(AND('DCF Guanacevi'!P81&gt;=0,'DCF Terronera'!K82&gt;=0),('DCF Guanacevi'!P81*'DCF Guanacevi'!P82+'DCF Terronera'!K82*'DCF Terronera'!K84)/('DCF Guanacevi'!P81+'DCF Terronera'!K82),IF('DCF Guanacevi'!P81&gt;=0,'DCF Guanacevi'!P82,IF('DCF Bolanitos'!P80&gt;=0,'DCF Bolanitos'!P81,IF('DCF Terronera'!K82&gt;=0,'DCF Terronera'!K84,0))))))))</f>
        <v>0.3</v>
      </c>
      <c r="O37" s="43">
        <f>IF('DCF Guanacevi'!Q81+'DCF Bolanitos'!Q80+'DCF Terronera'!L82=0,0,IF(AND('DCF Guanacevi'!Q81&gt;=0,'DCF Bolanitos'!Q80&gt;=0,'DCF Terronera'!L82&gt;=0),('DCF Guanacevi'!Q81*'DCF Guanacevi'!Q82+'DCF Bolanitos'!Q80*'DCF Bolanitos'!Q81+'DCF Terronera'!L82*'DCF Terronera'!L84)/('DCF Guanacevi'!Q81+'DCF Bolanitos'!Q80+'DCF Terronera'!L82),IF(AND('DCF Guanacevi'!Q81&gt;=0,'DCF Bolanitos'!Q80&gt;=0),('DCF Guanacevi'!Q81*'DCF Guanacevi'!Q82+'DCF Bolanitos'!Q80*'DCF Bolanitos'!Q81)/('DCF Guanacevi'!Q81+'DCF Bolanitos'!Q80),IF(AND('DCF Bolanitos'!Q80&gt;=0,'DCF Terronera'!L82&gt;=0),('DCF Bolanitos'!Q80*'DCF Bolanitos'!Q81+'DCF Terronera'!L82*'DCF Terronera'!L84)/('DCF Bolanitos'!Q80+'DCF Terronera'!L82),IF(AND('DCF Guanacevi'!Q81&gt;=0,'DCF Terronera'!L82&gt;=0),('DCF Guanacevi'!Q81*'DCF Guanacevi'!Q82+'DCF Terronera'!L82*'DCF Terronera'!L84)/('DCF Guanacevi'!Q81+'DCF Terronera'!L82),IF('DCF Guanacevi'!Q81&gt;=0,'DCF Guanacevi'!Q82,IF('DCF Bolanitos'!Q80&gt;=0,'DCF Bolanitos'!Q81,IF('DCF Terronera'!L82&gt;=0,'DCF Terronera'!L84,0))))))))</f>
        <v>0.30000000000000004</v>
      </c>
      <c r="P37" s="43">
        <f>IF('DCF Guanacevi'!R81+'DCF Bolanitos'!R80+'DCF Terronera'!M82=0,0,IF(AND('DCF Guanacevi'!R81&gt;=0,'DCF Bolanitos'!R80&gt;=0,'DCF Terronera'!M82&gt;=0),('DCF Guanacevi'!R81*'DCF Guanacevi'!R82+'DCF Bolanitos'!R80*'DCF Bolanitos'!R81+'DCF Terronera'!M82*'DCF Terronera'!M84)/('DCF Guanacevi'!R81+'DCF Bolanitos'!R80+'DCF Terronera'!M82),IF(AND('DCF Guanacevi'!R81&gt;=0,'DCF Bolanitos'!R80&gt;=0),('DCF Guanacevi'!R81*'DCF Guanacevi'!R82+'DCF Bolanitos'!R80*'DCF Bolanitos'!R81)/('DCF Guanacevi'!R81+'DCF Bolanitos'!R80),IF(AND('DCF Bolanitos'!R80&gt;=0,'DCF Terronera'!M82&gt;=0),('DCF Bolanitos'!R80*'DCF Bolanitos'!R81+'DCF Terronera'!M82*'DCF Terronera'!M84)/('DCF Bolanitos'!R80+'DCF Terronera'!M82),IF(AND('DCF Guanacevi'!R81&gt;=0,'DCF Terronera'!M82&gt;=0),('DCF Guanacevi'!R81*'DCF Guanacevi'!R82+'DCF Terronera'!M82*'DCF Terronera'!M84)/('DCF Guanacevi'!R81+'DCF Terronera'!M82),IF('DCF Guanacevi'!R81&gt;=0,'DCF Guanacevi'!R82,IF('DCF Bolanitos'!R80&gt;=0,'DCF Bolanitos'!R81,IF('DCF Terronera'!M82&gt;=0,'DCF Terronera'!M84,0))))))))</f>
        <v>0.3</v>
      </c>
      <c r="Q37" s="43">
        <f>IF('DCF Guanacevi'!S81+'DCF Bolanitos'!S80+'DCF Terronera'!N82=0,0,IF(AND('DCF Guanacevi'!S81&gt;=0,'DCF Bolanitos'!S80&gt;=0,'DCF Terronera'!N82&gt;=0),('DCF Guanacevi'!S81*'DCF Guanacevi'!S82+'DCF Bolanitos'!S80*'DCF Bolanitos'!S81+'DCF Terronera'!N82*'DCF Terronera'!N84)/('DCF Guanacevi'!S81+'DCF Bolanitos'!S80+'DCF Terronera'!N82),IF(AND('DCF Guanacevi'!S81&gt;=0,'DCF Bolanitos'!S80&gt;=0),('DCF Guanacevi'!S81*'DCF Guanacevi'!S82+'DCF Bolanitos'!S80*'DCF Bolanitos'!S81)/('DCF Guanacevi'!S81+'DCF Bolanitos'!S80),IF(AND('DCF Bolanitos'!S80&gt;=0,'DCF Terronera'!N82&gt;=0),('DCF Bolanitos'!S80*'DCF Bolanitos'!S81+'DCF Terronera'!N82*'DCF Terronera'!N84)/('DCF Bolanitos'!S80+'DCF Terronera'!N82),IF(AND('DCF Guanacevi'!S81&gt;=0,'DCF Terronera'!N82&gt;=0),('DCF Guanacevi'!S81*'DCF Guanacevi'!S82+'DCF Terronera'!N82*'DCF Terronera'!N84)/('DCF Guanacevi'!S81+'DCF Terronera'!N82),IF('DCF Guanacevi'!S81&gt;=0,'DCF Guanacevi'!S82,IF('DCF Bolanitos'!S80&gt;=0,'DCF Bolanitos'!S81,IF('DCF Terronera'!N82&gt;=0,'DCF Terronera'!N84,0))))))))</f>
        <v>0.3</v>
      </c>
      <c r="R37" s="43">
        <f>IF('DCF Guanacevi'!T81+'DCF Bolanitos'!T80+'DCF Terronera'!O82=0,0,IF(AND('DCF Guanacevi'!T81&gt;=0,'DCF Bolanitos'!T80&gt;=0,'DCF Terronera'!O82&gt;=0),('DCF Guanacevi'!T81*'DCF Guanacevi'!T82+'DCF Bolanitos'!T80*'DCF Bolanitos'!T81+'DCF Terronera'!O82*'DCF Terronera'!O84)/('DCF Guanacevi'!T81+'DCF Bolanitos'!T80+'DCF Terronera'!O82),IF(AND('DCF Guanacevi'!T81&gt;=0,'DCF Bolanitos'!T80&gt;=0),('DCF Guanacevi'!T81*'DCF Guanacevi'!T82+'DCF Bolanitos'!T80*'DCF Bolanitos'!T81)/('DCF Guanacevi'!T81+'DCF Bolanitos'!T80),IF(AND('DCF Bolanitos'!T80&gt;=0,'DCF Terronera'!O82&gt;=0),('DCF Bolanitos'!T80*'DCF Bolanitos'!T81+'DCF Terronera'!O82*'DCF Terronera'!O84)/('DCF Bolanitos'!T80+'DCF Terronera'!O82),IF(AND('DCF Guanacevi'!T81&gt;=0,'DCF Terronera'!O82&gt;=0),('DCF Guanacevi'!T81*'DCF Guanacevi'!T82+'DCF Terronera'!O82*'DCF Terronera'!O84)/('DCF Guanacevi'!T81+'DCF Terronera'!O82),IF('DCF Guanacevi'!T81&gt;=0,'DCF Guanacevi'!T82,IF('DCF Bolanitos'!T80&gt;=0,'DCF Bolanitos'!T81,IF('DCF Terronera'!O82&gt;=0,'DCF Terronera'!O84,0))))))))</f>
        <v>0.3</v>
      </c>
      <c r="S37" s="43">
        <f>IF('DCF Guanacevi'!U81+'DCF Bolanitos'!U80+'DCF Terronera'!P82=0,0,IF(AND('DCF Guanacevi'!U81&gt;=0,'DCF Bolanitos'!U80&gt;=0,'DCF Terronera'!P82&gt;=0),('DCF Guanacevi'!U81*'DCF Guanacevi'!U82+'DCF Bolanitos'!U80*'DCF Bolanitos'!U81+'DCF Terronera'!P82*'DCF Terronera'!P84)/('DCF Guanacevi'!U81+'DCF Bolanitos'!U80+'DCF Terronera'!P82),IF(AND('DCF Guanacevi'!U81&gt;=0,'DCF Bolanitos'!U80&gt;=0),('DCF Guanacevi'!U81*'DCF Guanacevi'!U82+'DCF Bolanitos'!U80*'DCF Bolanitos'!U81)/('DCF Guanacevi'!U81+'DCF Bolanitos'!U80),IF(AND('DCF Bolanitos'!U80&gt;=0,'DCF Terronera'!P82&gt;=0),('DCF Bolanitos'!U80*'DCF Bolanitos'!U81+'DCF Terronera'!P82*'DCF Terronera'!P84)/('DCF Bolanitos'!U80+'DCF Terronera'!P82),IF(AND('DCF Guanacevi'!U81&gt;=0,'DCF Terronera'!P82&gt;=0),('DCF Guanacevi'!U81*'DCF Guanacevi'!U82+'DCF Terronera'!P82*'DCF Terronera'!P84)/('DCF Guanacevi'!U81+'DCF Terronera'!P82),IF('DCF Guanacevi'!U81&gt;=0,'DCF Guanacevi'!U82,IF('DCF Bolanitos'!U80&gt;=0,'DCF Bolanitos'!U81,IF('DCF Terronera'!P82&gt;=0,'DCF Terronera'!P84,0))))))))</f>
        <v>0.3</v>
      </c>
      <c r="T37" s="43">
        <f>IF('DCF Guanacevi'!V81+'DCF Bolanitos'!V80+'DCF Terronera'!Q82=0,0,IF(AND('DCF Guanacevi'!V81&gt;=0,'DCF Bolanitos'!V80&gt;=0,'DCF Terronera'!Q82&gt;=0),('DCF Guanacevi'!V81*'DCF Guanacevi'!V82+'DCF Bolanitos'!V80*'DCF Bolanitos'!V81+'DCF Terronera'!Q82*'DCF Terronera'!Q84)/('DCF Guanacevi'!V81+'DCF Bolanitos'!V80+'DCF Terronera'!Q82),IF(AND('DCF Guanacevi'!V81&gt;=0,'DCF Bolanitos'!V80&gt;=0),('DCF Guanacevi'!V81*'DCF Guanacevi'!V82+'DCF Bolanitos'!V80*'DCF Bolanitos'!V81)/('DCF Guanacevi'!V81+'DCF Bolanitos'!V80),IF(AND('DCF Bolanitos'!V80&gt;=0,'DCF Terronera'!Q82&gt;=0),('DCF Bolanitos'!V80*'DCF Bolanitos'!V81+'DCF Terronera'!Q82*'DCF Terronera'!Q84)/('DCF Bolanitos'!V80+'DCF Terronera'!Q82),IF(AND('DCF Guanacevi'!V81&gt;=0,'DCF Terronera'!Q82&gt;=0),('DCF Guanacevi'!V81*'DCF Guanacevi'!V82+'DCF Terronera'!Q82*'DCF Terronera'!Q84)/('DCF Guanacevi'!V81+'DCF Terronera'!Q82),IF('DCF Guanacevi'!V81&gt;=0,'DCF Guanacevi'!V82,IF('DCF Bolanitos'!V80&gt;=0,'DCF Bolanitos'!V81,IF('DCF Terronera'!Q82&gt;=0,'DCF Terronera'!Q84,0))))))))</f>
        <v>0.3</v>
      </c>
      <c r="U37" s="43">
        <f>IF('DCF Guanacevi'!W81+'DCF Bolanitos'!W80+'DCF Terronera'!R82=0,0,IF(AND('DCF Guanacevi'!W81&gt;=0,'DCF Bolanitos'!W80&gt;=0,'DCF Terronera'!R82&gt;=0),('DCF Guanacevi'!W81*'DCF Guanacevi'!W82+'DCF Bolanitos'!W80*'DCF Bolanitos'!W81+'DCF Terronera'!R82*'DCF Terronera'!R84)/('DCF Guanacevi'!W81+'DCF Bolanitos'!W80+'DCF Terronera'!R82),IF(AND('DCF Guanacevi'!W81&gt;=0,'DCF Bolanitos'!W80&gt;=0),('DCF Guanacevi'!W81*'DCF Guanacevi'!W82+'DCF Bolanitos'!W80*'DCF Bolanitos'!W81)/('DCF Guanacevi'!W81+'DCF Bolanitos'!W80),IF(AND('DCF Bolanitos'!W80&gt;=0,'DCF Terronera'!R82&gt;=0),('DCF Bolanitos'!W80*'DCF Bolanitos'!W81+'DCF Terronera'!R82*'DCF Terronera'!R84)/('DCF Bolanitos'!W80+'DCF Terronera'!R82),IF(AND('DCF Guanacevi'!W81&gt;=0,'DCF Terronera'!R82&gt;=0),('DCF Guanacevi'!W81*'DCF Guanacevi'!W82+'DCF Terronera'!R82*'DCF Terronera'!R84)/('DCF Guanacevi'!W81+'DCF Terronera'!R82),IF('DCF Guanacevi'!W81&gt;=0,'DCF Guanacevi'!W82,IF('DCF Bolanitos'!W80&gt;=0,'DCF Bolanitos'!W81,IF('DCF Terronera'!R82&gt;=0,'DCF Terronera'!R84,0))))))))</f>
        <v>0.3</v>
      </c>
      <c r="V37" s="43">
        <f>IF('DCF Guanacevi'!X81+'DCF Bolanitos'!X80+'DCF Terronera'!S82=0,0,IF(AND('DCF Guanacevi'!X81&gt;=0,'DCF Bolanitos'!X80&gt;=0,'DCF Terronera'!S82&gt;=0),('DCF Guanacevi'!X81*'DCF Guanacevi'!X82+'DCF Bolanitos'!X80*'DCF Bolanitos'!X81+'DCF Terronera'!S82*'DCF Terronera'!S84)/('DCF Guanacevi'!X81+'DCF Bolanitos'!X80+'DCF Terronera'!S82),IF(AND('DCF Guanacevi'!X81&gt;=0,'DCF Bolanitos'!X80&gt;=0),('DCF Guanacevi'!X81*'DCF Guanacevi'!X82+'DCF Bolanitos'!X80*'DCF Bolanitos'!X81)/('DCF Guanacevi'!X81+'DCF Bolanitos'!X80),IF(AND('DCF Bolanitos'!X80&gt;=0,'DCF Terronera'!S82&gt;=0),('DCF Bolanitos'!X80*'DCF Bolanitos'!X81+'DCF Terronera'!S82*'DCF Terronera'!S84)/('DCF Bolanitos'!X80+'DCF Terronera'!S82),IF(AND('DCF Guanacevi'!X81&gt;=0,'DCF Terronera'!S82&gt;=0),('DCF Guanacevi'!X81*'DCF Guanacevi'!X82+'DCF Terronera'!S82*'DCF Terronera'!S84)/('DCF Guanacevi'!X81+'DCF Terronera'!S82),IF('DCF Guanacevi'!X81&gt;=0,'DCF Guanacevi'!X82,IF('DCF Bolanitos'!X80&gt;=0,'DCF Bolanitos'!X81,IF('DCF Terronera'!S82&gt;=0,'DCF Terronera'!S84,0))))))))</f>
        <v>0.3</v>
      </c>
      <c r="W37" s="43">
        <f>IF('DCF Guanacevi'!Y81+'DCF Bolanitos'!Y80+'DCF Terronera'!T82=0,0,IF(AND('DCF Guanacevi'!Y81&gt;=0,'DCF Bolanitos'!Y80&gt;=0,'DCF Terronera'!T82&gt;=0),('DCF Guanacevi'!Y81*'DCF Guanacevi'!Y82+'DCF Bolanitos'!Y80*'DCF Bolanitos'!Y81+'DCF Terronera'!T82*'DCF Terronera'!T84)/('DCF Guanacevi'!Y81+'DCF Bolanitos'!Y80+'DCF Terronera'!T82),IF(AND('DCF Guanacevi'!Y81&gt;=0,'DCF Bolanitos'!Y80&gt;=0),('DCF Guanacevi'!Y81*'DCF Guanacevi'!Y82+'DCF Bolanitos'!Y80*'DCF Bolanitos'!Y81)/('DCF Guanacevi'!Y81+'DCF Bolanitos'!Y80),IF(AND('DCF Bolanitos'!Y80&gt;=0,'DCF Terronera'!T82&gt;=0),('DCF Bolanitos'!Y80*'DCF Bolanitos'!Y81+'DCF Terronera'!T82*'DCF Terronera'!T84)/('DCF Bolanitos'!Y80+'DCF Terronera'!T82),IF(AND('DCF Guanacevi'!Y81&gt;=0,'DCF Terronera'!T82&gt;=0),('DCF Guanacevi'!Y81*'DCF Guanacevi'!Y82+'DCF Terronera'!T82*'DCF Terronera'!T84)/('DCF Guanacevi'!Y81+'DCF Terronera'!T82),IF('DCF Guanacevi'!Y81&gt;=0,'DCF Guanacevi'!Y82,IF('DCF Bolanitos'!Y80&gt;=0,'DCF Bolanitos'!Y81,IF('DCF Terronera'!T82&gt;=0,'DCF Terronera'!T84,0))))))))</f>
        <v>0.3</v>
      </c>
      <c r="X37" s="43">
        <f>IF('DCF Guanacevi'!Z81+'DCF Bolanitos'!Z80+'DCF Terronera'!U82=0,0,IF(AND('DCF Guanacevi'!Z81&gt;=0,'DCF Bolanitos'!Z80&gt;=0,'DCF Terronera'!U82&gt;=0),('DCF Guanacevi'!Z81*'DCF Guanacevi'!Z82+'DCF Bolanitos'!Z80*'DCF Bolanitos'!Z81+'DCF Terronera'!U82*'DCF Terronera'!U84)/('DCF Guanacevi'!Z81+'DCF Bolanitos'!Z80+'DCF Terronera'!U82),IF(AND('DCF Guanacevi'!Z81&gt;=0,'DCF Bolanitos'!Z80&gt;=0),('DCF Guanacevi'!Z81*'DCF Guanacevi'!Z82+'DCF Bolanitos'!Z80*'DCF Bolanitos'!Z81)/('DCF Guanacevi'!Z81+'DCF Bolanitos'!Z80),IF(AND('DCF Bolanitos'!Z80&gt;=0,'DCF Terronera'!U82&gt;=0),('DCF Bolanitos'!Z80*'DCF Bolanitos'!Z81+'DCF Terronera'!U82*'DCF Terronera'!U84)/('DCF Bolanitos'!Z80+'DCF Terronera'!U82),IF(AND('DCF Guanacevi'!Z81&gt;=0,'DCF Terronera'!U82&gt;=0),('DCF Guanacevi'!Z81*'DCF Guanacevi'!Z82+'DCF Terronera'!U82*'DCF Terronera'!U84)/('DCF Guanacevi'!Z81+'DCF Terronera'!U82),IF('DCF Guanacevi'!Z81&gt;=0,'DCF Guanacevi'!Z82,IF('DCF Bolanitos'!Z80&gt;=0,'DCF Bolanitos'!Z81,IF('DCF Terronera'!U82&gt;=0,'DCF Terronera'!U84,0))))))))</f>
        <v>0.3</v>
      </c>
      <c r="Y37" s="43">
        <f>IF('DCF Guanacevi'!AA81+'DCF Bolanitos'!AA80+'DCF Terronera'!V82=0,0,IF(AND('DCF Guanacevi'!AA81&gt;=0,'DCF Bolanitos'!AA80&gt;=0,'DCF Terronera'!V82&gt;=0),('DCF Guanacevi'!AA81*'DCF Guanacevi'!AA82+'DCF Bolanitos'!AA80*'DCF Bolanitos'!AA81+'DCF Terronera'!V82*'DCF Terronera'!V84)/('DCF Guanacevi'!AA81+'DCF Bolanitos'!AA80+'DCF Terronera'!V82),IF(AND('DCF Guanacevi'!AA81&gt;=0,'DCF Bolanitos'!AA80&gt;=0),('DCF Guanacevi'!AA81*'DCF Guanacevi'!AA82+'DCF Bolanitos'!AA80*'DCF Bolanitos'!AA81)/('DCF Guanacevi'!AA81+'DCF Bolanitos'!AA80),IF(AND('DCF Bolanitos'!AA80&gt;=0,'DCF Terronera'!V82&gt;=0),('DCF Bolanitos'!AA80*'DCF Bolanitos'!AA81+'DCF Terronera'!V82*'DCF Terronera'!V84)/('DCF Bolanitos'!AA80+'DCF Terronera'!V82),IF(AND('DCF Guanacevi'!AA81&gt;=0,'DCF Terronera'!V82&gt;=0),('DCF Guanacevi'!AA81*'DCF Guanacevi'!AA82+'DCF Terronera'!V82*'DCF Terronera'!V84)/('DCF Guanacevi'!AA81+'DCF Terronera'!V82),IF('DCF Guanacevi'!AA81&gt;=0,'DCF Guanacevi'!AA82,IF('DCF Bolanitos'!AA80&gt;=0,'DCF Bolanitos'!AA81,IF('DCF Terronera'!V82&gt;=0,'DCF Terronera'!V84,0))))))))</f>
        <v>0.3</v>
      </c>
      <c r="Z37" s="43">
        <f>IF('DCF Guanacevi'!AB81+'DCF Bolanitos'!AB80+'DCF Terronera'!W82=0,0,IF(AND('DCF Guanacevi'!AB81&gt;=0,'DCF Bolanitos'!AB80&gt;=0,'DCF Terronera'!W82&gt;=0),('DCF Guanacevi'!AB81*'DCF Guanacevi'!AB82+'DCF Bolanitos'!AB80*'DCF Bolanitos'!AB81+'DCF Terronera'!W82*'DCF Terronera'!W84)/('DCF Guanacevi'!AB81+'DCF Bolanitos'!AB80+'DCF Terronera'!W82),IF(AND('DCF Guanacevi'!AB81&gt;=0,'DCF Bolanitos'!AB80&gt;=0),('DCF Guanacevi'!AB81*'DCF Guanacevi'!AB82+'DCF Bolanitos'!AB80*'DCF Bolanitos'!AB81)/('DCF Guanacevi'!AB81+'DCF Bolanitos'!AB80),IF(AND('DCF Bolanitos'!AB80&gt;=0,'DCF Terronera'!W82&gt;=0),('DCF Bolanitos'!AB80*'DCF Bolanitos'!AB81+'DCF Terronera'!W82*'DCF Terronera'!W84)/('DCF Bolanitos'!AB80+'DCF Terronera'!W82),IF(AND('DCF Guanacevi'!AB81&gt;=0,'DCF Terronera'!W82&gt;=0),('DCF Guanacevi'!AB81*'DCF Guanacevi'!AB82+'DCF Terronera'!W82*'DCF Terronera'!W84)/('DCF Guanacevi'!AB81+'DCF Terronera'!W82),IF('DCF Guanacevi'!AB81&gt;=0,'DCF Guanacevi'!AB82,IF('DCF Bolanitos'!AB80&gt;=0,'DCF Bolanitos'!AB81,IF('DCF Terronera'!W82&gt;=0,'DCF Terronera'!W84,0))))))))</f>
        <v>0.3</v>
      </c>
      <c r="AA37" s="43">
        <f>IF('DCF Guanacevi'!AC81+'DCF Bolanitos'!AC80+'DCF Terronera'!X82=0,0,IF(AND('DCF Guanacevi'!AC81&gt;=0,'DCF Bolanitos'!AC80&gt;=0,'DCF Terronera'!X82&gt;=0),('DCF Guanacevi'!AC81*'DCF Guanacevi'!AC82+'DCF Bolanitos'!AC80*'DCF Bolanitos'!AC81+'DCF Terronera'!X82*'DCF Terronera'!X84)/('DCF Guanacevi'!AC81+'DCF Bolanitos'!AC80+'DCF Terronera'!X82),IF(AND('DCF Guanacevi'!AC81&gt;=0,'DCF Bolanitos'!AC80&gt;=0),('DCF Guanacevi'!AC81*'DCF Guanacevi'!AC82+'DCF Bolanitos'!AC80*'DCF Bolanitos'!AC81)/('DCF Guanacevi'!AC81+'DCF Bolanitos'!AC80),IF(AND('DCF Bolanitos'!AC80&gt;=0,'DCF Terronera'!X82&gt;=0),('DCF Bolanitos'!AC80*'DCF Bolanitos'!AC81+'DCF Terronera'!X82*'DCF Terronera'!X84)/('DCF Bolanitos'!AC80+'DCF Terronera'!X82),IF(AND('DCF Guanacevi'!AC81&gt;=0,'DCF Terronera'!X82&gt;=0),('DCF Guanacevi'!AC81*'DCF Guanacevi'!AC82+'DCF Terronera'!X82*'DCF Terronera'!X84)/('DCF Guanacevi'!AC81+'DCF Terronera'!X82),IF('DCF Guanacevi'!AC81&gt;=0,'DCF Guanacevi'!AC82,IF('DCF Bolanitos'!AC80&gt;=0,'DCF Bolanitos'!AC81,IF('DCF Terronera'!X82&gt;=0,'DCF Terronera'!X84,0))))))))</f>
        <v>0</v>
      </c>
      <c r="AB37" s="43">
        <f>IF('DCF Guanacevi'!AD81+'DCF Bolanitos'!AD80+'DCF Terronera'!Y82=0,0,IF(AND('DCF Guanacevi'!AD81&gt;=0,'DCF Bolanitos'!AD80&gt;=0,'DCF Terronera'!Y82&gt;=0),('DCF Guanacevi'!AD81*'DCF Guanacevi'!AD82+'DCF Bolanitos'!AD80*'DCF Bolanitos'!AD81+'DCF Terronera'!Y82*'DCF Terronera'!Y84)/('DCF Guanacevi'!AD81+'DCF Bolanitos'!AD80+'DCF Terronera'!Y82),IF(AND('DCF Guanacevi'!AD81&gt;=0,'DCF Bolanitos'!AD80&gt;=0),('DCF Guanacevi'!AD81*'DCF Guanacevi'!AD82+'DCF Bolanitos'!AD80*'DCF Bolanitos'!AD81)/('DCF Guanacevi'!AD81+'DCF Bolanitos'!AD80),IF(AND('DCF Bolanitos'!AD80&gt;=0,'DCF Terronera'!Y82&gt;=0),('DCF Bolanitos'!AD80*'DCF Bolanitos'!AD81+'DCF Terronera'!Y82*'DCF Terronera'!Y84)/('DCF Bolanitos'!AD80+'DCF Terronera'!Y82),IF(AND('DCF Guanacevi'!AD81&gt;=0,'DCF Terronera'!Y82&gt;=0),('DCF Guanacevi'!AD81*'DCF Guanacevi'!AD82+'DCF Terronera'!Y82*'DCF Terronera'!Y84)/('DCF Guanacevi'!AD81+'DCF Terronera'!Y82),IF('DCF Guanacevi'!AD81&gt;=0,'DCF Guanacevi'!AD82,IF('DCF Bolanitos'!AD80&gt;=0,'DCF Bolanitos'!AD81,IF('DCF Terronera'!Y82&gt;=0,'DCF Terronera'!Y84,0))))))))</f>
        <v>0</v>
      </c>
      <c r="AC37" s="43">
        <f>IF('DCF Guanacevi'!AE81+'DCF Bolanitos'!AE80+'DCF Terronera'!Z82=0,0,IF(AND('DCF Guanacevi'!AE81&gt;=0,'DCF Bolanitos'!AE80&gt;=0,'DCF Terronera'!Z82&gt;=0),('DCF Guanacevi'!AE81*'DCF Guanacevi'!AE82+'DCF Bolanitos'!AE80*'DCF Bolanitos'!AE81+'DCF Terronera'!Z82*'DCF Terronera'!Z84)/('DCF Guanacevi'!AE81+'DCF Bolanitos'!AE80+'DCF Terronera'!Z82),IF(AND('DCF Guanacevi'!AE81&gt;=0,'DCF Bolanitos'!AE80&gt;=0),('DCF Guanacevi'!AE81*'DCF Guanacevi'!AE82+'DCF Bolanitos'!AE80*'DCF Bolanitos'!AE81)/('DCF Guanacevi'!AE81+'DCF Bolanitos'!AE80),IF(AND('DCF Bolanitos'!AE80&gt;=0,'DCF Terronera'!Z82&gt;=0),('DCF Bolanitos'!AE80*'DCF Bolanitos'!AE81+'DCF Terronera'!Z82*'DCF Terronera'!Z84)/('DCF Bolanitos'!AE80+'DCF Terronera'!Z82),IF(AND('DCF Guanacevi'!AE81&gt;=0,'DCF Terronera'!Z82&gt;=0),('DCF Guanacevi'!AE81*'DCF Guanacevi'!AE82+'DCF Terronera'!Z82*'DCF Terronera'!Z84)/('DCF Guanacevi'!AE81+'DCF Terronera'!Z82),IF('DCF Guanacevi'!AE81&gt;=0,'DCF Guanacevi'!AE82,IF('DCF Bolanitos'!AE80&gt;=0,'DCF Bolanitos'!AE81,IF('DCF Terronera'!Z82&gt;=0,'DCF Terronera'!Z84,0))))))))</f>
        <v>0</v>
      </c>
      <c r="AD37" s="43">
        <f>IF('DCF Guanacevi'!AF81+'DCF Bolanitos'!AF80+'DCF Terronera'!AA82=0,0,IF(AND('DCF Guanacevi'!AF81&gt;=0,'DCF Bolanitos'!AF80&gt;=0,'DCF Terronera'!AA82&gt;=0),('DCF Guanacevi'!AF81*'DCF Guanacevi'!AF82+'DCF Bolanitos'!AF80*'DCF Bolanitos'!AF81+'DCF Terronera'!AA82*'DCF Terronera'!AA84)/('DCF Guanacevi'!AF81+'DCF Bolanitos'!AF80+'DCF Terronera'!AA82),IF(AND('DCF Guanacevi'!AF81&gt;=0,'DCF Bolanitos'!AF80&gt;=0),('DCF Guanacevi'!AF81*'DCF Guanacevi'!AF82+'DCF Bolanitos'!AF80*'DCF Bolanitos'!AF81)/('DCF Guanacevi'!AF81+'DCF Bolanitos'!AF80),IF(AND('DCF Bolanitos'!AF80&gt;=0,'DCF Terronera'!AA82&gt;=0),('DCF Bolanitos'!AF80*'DCF Bolanitos'!AF81+'DCF Terronera'!AA82*'DCF Terronera'!AA84)/('DCF Bolanitos'!AF80+'DCF Terronera'!AA82),IF(AND('DCF Guanacevi'!AF81&gt;=0,'DCF Terronera'!AA82&gt;=0),('DCF Guanacevi'!AF81*'DCF Guanacevi'!AF82+'DCF Terronera'!AA82*'DCF Terronera'!AA84)/('DCF Guanacevi'!AF81+'DCF Terronera'!AA82),IF('DCF Guanacevi'!AF81&gt;=0,'DCF Guanacevi'!AF82,IF('DCF Bolanitos'!AF80&gt;=0,'DCF Bolanitos'!AF81,IF('DCF Terronera'!AA82&gt;=0,'DCF Terronera'!AA84,0))))))))</f>
        <v>0</v>
      </c>
      <c r="AE37" s="43">
        <f>IF('DCF Guanacevi'!AG81+'DCF Bolanitos'!AG80+'DCF Terronera'!AB82=0,0,IF(AND('DCF Guanacevi'!AG81&gt;=0,'DCF Bolanitos'!AG80&gt;=0,'DCF Terronera'!AB82&gt;=0),('DCF Guanacevi'!AG81*'DCF Guanacevi'!AG82+'DCF Bolanitos'!AG80*'DCF Bolanitos'!AG81+'DCF Terronera'!AB82*'DCF Terronera'!AB84)/('DCF Guanacevi'!AG81+'DCF Bolanitos'!AG80+'DCF Terronera'!AB82),IF(AND('DCF Guanacevi'!AG81&gt;=0,'DCF Bolanitos'!AG80&gt;=0),('DCF Guanacevi'!AG81*'DCF Guanacevi'!AG82+'DCF Bolanitos'!AG80*'DCF Bolanitos'!AG81)/('DCF Guanacevi'!AG81+'DCF Bolanitos'!AG80),IF(AND('DCF Bolanitos'!AG80&gt;=0,'DCF Terronera'!AB82&gt;=0),('DCF Bolanitos'!AG80*'DCF Bolanitos'!AG81+'DCF Terronera'!AB82*'DCF Terronera'!AB84)/('DCF Bolanitos'!AG80+'DCF Terronera'!AB82),IF(AND('DCF Guanacevi'!AG81&gt;=0,'DCF Terronera'!AB82&gt;=0),('DCF Guanacevi'!AG81*'DCF Guanacevi'!AG82+'DCF Terronera'!AB82*'DCF Terronera'!AB84)/('DCF Guanacevi'!AG81+'DCF Terronera'!AB82),IF('DCF Guanacevi'!AG81&gt;=0,'DCF Guanacevi'!AG82,IF('DCF Bolanitos'!AG80&gt;=0,'DCF Bolanitos'!AG81,IF('DCF Terronera'!AB82&gt;=0,'DCF Terronera'!AB84,0))))))))</f>
        <v>0</v>
      </c>
      <c r="AF37" s="43">
        <f>IF('DCF Guanacevi'!AH81+'DCF Bolanitos'!AH80+'DCF Terronera'!AC82=0,0,IF(AND('DCF Guanacevi'!AH81&gt;=0,'DCF Bolanitos'!AH80&gt;=0,'DCF Terronera'!AC82&gt;=0),('DCF Guanacevi'!AH81*'DCF Guanacevi'!AH82+'DCF Bolanitos'!AH80*'DCF Bolanitos'!AH81+'DCF Terronera'!AC82*'DCF Terronera'!AC84)/('DCF Guanacevi'!AH81+'DCF Bolanitos'!AH80+'DCF Terronera'!AC82),IF(AND('DCF Guanacevi'!AH81&gt;=0,'DCF Bolanitos'!AH80&gt;=0),('DCF Guanacevi'!AH81*'DCF Guanacevi'!AH82+'DCF Bolanitos'!AH80*'DCF Bolanitos'!AH81)/('DCF Guanacevi'!AH81+'DCF Bolanitos'!AH80),IF(AND('DCF Bolanitos'!AH80&gt;=0,'DCF Terronera'!AC82&gt;=0),('DCF Bolanitos'!AH80*'DCF Bolanitos'!AH81+'DCF Terronera'!AC82*'DCF Terronera'!AC84)/('DCF Bolanitos'!AH80+'DCF Terronera'!AC82),IF(AND('DCF Guanacevi'!AH81&gt;=0,'DCF Terronera'!AC82&gt;=0),('DCF Guanacevi'!AH81*'DCF Guanacevi'!AH82+'DCF Terronera'!AC82*'DCF Terronera'!AC84)/('DCF Guanacevi'!AH81+'DCF Terronera'!AC82),IF('DCF Guanacevi'!AH81&gt;=0,'DCF Guanacevi'!AH82,IF('DCF Bolanitos'!AH80&gt;=0,'DCF Bolanitos'!AH81,IF('DCF Terronera'!AC82&gt;=0,'DCF Terronera'!AC84,0))))))))</f>
        <v>0</v>
      </c>
      <c r="AG37" s="43">
        <f>IF('DCF Guanacevi'!AI81+'DCF Bolanitos'!AI80+'DCF Terronera'!AD82=0,0,IF(AND('DCF Guanacevi'!AI81&gt;=0,'DCF Bolanitos'!AI80&gt;=0,'DCF Terronera'!AD82&gt;=0),('DCF Guanacevi'!AI81*'DCF Guanacevi'!AI82+'DCF Bolanitos'!AI80*'DCF Bolanitos'!AI81+'DCF Terronera'!AD82*'DCF Terronera'!AD84)/('DCF Guanacevi'!AI81+'DCF Bolanitos'!AI80+'DCF Terronera'!AD82),IF(AND('DCF Guanacevi'!AI81&gt;=0,'DCF Bolanitos'!AI80&gt;=0),('DCF Guanacevi'!AI81*'DCF Guanacevi'!AI82+'DCF Bolanitos'!AI80*'DCF Bolanitos'!AI81)/('DCF Guanacevi'!AI81+'DCF Bolanitos'!AI80),IF(AND('DCF Bolanitos'!AI80&gt;=0,'DCF Terronera'!AD82&gt;=0),('DCF Bolanitos'!AI80*'DCF Bolanitos'!AI81+'DCF Terronera'!AD82*'DCF Terronera'!AD84)/('DCF Bolanitos'!AI80+'DCF Terronera'!AD82),IF(AND('DCF Guanacevi'!AI81&gt;=0,'DCF Terronera'!AD82&gt;=0),('DCF Guanacevi'!AI81*'DCF Guanacevi'!AI82+'DCF Terronera'!AD82*'DCF Terronera'!AD84)/('DCF Guanacevi'!AI81+'DCF Terronera'!AD82),IF('DCF Guanacevi'!AI81&gt;=0,'DCF Guanacevi'!AI82,IF('DCF Bolanitos'!AI80&gt;=0,'DCF Bolanitos'!AI81,IF('DCF Terronera'!AD82&gt;=0,'DCF Terronera'!AD84,0))))))))</f>
        <v>0</v>
      </c>
      <c r="AH37" s="43">
        <f>IF('DCF Guanacevi'!AJ81+'DCF Bolanitos'!AJ80+'DCF Terronera'!AE82=0,0,IF(AND('DCF Guanacevi'!AJ81&gt;=0,'DCF Bolanitos'!AJ80&gt;=0,'DCF Terronera'!AE82&gt;=0),('DCF Guanacevi'!AJ81*'DCF Guanacevi'!AJ82+'DCF Bolanitos'!AJ80*'DCF Bolanitos'!AJ81+'DCF Terronera'!AE82*'DCF Terronera'!AE84)/('DCF Guanacevi'!AJ81+'DCF Bolanitos'!AJ80+'DCF Terronera'!AE82),IF(AND('DCF Guanacevi'!AJ81&gt;=0,'DCF Bolanitos'!AJ80&gt;=0),('DCF Guanacevi'!AJ81*'DCF Guanacevi'!AJ82+'DCF Bolanitos'!AJ80*'DCF Bolanitos'!AJ81)/('DCF Guanacevi'!AJ81+'DCF Bolanitos'!AJ80),IF(AND('DCF Bolanitos'!AJ80&gt;=0,'DCF Terronera'!AE82&gt;=0),('DCF Bolanitos'!AJ80*'DCF Bolanitos'!AJ81+'DCF Terronera'!AE82*'DCF Terronera'!AE84)/('DCF Bolanitos'!AJ80+'DCF Terronera'!AE82),IF(AND('DCF Guanacevi'!AJ81&gt;=0,'DCF Terronera'!AE82&gt;=0),('DCF Guanacevi'!AJ81*'DCF Guanacevi'!AJ82+'DCF Terronera'!AE82*'DCF Terronera'!AE84)/('DCF Guanacevi'!AJ81+'DCF Terronera'!AE82),IF('DCF Guanacevi'!AJ81&gt;=0,'DCF Guanacevi'!AJ82,IF('DCF Bolanitos'!AJ80&gt;=0,'DCF Bolanitos'!AJ81,IF('DCF Terronera'!AE82&gt;=0,'DCF Terronera'!AE84,0))))))))</f>
        <v>0</v>
      </c>
      <c r="AI37" s="43">
        <f>IF('DCF Guanacevi'!AK81+'DCF Bolanitos'!AK80+'DCF Terronera'!AF82=0,0,IF(AND('DCF Guanacevi'!AK81&gt;=0,'DCF Bolanitos'!AK80&gt;=0,'DCF Terronera'!AF82&gt;=0),('DCF Guanacevi'!AK81*'DCF Guanacevi'!AK82+'DCF Bolanitos'!AK80*'DCF Bolanitos'!AK81+'DCF Terronera'!AF82*'DCF Terronera'!AF84)/('DCF Guanacevi'!AK81+'DCF Bolanitos'!AK80+'DCF Terronera'!AF82),IF(AND('DCF Guanacevi'!AK81&gt;=0,'DCF Bolanitos'!AK80&gt;=0),('DCF Guanacevi'!AK81*'DCF Guanacevi'!AK82+'DCF Bolanitos'!AK80*'DCF Bolanitos'!AK81)/('DCF Guanacevi'!AK81+'DCF Bolanitos'!AK80),IF(AND('DCF Bolanitos'!AK80&gt;=0,'DCF Terronera'!AF82&gt;=0),('DCF Bolanitos'!AK80*'DCF Bolanitos'!AK81+'DCF Terronera'!AF82*'DCF Terronera'!AF84)/('DCF Bolanitos'!AK80+'DCF Terronera'!AF82),IF(AND('DCF Guanacevi'!AK81&gt;=0,'DCF Terronera'!AF82&gt;=0),('DCF Guanacevi'!AK81*'DCF Guanacevi'!AK82+'DCF Terronera'!AF82*'DCF Terronera'!AF84)/('DCF Guanacevi'!AK81+'DCF Terronera'!AF82),IF('DCF Guanacevi'!AK81&gt;=0,'DCF Guanacevi'!AK82,IF('DCF Bolanitos'!AK80&gt;=0,'DCF Bolanitos'!AK81,IF('DCF Terronera'!AF82&gt;=0,'DCF Terronera'!AF84,0))))))))</f>
        <v>0</v>
      </c>
      <c r="AJ37" s="43">
        <f>IF('DCF Guanacevi'!AL81+'DCF Bolanitos'!AL80+'DCF Terronera'!AG82=0,0,IF(AND('DCF Guanacevi'!AL81&gt;=0,'DCF Bolanitos'!AL80&gt;=0,'DCF Terronera'!AG82&gt;=0),('DCF Guanacevi'!AL81*'DCF Guanacevi'!AL82+'DCF Bolanitos'!AL80*'DCF Bolanitos'!AL81+'DCF Terronera'!AG82*'DCF Terronera'!AG84)/('DCF Guanacevi'!AL81+'DCF Bolanitos'!AL80+'DCF Terronera'!AG82),IF(AND('DCF Guanacevi'!AL81&gt;=0,'DCF Bolanitos'!AL80&gt;=0),('DCF Guanacevi'!AL81*'DCF Guanacevi'!AL82+'DCF Bolanitos'!AL80*'DCF Bolanitos'!AL81)/('DCF Guanacevi'!AL81+'DCF Bolanitos'!AL80),IF(AND('DCF Bolanitos'!AL80&gt;=0,'DCF Terronera'!AG82&gt;=0),('DCF Bolanitos'!AL80*'DCF Bolanitos'!AL81+'DCF Terronera'!AG82*'DCF Terronera'!AG84)/('DCF Bolanitos'!AL80+'DCF Terronera'!AG82),IF(AND('DCF Guanacevi'!AL81&gt;=0,'DCF Terronera'!AG82&gt;=0),('DCF Guanacevi'!AL81*'DCF Guanacevi'!AL82+'DCF Terronera'!AG82*'DCF Terronera'!AG84)/('DCF Guanacevi'!AL81+'DCF Terronera'!AG82),IF('DCF Guanacevi'!AL81&gt;=0,'DCF Guanacevi'!AL82,IF('DCF Bolanitos'!AL80&gt;=0,'DCF Bolanitos'!AL81,IF('DCF Terronera'!AG82&gt;=0,'DCF Terronera'!AG84,0))))))))</f>
        <v>0</v>
      </c>
      <c r="AK37" s="35"/>
    </row>
    <row r="38" spans="1:37" x14ac:dyDescent="0.25">
      <c r="A38" s="24" t="s">
        <v>146</v>
      </c>
      <c r="B38" t="s">
        <v>44</v>
      </c>
      <c r="C38" s="10"/>
      <c r="D38" s="10"/>
      <c r="E38" s="10"/>
      <c r="F38" s="10"/>
      <c r="G38" s="10"/>
      <c r="H38" s="10"/>
      <c r="I38" s="47"/>
      <c r="J38" s="36">
        <f>IF(H36&lt;0,H38-H36+'DCF Terronera'!G83,IF(H36-H39=0,H38-H36+'DCF Terronera'!G83,IF(H36&gt;=H38,0+'DCF Terronera'!G83)))</f>
        <v>0</v>
      </c>
      <c r="K38" s="36">
        <f>IF(J36&lt;0,J38-J36+'DCF Terronera'!H83,IF(J36-J39=0,J38-J36+'DCF Terronera'!H83,IF(J36&gt;=J38,0+'DCF Terronera'!H83)))</f>
        <v>3927260.0964769525</v>
      </c>
      <c r="L38" s="36">
        <f>IF(K36&lt;0,K38-K36+'DCF Terronera'!I83,IF(K36-K39=0,K38-K36+'DCF Terronera'!I83,IF(K36&gt;=K38,0+'DCF Terronera'!I83)))</f>
        <v>8632939.4584957361</v>
      </c>
      <c r="M38" s="36">
        <f>IF(L36&lt;0,L38-L36+'DCF Terronera'!J83,IF(L36-L39=0,L38-L36+'DCF Terronera'!J83,IF(L36&gt;=L38,0+'DCF Terronera'!J83)))</f>
        <v>12547073.327273093</v>
      </c>
      <c r="N38" s="36">
        <f>IF(M36&lt;0,M38-M36+'DCF Terronera'!K83,IF(M36-M39=0,M38-M36+'DCF Terronera'!K83,IF(M36&gt;=M38,0+'DCF Terronera'!K83)))</f>
        <v>29017302.377246313</v>
      </c>
      <c r="O38" s="36">
        <f>IF(N36&lt;0,N38-N36+'DCF Terronera'!L83,IF(N36-N39=0,N38-N36+'DCF Terronera'!L83,IF(N36&gt;=N38,0+'DCF Terronera'!L83)))</f>
        <v>0</v>
      </c>
      <c r="P38" s="36">
        <f>IF(O36&lt;0,O38-O36+'DCF Terronera'!M83,IF(O36-O39=0,O38-O36+'DCF Terronera'!M83,IF(O36&gt;=O38,0+'DCF Terronera'!M83)))</f>
        <v>0</v>
      </c>
      <c r="Q38" s="36">
        <f>IF(P36&lt;0,P38-P36+'DCF Terronera'!N83,IF(P36-P39=0,P38-P36+'DCF Terronera'!N83,IF(P36&gt;=P38,0+'DCF Terronera'!N83)))</f>
        <v>0</v>
      </c>
      <c r="R38" s="36">
        <f>IF(Q36&lt;0,Q38-Q36+'DCF Terronera'!O83,IF(Q36-Q39=0,Q38-Q36+'DCF Terronera'!O83,IF(Q36&gt;=Q38,0+'DCF Terronera'!O83)))</f>
        <v>0</v>
      </c>
      <c r="S38" s="36">
        <f>IF(R36&lt;0,R38-R36+'DCF Terronera'!P83,IF(R36-R39=0,R38-R36+'DCF Terronera'!P83,IF(R36&gt;=R38,0+'DCF Terronera'!P83)))</f>
        <v>0</v>
      </c>
      <c r="T38" s="36">
        <f>IF(S36&lt;0,S38-S36+'DCF Terronera'!Q83,IF(S36-S39=0,S38-S36+'DCF Terronera'!Q83,IF(S36&gt;=S38,0+'DCF Terronera'!Q83)))</f>
        <v>0</v>
      </c>
      <c r="U38" s="36">
        <f>IF(T36&lt;0,T38-T36+'DCF Terronera'!R83,IF(T36-T39=0,T38-T36+'DCF Terronera'!R83,IF(T36&gt;=T38,0+'DCF Terronera'!R83)))</f>
        <v>0</v>
      </c>
      <c r="V38" s="36">
        <f>IF(U36&lt;0,U38-U36+'DCF Terronera'!S83,IF(U36-U39=0,U38-U36+'DCF Terronera'!S83,IF(U36&gt;=U38,0+'DCF Terronera'!S83)))</f>
        <v>0</v>
      </c>
      <c r="W38" s="36">
        <f>IF(V36&lt;0,V38-V36+'DCF Terronera'!T83,IF(V36-V39=0,V38-V36+'DCF Terronera'!T83,IF(V36&gt;=V38,0+'DCF Terronera'!T83)))</f>
        <v>0</v>
      </c>
      <c r="X38" s="36">
        <f>IF(W36&lt;0,W38-W36+'DCF Terronera'!U83,IF(W36-W39=0,W38-W36+'DCF Terronera'!U83,IF(W36&gt;=W38,0+'DCF Terronera'!U83)))</f>
        <v>0</v>
      </c>
      <c r="Y38" s="36">
        <f>IF(X36&lt;0,X38-X36+'DCF Terronera'!V83,IF(X36-X39=0,X38-X36+'DCF Terronera'!V83,IF(X36&gt;=X38,0+'DCF Terronera'!V83)))</f>
        <v>0</v>
      </c>
      <c r="Z38" s="36">
        <f>IF(Y36&lt;0,Y38-Y36+'DCF Terronera'!W83,IF(Y36-Y39=0,Y38-Y36+'DCF Terronera'!W83,IF(Y36&gt;=Y38,0+'DCF Terronera'!W83)))</f>
        <v>0</v>
      </c>
      <c r="AA38" s="36">
        <f>IF(Z36&lt;0,Z38-Z36+'DCF Terronera'!X83,IF(Z36-Z39=0,Z38-Z36+'DCF Terronera'!X83,IF(Z36&gt;=Z38,0+'DCF Terronera'!X83)))</f>
        <v>0</v>
      </c>
      <c r="AB38" s="36">
        <f>IF(AA36&lt;0,AA38-AA36+'DCF Terronera'!Y83,IF(AA36-AA39=0,AA38-AA36+'DCF Terronera'!Y83,IF(AA36&gt;=AA38,0+'DCF Terronera'!Y83)))</f>
        <v>0</v>
      </c>
      <c r="AC38" s="36">
        <f>IF(AB36&lt;0,AB38-AB36+'DCF Terronera'!Z83,IF(AB36-AB39=0,AB38-AB36+'DCF Terronera'!Z83,IF(AB36&gt;=AB38,0+'DCF Terronera'!Z83)))</f>
        <v>0</v>
      </c>
      <c r="AD38" s="36">
        <f>IF(AC36&lt;0,AC38-AC36+'DCF Terronera'!AA83,IF(AC36-AC39=0,AC38-AC36+'DCF Terronera'!AA83,IF(AC36&gt;=AC38,0+'DCF Terronera'!AA83)))</f>
        <v>0</v>
      </c>
      <c r="AE38" s="36">
        <f>IF(AD36&lt;0,AD38-AD36+'DCF Terronera'!AB83,IF(AD36-AD39=0,AD38-AD36+'DCF Terronera'!AB83,IF(AD36&gt;=AD38,0+'DCF Terronera'!AB83)))</f>
        <v>0</v>
      </c>
      <c r="AF38" s="36">
        <f>IF(AE36&lt;0,AE38-AE36+'DCF Terronera'!AC83,IF(AE36-AE39=0,AE38-AE36+'DCF Terronera'!AC83,IF(AE36&gt;=AE38,0+'DCF Terronera'!AC83)))</f>
        <v>0</v>
      </c>
      <c r="AG38" s="36">
        <f>IF(AF36&lt;0,AF38-AF36+'DCF Terronera'!AD83,IF(AF36-AF39=0,AF38-AF36+'DCF Terronera'!AD83,IF(AF36&gt;=AF38,0+'DCF Terronera'!AD83)))</f>
        <v>0</v>
      </c>
      <c r="AH38" s="36">
        <f>IF(AG36&lt;0,AG38-AG36+'DCF Terronera'!AE83,IF(AG36-AG39=0,AG38-AG36+'DCF Terronera'!AE83,IF(AG36&gt;=AG38,0+'DCF Terronera'!AE83)))</f>
        <v>0</v>
      </c>
      <c r="AI38" s="36">
        <f>IF(AH36&lt;0,AH38-AH36+'DCF Terronera'!AF83,IF(AH36-AH39=0,AH38-AH36+'DCF Terronera'!AF83,IF(AH36&gt;=AH38,0+'DCF Terronera'!AF83)))</f>
        <v>0</v>
      </c>
      <c r="AJ38" s="36">
        <f>IF(AI36&lt;0,AI38-AI36+'DCF Terronera'!AG83,IF(AI36-AI39=0,AI38-AI36+'DCF Terronera'!AG83,IF(AI36&gt;=AI38,0+'DCF Terronera'!AG83)))</f>
        <v>0</v>
      </c>
      <c r="AK38" s="35"/>
    </row>
    <row r="39" spans="1:37" x14ac:dyDescent="0.25">
      <c r="A39" s="58" t="s">
        <v>174</v>
      </c>
      <c r="B39" s="3" t="s">
        <v>44</v>
      </c>
      <c r="C39" s="34">
        <v>9684000</v>
      </c>
      <c r="D39" s="34">
        <v>-12439000</v>
      </c>
      <c r="E39" s="34">
        <v>-48066000</v>
      </c>
      <c r="F39" s="34">
        <v>1159000</v>
      </c>
      <c r="G39" s="34">
        <v>13955000</v>
      </c>
      <c r="H39" s="34">
        <v>11662000</v>
      </c>
      <c r="I39" s="47">
        <f>SUM(J39:AJ39)</f>
        <v>467011773.8011958</v>
      </c>
      <c r="J39" s="47">
        <f>IF(J36&lt;0,J36,IF(J38&gt;J36,J36,IF(J36&gt;=J38,J36-(J36-J38)*J37)))</f>
        <v>-3927260.0964769525</v>
      </c>
      <c r="K39" s="47">
        <f t="shared" ref="K39:AJ39" si="36">IF(K36&lt;0,K36,IF(K38&gt;K36,K36,IF(K36&gt;=K38,K36-(K36-K38)*K37)))</f>
        <v>-4705679.3620187836</v>
      </c>
      <c r="L39" s="47">
        <f t="shared" si="36"/>
        <v>-3914133.868777358</v>
      </c>
      <c r="M39" s="47">
        <f t="shared" si="36"/>
        <v>2779770.9500267813</v>
      </c>
      <c r="N39" s="47">
        <f t="shared" si="36"/>
        <v>51029356.399283864</v>
      </c>
      <c r="O39" s="47">
        <f t="shared" si="36"/>
        <v>62551106.58974386</v>
      </c>
      <c r="P39" s="47">
        <f t="shared" si="36"/>
        <v>46728698.939414412</v>
      </c>
      <c r="Q39" s="47">
        <f t="shared" si="36"/>
        <v>44811093.366666675</v>
      </c>
      <c r="R39" s="47">
        <f t="shared" si="36"/>
        <v>44945278.233333342</v>
      </c>
      <c r="S39" s="47">
        <f t="shared" si="36"/>
        <v>33149584.766666673</v>
      </c>
      <c r="T39" s="47">
        <f t="shared" si="36"/>
        <v>29718450.649999999</v>
      </c>
      <c r="U39" s="47">
        <f t="shared" si="36"/>
        <v>34961044.183333337</v>
      </c>
      <c r="V39" s="47">
        <f t="shared" si="36"/>
        <v>28586962.366666671</v>
      </c>
      <c r="W39" s="47">
        <f t="shared" si="36"/>
        <v>25384861.25</v>
      </c>
      <c r="X39" s="47">
        <f t="shared" si="36"/>
        <v>22107946.583333336</v>
      </c>
      <c r="Y39" s="47">
        <f t="shared" si="36"/>
        <v>33725809.950000003</v>
      </c>
      <c r="Z39" s="47">
        <f t="shared" si="36"/>
        <v>19078882.899999999</v>
      </c>
      <c r="AA39" s="47">
        <f t="shared" si="36"/>
        <v>0</v>
      </c>
      <c r="AB39" s="47">
        <f t="shared" si="36"/>
        <v>0</v>
      </c>
      <c r="AC39" s="47">
        <f t="shared" si="36"/>
        <v>0</v>
      </c>
      <c r="AD39" s="47">
        <f t="shared" si="36"/>
        <v>0</v>
      </c>
      <c r="AE39" s="47">
        <f t="shared" si="36"/>
        <v>0</v>
      </c>
      <c r="AF39" s="47">
        <f t="shared" si="36"/>
        <v>0</v>
      </c>
      <c r="AG39" s="47">
        <f t="shared" si="36"/>
        <v>0</v>
      </c>
      <c r="AH39" s="47">
        <f t="shared" si="36"/>
        <v>0</v>
      </c>
      <c r="AI39" s="47">
        <f t="shared" si="36"/>
        <v>0</v>
      </c>
      <c r="AJ39" s="47">
        <f t="shared" si="36"/>
        <v>0</v>
      </c>
      <c r="AK39" s="35"/>
    </row>
    <row r="40" spans="1:37" ht="15.75" thickBot="1" x14ac:dyDescent="0.3">
      <c r="A40" s="7" t="s">
        <v>47</v>
      </c>
      <c r="I40" s="49"/>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row>
    <row r="41" spans="1:37" x14ac:dyDescent="0.25">
      <c r="A41" t="s">
        <v>93</v>
      </c>
      <c r="B41" t="s">
        <v>44</v>
      </c>
      <c r="C41" s="10">
        <v>32636000</v>
      </c>
      <c r="D41" s="10">
        <v>29193000</v>
      </c>
      <c r="E41" s="10">
        <v>20810000</v>
      </c>
      <c r="F41" s="10">
        <v>23131000</v>
      </c>
      <c r="G41" s="10">
        <v>36114000</v>
      </c>
      <c r="H41" s="10">
        <v>8072000</v>
      </c>
      <c r="I41" s="47">
        <f>SUM(J41:AJ41)</f>
        <v>197313241.59999999</v>
      </c>
      <c r="J41" s="36">
        <f>SUM('DCF Guanacevi'!L86:L87)+SUM('DCF Bolanitos'!L85:L86)+'DCF Terronera'!G89+'DCF Terronera'!G90</f>
        <v>8421900</v>
      </c>
      <c r="K41" s="36">
        <f>SUM('DCF Guanacevi'!M86:M87)+SUM('DCF Bolanitos'!M85:M86)+'DCF Terronera'!H89+'DCF Terronera'!H90</f>
        <v>8421900</v>
      </c>
      <c r="L41" s="36">
        <f>SUM('DCF Guanacevi'!N86:N87)+SUM('DCF Bolanitos'!N85:N86)+'DCF Terronera'!I89+'DCF Terronera'!I90</f>
        <v>8421900</v>
      </c>
      <c r="M41" s="36">
        <f>SUM('DCF Guanacevi'!O86:O87)+SUM('DCF Bolanitos'!O85:O86)+'DCF Terronera'!J89+'DCF Terronera'!J90</f>
        <v>7663900</v>
      </c>
      <c r="N41" s="36">
        <f>SUM('DCF Guanacevi'!P86:P87)+SUM('DCF Bolanitos'!P85:P86)+'DCF Terronera'!K89+'DCF Terronera'!K90+1000000</f>
        <v>24515590</v>
      </c>
      <c r="O41" s="36">
        <f>SUM('DCF Guanacevi'!Q86:Q87)+SUM('DCF Bolanitos'!Q85:Q86)+'DCF Terronera'!L89+'DCF Terronera'!L90</f>
        <v>35240100</v>
      </c>
      <c r="P41" s="36">
        <f>SUM('DCF Guanacevi'!R86:R87)+SUM('DCF Bolanitos'!R85:R86)+'DCF Terronera'!M89+'DCF Terronera'!M90</f>
        <v>31706651.600000001</v>
      </c>
      <c r="Q41" s="36">
        <f>SUM('DCF Guanacevi'!S86:S87)+SUM('DCF Bolanitos'!S85:S86)+'DCF Terronera'!N89+'DCF Terronera'!N90</f>
        <v>27148100.000000004</v>
      </c>
      <c r="R41" s="36">
        <f>SUM('DCF Guanacevi'!T86:T87)+SUM('DCF Bolanitos'!T85:T86)+'DCF Terronera'!O89+'DCF Terronera'!O90</f>
        <v>11345400</v>
      </c>
      <c r="S41" s="36">
        <f>SUM('DCF Guanacevi'!U86:U87)+SUM('DCF Bolanitos'!U85:U86)+'DCF Terronera'!P89+'DCF Terronera'!P90</f>
        <v>7230300.0000000009</v>
      </c>
      <c r="T41" s="36">
        <f>SUM('DCF Guanacevi'!V86:V87)+SUM('DCF Bolanitos'!V85:V86)+'DCF Terronera'!Q89+'DCF Terronera'!Q90</f>
        <v>5816800.0000000009</v>
      </c>
      <c r="U41" s="36">
        <f>SUM('DCF Guanacevi'!W86:W87)+SUM('DCF Bolanitos'!W85:W86)+'DCF Terronera'!R89+'DCF Terronera'!R90</f>
        <v>6681400.0000000009</v>
      </c>
      <c r="V41" s="36">
        <f>SUM('DCF Guanacevi'!X86:X87)+SUM('DCF Bolanitos'!X85:X86)+'DCF Terronera'!S89+'DCF Terronera'!S90</f>
        <v>2674100</v>
      </c>
      <c r="W41" s="36">
        <f>SUM('DCF Guanacevi'!Y86:Y87)+SUM('DCF Bolanitos'!Y85:Y86)+'DCF Terronera'!T89+'DCF Terronera'!T90</f>
        <v>4263600</v>
      </c>
      <c r="X41" s="36">
        <f>SUM('DCF Guanacevi'!Z86:Z87)+SUM('DCF Bolanitos'!Z85:Z86)+'DCF Terronera'!U89+'DCF Terronera'!U90</f>
        <v>0</v>
      </c>
      <c r="Y41" s="36">
        <f>SUM('DCF Guanacevi'!AA86:AA87)+SUM('DCF Bolanitos'!AA85:AA86)+'DCF Terronera'!V89+'DCF Terronera'!V90</f>
        <v>0</v>
      </c>
      <c r="Z41" s="36">
        <f>SUM('DCF Guanacevi'!AB86:AB87)+SUM('DCF Bolanitos'!AB85:AB86)+'DCF Terronera'!W89+'DCF Terronera'!W90</f>
        <v>1745700.0000000002</v>
      </c>
      <c r="AA41" s="36">
        <f>SUM('DCF Guanacevi'!AC86:AC87)+SUM('DCF Bolanitos'!AC85:AC86)+'DCF Terronera'!X89+'DCF Terronera'!X90</f>
        <v>5276700</v>
      </c>
      <c r="AB41" s="36">
        <f>SUM('DCF Guanacevi'!AD86:AD87)+SUM('DCF Bolanitos'!AD85:AD86)+'DCF Terronera'!Y89+'DCF Terronera'!Y90</f>
        <v>38500</v>
      </c>
      <c r="AC41" s="36">
        <f>SUM('DCF Guanacevi'!AE86:AE87)+SUM('DCF Bolanitos'!AE85:AE86)+'DCF Terronera'!Z89+'DCF Terronera'!Z90</f>
        <v>38500</v>
      </c>
      <c r="AD41" s="36">
        <f>SUM('DCF Guanacevi'!AF86:AF87)+SUM('DCF Bolanitos'!AF85:AF86)+'DCF Terronera'!AA89+'DCF Terronera'!AA90</f>
        <v>94600.000000000015</v>
      </c>
      <c r="AE41" s="36">
        <f>SUM('DCF Guanacevi'!AG86:AG87)+SUM('DCF Bolanitos'!AG85:AG86)+'DCF Terronera'!AB89+'DCF Terronera'!AB90</f>
        <v>94600.000000000015</v>
      </c>
      <c r="AF41" s="36">
        <f>SUM('DCF Guanacevi'!AH86:AH87)+SUM('DCF Bolanitos'!AH85:AH86)+'DCF Terronera'!AC89+'DCF Terronera'!AC90</f>
        <v>94600.000000000015</v>
      </c>
      <c r="AG41" s="36">
        <f>SUM('DCF Guanacevi'!AI86:AI87)+SUM('DCF Bolanitos'!AI85:AI86)+'DCF Terronera'!AD89+'DCF Terronera'!AD90</f>
        <v>94600.000000000015</v>
      </c>
      <c r="AH41" s="36">
        <f>SUM('DCF Guanacevi'!AJ86:AJ87)+SUM('DCF Bolanitos'!AJ85:AJ86)+'DCF Terronera'!AE89+'DCF Terronera'!AE90</f>
        <v>94600.000000000015</v>
      </c>
      <c r="AI41" s="36">
        <f>SUM('DCF Guanacevi'!AK86:AK87)+SUM('DCF Bolanitos'!AK85:AK86)+'DCF Terronera'!AF89+'DCF Terronera'!AF90</f>
        <v>94600.000000000015</v>
      </c>
      <c r="AJ41" s="36">
        <f>SUM('DCF Guanacevi'!AL86:AL87)+SUM('DCF Bolanitos'!AL85:AL86)+'DCF Terronera'!AG89+'DCF Terronera'!AG90</f>
        <v>94600.000000000015</v>
      </c>
      <c r="AK41" s="35"/>
    </row>
    <row r="42" spans="1:37" x14ac:dyDescent="0.25">
      <c r="A42" t="s">
        <v>176</v>
      </c>
      <c r="C42">
        <v>1</v>
      </c>
      <c r="D42">
        <v>1</v>
      </c>
      <c r="E42">
        <v>1</v>
      </c>
      <c r="F42">
        <v>1</v>
      </c>
      <c r="G42">
        <v>1</v>
      </c>
      <c r="H42">
        <v>1</v>
      </c>
      <c r="I42" s="47"/>
      <c r="J42" s="36">
        <f>1</f>
        <v>1</v>
      </c>
      <c r="K42" s="36">
        <f>J42</f>
        <v>1</v>
      </c>
      <c r="L42" s="36">
        <f t="shared" ref="L42:AJ42" si="37">K42</f>
        <v>1</v>
      </c>
      <c r="M42" s="36">
        <f t="shared" si="37"/>
        <v>1</v>
      </c>
      <c r="N42" s="36">
        <f t="shared" si="37"/>
        <v>1</v>
      </c>
      <c r="O42" s="36">
        <f t="shared" si="37"/>
        <v>1</v>
      </c>
      <c r="P42" s="36">
        <f t="shared" si="37"/>
        <v>1</v>
      </c>
      <c r="Q42" s="36">
        <f t="shared" si="37"/>
        <v>1</v>
      </c>
      <c r="R42" s="36">
        <f t="shared" si="37"/>
        <v>1</v>
      </c>
      <c r="S42" s="36">
        <f t="shared" si="37"/>
        <v>1</v>
      </c>
      <c r="T42" s="36">
        <f t="shared" si="37"/>
        <v>1</v>
      </c>
      <c r="U42" s="36">
        <f t="shared" si="37"/>
        <v>1</v>
      </c>
      <c r="V42" s="36">
        <f t="shared" si="37"/>
        <v>1</v>
      </c>
      <c r="W42" s="36">
        <f t="shared" si="37"/>
        <v>1</v>
      </c>
      <c r="X42" s="36">
        <f t="shared" si="37"/>
        <v>1</v>
      </c>
      <c r="Y42" s="36">
        <f t="shared" si="37"/>
        <v>1</v>
      </c>
      <c r="Z42" s="36">
        <f t="shared" si="37"/>
        <v>1</v>
      </c>
      <c r="AA42" s="36">
        <f t="shared" si="37"/>
        <v>1</v>
      </c>
      <c r="AB42" s="36">
        <f t="shared" si="37"/>
        <v>1</v>
      </c>
      <c r="AC42" s="36">
        <f t="shared" si="37"/>
        <v>1</v>
      </c>
      <c r="AD42" s="36">
        <f t="shared" si="37"/>
        <v>1</v>
      </c>
      <c r="AE42" s="36">
        <f t="shared" si="37"/>
        <v>1</v>
      </c>
      <c r="AF42" s="36">
        <f t="shared" si="37"/>
        <v>1</v>
      </c>
      <c r="AG42" s="36">
        <f t="shared" si="37"/>
        <v>1</v>
      </c>
      <c r="AH42" s="36">
        <f t="shared" si="37"/>
        <v>1</v>
      </c>
      <c r="AI42" s="36">
        <f t="shared" si="37"/>
        <v>1</v>
      </c>
      <c r="AJ42" s="36">
        <f t="shared" si="37"/>
        <v>1</v>
      </c>
      <c r="AK42" s="35"/>
    </row>
    <row r="43" spans="1:37" x14ac:dyDescent="0.25">
      <c r="A43" t="s">
        <v>178</v>
      </c>
      <c r="B43" t="s">
        <v>44</v>
      </c>
      <c r="C43" s="10">
        <f>C41*C42</f>
        <v>32636000</v>
      </c>
      <c r="D43" s="10">
        <f t="shared" ref="D43:H43" si="38">D41*D42</f>
        <v>29193000</v>
      </c>
      <c r="E43" s="10">
        <f t="shared" si="38"/>
        <v>20810000</v>
      </c>
      <c r="F43" s="10">
        <f t="shared" si="38"/>
        <v>23131000</v>
      </c>
      <c r="G43" s="10">
        <f t="shared" si="38"/>
        <v>36114000</v>
      </c>
      <c r="H43" s="10">
        <f t="shared" si="38"/>
        <v>8072000</v>
      </c>
      <c r="I43" s="47">
        <f t="shared" ref="I43" si="39">SUM(J43:AJ43)</f>
        <v>197313241.59999999</v>
      </c>
      <c r="J43" s="36">
        <f>J41*J42</f>
        <v>8421900</v>
      </c>
      <c r="K43" s="36">
        <f t="shared" ref="K43:AJ43" si="40">K41*K42</f>
        <v>8421900</v>
      </c>
      <c r="L43" s="36">
        <f t="shared" si="40"/>
        <v>8421900</v>
      </c>
      <c r="M43" s="36">
        <f t="shared" si="40"/>
        <v>7663900</v>
      </c>
      <c r="N43" s="36">
        <f t="shared" si="40"/>
        <v>24515590</v>
      </c>
      <c r="O43" s="36">
        <f t="shared" si="40"/>
        <v>35240100</v>
      </c>
      <c r="P43" s="36">
        <f t="shared" si="40"/>
        <v>31706651.600000001</v>
      </c>
      <c r="Q43" s="36">
        <f t="shared" si="40"/>
        <v>27148100.000000004</v>
      </c>
      <c r="R43" s="36">
        <f t="shared" si="40"/>
        <v>11345400</v>
      </c>
      <c r="S43" s="36">
        <f t="shared" si="40"/>
        <v>7230300.0000000009</v>
      </c>
      <c r="T43" s="36">
        <f t="shared" si="40"/>
        <v>5816800.0000000009</v>
      </c>
      <c r="U43" s="36">
        <f t="shared" si="40"/>
        <v>6681400.0000000009</v>
      </c>
      <c r="V43" s="36">
        <f t="shared" si="40"/>
        <v>2674100</v>
      </c>
      <c r="W43" s="36">
        <f t="shared" si="40"/>
        <v>4263600</v>
      </c>
      <c r="X43" s="36">
        <f t="shared" si="40"/>
        <v>0</v>
      </c>
      <c r="Y43" s="36">
        <f t="shared" si="40"/>
        <v>0</v>
      </c>
      <c r="Z43" s="36">
        <f t="shared" si="40"/>
        <v>1745700.0000000002</v>
      </c>
      <c r="AA43" s="36">
        <f t="shared" si="40"/>
        <v>5276700</v>
      </c>
      <c r="AB43" s="36">
        <f t="shared" si="40"/>
        <v>38500</v>
      </c>
      <c r="AC43" s="36">
        <f t="shared" si="40"/>
        <v>38500</v>
      </c>
      <c r="AD43" s="36">
        <f t="shared" si="40"/>
        <v>94600.000000000015</v>
      </c>
      <c r="AE43" s="36">
        <f t="shared" si="40"/>
        <v>94600.000000000015</v>
      </c>
      <c r="AF43" s="36">
        <f t="shared" si="40"/>
        <v>94600.000000000015</v>
      </c>
      <c r="AG43" s="36">
        <f t="shared" si="40"/>
        <v>94600.000000000015</v>
      </c>
      <c r="AH43" s="36">
        <f t="shared" si="40"/>
        <v>94600.000000000015</v>
      </c>
      <c r="AI43" s="36">
        <f t="shared" si="40"/>
        <v>94600.000000000015</v>
      </c>
      <c r="AJ43" s="36">
        <f t="shared" si="40"/>
        <v>94600.000000000015</v>
      </c>
      <c r="AK43" s="35"/>
    </row>
    <row r="44" spans="1:37" x14ac:dyDescent="0.25">
      <c r="A44" t="s">
        <v>179</v>
      </c>
      <c r="B44" t="s">
        <v>44</v>
      </c>
      <c r="C44" s="10">
        <v>7199000</v>
      </c>
      <c r="D44" s="10">
        <v>11205000</v>
      </c>
      <c r="E44" s="10">
        <v>989000</v>
      </c>
      <c r="F44" s="10">
        <v>6600000</v>
      </c>
      <c r="G44" s="10">
        <v>7872000</v>
      </c>
      <c r="H44" s="10">
        <v>9500000</v>
      </c>
      <c r="I44" s="47">
        <f>SUM(J44:AJ44)</f>
        <v>181048300</v>
      </c>
      <c r="J44" s="36">
        <f>'DCF Terronera'!G88</f>
        <v>9500000</v>
      </c>
      <c r="K44" s="36">
        <f>'DCF Terronera'!H88</f>
        <v>46632850.000000007</v>
      </c>
      <c r="L44" s="36">
        <f>'DCF Terronera'!I88</f>
        <v>46632850.000000007</v>
      </c>
      <c r="M44" s="36">
        <f>'DCF Terronera'!J88</f>
        <v>31313040</v>
      </c>
      <c r="N44" s="36">
        <f>'DCF Terronera'!K88</f>
        <v>46969560</v>
      </c>
      <c r="O44" s="36">
        <f>'DCF Terronera'!L88</f>
        <v>0</v>
      </c>
      <c r="P44" s="36">
        <f>'DCF Terronera'!M88</f>
        <v>0</v>
      </c>
      <c r="Q44" s="36">
        <f>'DCF Terronera'!N88</f>
        <v>0</v>
      </c>
      <c r="R44" s="36">
        <f>'DCF Terronera'!O88</f>
        <v>0</v>
      </c>
      <c r="S44" s="36">
        <f>'DCF Terronera'!P88</f>
        <v>0</v>
      </c>
      <c r="T44" s="36">
        <f>'DCF Terronera'!Q88</f>
        <v>0</v>
      </c>
      <c r="U44" s="36">
        <f>'DCF Terronera'!R88</f>
        <v>0</v>
      </c>
      <c r="V44" s="36">
        <f>'DCF Terronera'!S88</f>
        <v>0</v>
      </c>
      <c r="W44" s="36">
        <f>'DCF Terronera'!T88</f>
        <v>0</v>
      </c>
      <c r="X44" s="36">
        <f>'DCF Terronera'!U88</f>
        <v>0</v>
      </c>
      <c r="Y44" s="36">
        <f>'DCF Terronera'!V88</f>
        <v>0</v>
      </c>
      <c r="Z44" s="36">
        <f>'DCF Terronera'!W88</f>
        <v>0</v>
      </c>
      <c r="AA44" s="36">
        <f>'DCF Terronera'!X88</f>
        <v>0</v>
      </c>
      <c r="AB44" s="36">
        <f>'DCF Terronera'!Y88</f>
        <v>0</v>
      </c>
      <c r="AC44" s="36">
        <f>'DCF Terronera'!Z88</f>
        <v>0</v>
      </c>
      <c r="AD44" s="36">
        <f>'DCF Terronera'!AA88</f>
        <v>0</v>
      </c>
      <c r="AE44" s="36">
        <f>'DCF Terronera'!AB88</f>
        <v>0</v>
      </c>
      <c r="AF44" s="36">
        <f>'DCF Terronera'!AC88</f>
        <v>0</v>
      </c>
      <c r="AG44" s="36">
        <f>'DCF Terronera'!AD88</f>
        <v>0</v>
      </c>
      <c r="AH44" s="36">
        <f>'DCF Terronera'!AE88</f>
        <v>0</v>
      </c>
      <c r="AI44" s="36">
        <f>'DCF Terronera'!AF88</f>
        <v>0</v>
      </c>
      <c r="AJ44" s="36">
        <f>'DCF Terronera'!AG88</f>
        <v>0</v>
      </c>
      <c r="AK44" s="35"/>
    </row>
    <row r="45" spans="1:37" x14ac:dyDescent="0.25">
      <c r="A45" t="s">
        <v>230</v>
      </c>
      <c r="B45" t="s">
        <v>44</v>
      </c>
      <c r="C45" s="10"/>
      <c r="D45" s="10"/>
      <c r="E45" s="10"/>
      <c r="F45" s="10"/>
      <c r="G45" s="10"/>
      <c r="H45" s="10"/>
      <c r="I45" s="47"/>
      <c r="J45" s="36">
        <v>35000000</v>
      </c>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5"/>
    </row>
    <row r="46" spans="1:37" x14ac:dyDescent="0.25">
      <c r="A46" t="s">
        <v>95</v>
      </c>
      <c r="B46" t="s">
        <v>20</v>
      </c>
      <c r="C46" s="14">
        <f>(C27+SUM(C29:C31)+C35+C41)/(C17+C18*C4/C3)</f>
        <v>18.310017242192806</v>
      </c>
      <c r="D46" s="14">
        <f>(D27+SUM(D29:D31)+D35+D41)/(D17+D18*D4/D3)</f>
        <v>16.561489574045172</v>
      </c>
      <c r="E46" s="14">
        <f>(E27+SUM(E29:E31)+E35+E41)/(E17+E18*E4/E3)</f>
        <v>20.961818813431091</v>
      </c>
      <c r="F46" s="14">
        <f>(F27+SUM(F29:F31)+F35+F41)/(F17+F18*F4/F3)</f>
        <v>21.379610948813966</v>
      </c>
      <c r="G46" s="14">
        <f>(G27+SUM(G29:G31)+G35+G41)/(G17+G18*G4/G3)</f>
        <v>24.283833777415154</v>
      </c>
      <c r="H46" s="14">
        <f>(H27+SUM(H29:H31)+H35+H41)/(H17+H18*H4/H3)</f>
        <v>23.683609128764438</v>
      </c>
      <c r="I46" s="45">
        <f>AVERAGE(J46:AJ46)</f>
        <v>16.65926405979846</v>
      </c>
      <c r="J46" s="41">
        <f>IF(OR(J17&gt;0,J18&gt;0),(J27+SUM(J29:J31)+J35+J43)/(J17+J18*J4/J3),"")</f>
        <v>24.253545223393129</v>
      </c>
      <c r="K46" s="41">
        <f>IF(OR(K17&gt;0,K18&gt;0),(K27+SUM(K29:K31)+K35+K43)/(K17+K18*K4/K3),"")</f>
        <v>24.470259587148085</v>
      </c>
      <c r="L46" s="41">
        <f>IF(OR(L17&gt;0,L18&gt;0),(L27+SUM(L29:L31)+L35+L43)/(L17+L18*L4/L3),"")</f>
        <v>25.092927548043487</v>
      </c>
      <c r="M46" s="41">
        <f>IF(OR(M17&gt;0,M18&gt;0),(M27+SUM(M29:M31)+M35+M43)/(M17+M18*M4/M3),"")</f>
        <v>23.211803430546784</v>
      </c>
      <c r="N46" s="41">
        <f>IF(OR(N17&gt;0,N18&gt;0),(N27+SUM(N29:N31)+N35+N43)/(N17+N18*N4/N3),"")</f>
        <v>17.927527099448273</v>
      </c>
      <c r="O46" s="41">
        <f>IF(OR(O17&gt;0,O18&gt;0),(O27+SUM(O29:O31)+O35+O43)/(O17+O18*O4/O3),"")</f>
        <v>16.417907188582234</v>
      </c>
      <c r="P46" s="41">
        <f>IF(OR(P17&gt;0,P18&gt;0),(P27+SUM(P29:P31)+P35+P43)/(P17+P18*P4/P3),"")</f>
        <v>18.998023093739299</v>
      </c>
      <c r="Q46" s="41">
        <f>IF(OR(Q17&gt;0,Q18&gt;0),(Q27+SUM(Q29:Q31)+Q35+Q43)/(Q17+Q18*Q4/Q3),"")</f>
        <v>14.855570236650486</v>
      </c>
      <c r="R46" s="41">
        <f>IF(OR(R17&gt;0,R18&gt;0),(R27+SUM(R29:R31)+R35+R43)/(R17+R18*R4/R3),"")</f>
        <v>13.450703570310052</v>
      </c>
      <c r="S46" s="41">
        <f>IF(OR(S17&gt;0,S18&gt;0),(S27+SUM(S29:S31)+S35+S43)/(S17+S18*S4/S3),"")</f>
        <v>14.066064420391061</v>
      </c>
      <c r="T46" s="41">
        <f>IF(OR(T17&gt;0,T18&gt;0),(T27+SUM(T29:T31)+T35+T43)/(T17+T18*T4/T3),"")</f>
        <v>14.359983459619293</v>
      </c>
      <c r="U46" s="41">
        <f>IF(OR(U17&gt;0,U18&gt;0),(U27+SUM(U29:U31)+U35+U43)/(U17+U18*U4/U3),"")</f>
        <v>12.711344706329594</v>
      </c>
      <c r="V46" s="41">
        <f>IF(OR(V17&gt;0,V18&gt;0),(V27+SUM(V29:V31)+V35+V43)/(V17+V18*V4/V3),"")</f>
        <v>12.344183634833824</v>
      </c>
      <c r="W46" s="41">
        <f>IF(OR(W17&gt;0,W18&gt;0),(W27+SUM(W29:W31)+W35+W43)/(W17+W18*W4/W3),"")</f>
        <v>13.183553921568627</v>
      </c>
      <c r="X46" s="41">
        <f>IF(OR(X17&gt;0,X18&gt;0),(X27+SUM(X29:X31)+X35+X43)/(X17+X18*X4/X3),"")</f>
        <v>12.334708528037384</v>
      </c>
      <c r="Y46" s="41">
        <f>IF(OR(Y17&gt;0,Y18&gt;0),(Y27+SUM(Y29:Y31)+Y35+Y43)/(Y17+Y18*Y4/Y3),"")</f>
        <v>12.236514937471052</v>
      </c>
      <c r="Z46" s="41">
        <f>IF(OR(Z17&gt;0,Z18&gt;0),(Z27+SUM(Z29:Z31)+Z35+Z43)/(Z17+Z18*Z4/Z3),"")</f>
        <v>13.292868430461208</v>
      </c>
      <c r="AA46" s="41" t="str">
        <f>IF(OR(AA17&gt;0,AA18&gt;0),(AA27+SUM(AA29:AA31)+AA35+AA43)/(AA17+AA18*AA4/AA3),"")</f>
        <v/>
      </c>
      <c r="AB46" s="41" t="str">
        <f>IF(OR(AB17&gt;0,AB18&gt;0),(AB27+SUM(AB29:AB31)+AB35+AB43)/(AB17+AB18*AB4/AB3),"")</f>
        <v/>
      </c>
      <c r="AC46" s="41" t="str">
        <f>IF(OR(AC17&gt;0,AC18&gt;0),(AC27+SUM(AC29:AC31)+AC35+AC43)/(AC17+AC18*AC4/AC3),"")</f>
        <v/>
      </c>
      <c r="AD46" s="41" t="str">
        <f>IF(OR(AD17&gt;0,AD18&gt;0),(AD27+SUM(AD29:AD31)+AD35+AD43)/(AD17+AD18*AD4/AD3),"")</f>
        <v/>
      </c>
      <c r="AE46" s="41" t="str">
        <f>IF(OR(AE17&gt;0,AE18&gt;0),(AE27+SUM(AE29:AE31)+AE35+AE43)/(AE17+AE18*AE4/AE3),"")</f>
        <v/>
      </c>
      <c r="AF46" s="41" t="str">
        <f>IF(OR(AF17&gt;0,AF18&gt;0),(AF27+SUM(AF29:AF31)+AF35+AF43)/(AF17+AF18*AF4/AF3),"")</f>
        <v/>
      </c>
      <c r="AG46" s="41" t="str">
        <f>IF(OR(AG17&gt;0,AG18&gt;0),(AG27+SUM(AG29:AG31)+AG35+AG43)/(AG17+AG18*AG4/AG3),"")</f>
        <v/>
      </c>
      <c r="AH46" s="41" t="str">
        <f>IF(OR(AH17&gt;0,AH18&gt;0),(AH27+SUM(AH29:AH31)+AH35+AH43)/(AH17+AH18*AH4/AH3),"")</f>
        <v/>
      </c>
      <c r="AI46" s="41" t="str">
        <f>IF(OR(AI17&gt;0,AI18&gt;0),(AI27+SUM(AI29:AI31)+AI35+AI43)/(AI17+AI18*AI4/AI3),"")</f>
        <v/>
      </c>
      <c r="AJ46" s="41" t="str">
        <f>IF(OR(AJ17&gt;0,AJ18&gt;0),(AJ27+SUM(AJ29:AJ31)+AJ35+AJ43)/(AJ17+AJ18*AJ4/AJ3),"")</f>
        <v/>
      </c>
      <c r="AK46" s="35"/>
    </row>
    <row r="47" spans="1:37" ht="15.75" thickBot="1" x14ac:dyDescent="0.3">
      <c r="A47" s="7" t="s">
        <v>48</v>
      </c>
      <c r="I47" s="49"/>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row>
    <row r="48" spans="1:37" x14ac:dyDescent="0.25">
      <c r="A48" s="22" t="s">
        <v>48</v>
      </c>
      <c r="B48" s="22" t="s">
        <v>44</v>
      </c>
      <c r="C48" s="10">
        <f>C39+C32-SUM(C43:C44)</f>
        <v>-13161000</v>
      </c>
      <c r="D48" s="10">
        <f>D39+D32-SUM(D43:D44)</f>
        <v>-14060000</v>
      </c>
      <c r="E48" s="10">
        <f>E39+E32-SUM(E43:E44)</f>
        <v>-37815000</v>
      </c>
      <c r="F48" s="10">
        <f>F39+F32-SUM(F43:F44)</f>
        <v>291000</v>
      </c>
      <c r="G48" s="10">
        <f>G39+G32-SUM(G43:G44)</f>
        <v>-5504000</v>
      </c>
      <c r="H48" s="10">
        <f>H39+H32-SUM(H43:H44)</f>
        <v>552000</v>
      </c>
      <c r="I48" s="47">
        <f>SUM(J48:AJ48)</f>
        <v>429559453.04871517</v>
      </c>
      <c r="J48" s="36">
        <f>J39+J32-SUM(J43:J45)</f>
        <v>-48832163.051263765</v>
      </c>
      <c r="K48" s="36">
        <f>K39+K32-SUM(K43:K45)</f>
        <v>-51406157.316805601</v>
      </c>
      <c r="L48" s="36">
        <f>L39+L32-SUM(L43:L45)</f>
        <v>-50614611.823564179</v>
      </c>
      <c r="M48" s="36">
        <f>M39+M32-SUM(M43:M45)</f>
        <v>-27842897.004760031</v>
      </c>
      <c r="N48" s="36">
        <f>N39+N32-SUM(N43:N45)</f>
        <v>3476947.3992838562</v>
      </c>
      <c r="O48" s="36">
        <f>O39+O32-SUM(O43:O45)</f>
        <v>118733339.9230772</v>
      </c>
      <c r="P48" s="36">
        <f>P39+P32-SUM(P43:P45)</f>
        <v>45743380.672747739</v>
      </c>
      <c r="Q48" s="36">
        <f>Q39+Q32-SUM(Q43:Q45)</f>
        <v>47667326.700000003</v>
      </c>
      <c r="R48" s="36">
        <f>R39+R32-SUM(R43:R45)</f>
        <v>54491544.900000006</v>
      </c>
      <c r="S48" s="36">
        <f>S39+S32-SUM(S43:S45)</f>
        <v>48422618.100000001</v>
      </c>
      <c r="T48" s="36">
        <f>T39+T32-SUM(T43:T45)</f>
        <v>44836650.649999999</v>
      </c>
      <c r="U48" s="36">
        <f>U39+U32-SUM(U43:U45)</f>
        <v>49667310.850000001</v>
      </c>
      <c r="V48" s="36">
        <f>V39+V32-SUM(V43:V45)</f>
        <v>47914195.700000003</v>
      </c>
      <c r="W48" s="36">
        <f>W39+W32-SUM(W43:W45)</f>
        <v>43358261.25</v>
      </c>
      <c r="X48" s="36">
        <f>X39+X32-SUM(X43:X45)</f>
        <v>44732613.25</v>
      </c>
      <c r="Y48" s="36">
        <f>Y39+Y32-SUM(Y43:Y45)</f>
        <v>40658809.950000003</v>
      </c>
      <c r="Z48" s="36">
        <f>Z39+Z32-SUM(Z43:Z45)</f>
        <v>24568182.899999999</v>
      </c>
      <c r="AA48" s="36">
        <f>AA39+AA32-SUM(AA43:AA45)</f>
        <v>-5276700</v>
      </c>
      <c r="AB48" s="36">
        <f>AB39+AB32-SUM(AB43:AB45)</f>
        <v>-38500</v>
      </c>
      <c r="AC48" s="36">
        <f>AC39+AC32-SUM(AC43:AC45)</f>
        <v>-38500</v>
      </c>
      <c r="AD48" s="36">
        <f>AD39+AD32-SUM(AD43:AD45)</f>
        <v>-94600.000000000015</v>
      </c>
      <c r="AE48" s="36">
        <f>AE39+AE32-SUM(AE43:AE45)</f>
        <v>-94600.000000000015</v>
      </c>
      <c r="AF48" s="36">
        <f>AF39+AF32-SUM(AF43:AF45)</f>
        <v>-94600.000000000015</v>
      </c>
      <c r="AG48" s="36">
        <f>AG39+AG32-SUM(AG43:AG45)</f>
        <v>-94600.000000000015</v>
      </c>
      <c r="AH48" s="36">
        <f>AH39+AH32-SUM(AH43:AH45)</f>
        <v>-94600.000000000015</v>
      </c>
      <c r="AI48" s="36">
        <f>AI39+AI32-SUM(AI43:AI45)</f>
        <v>-94600.000000000015</v>
      </c>
      <c r="AJ48" s="36">
        <f>AJ39+AJ32-SUM(AJ43:AJ45)</f>
        <v>-94600.000000000015</v>
      </c>
      <c r="AK48" s="36"/>
    </row>
    <row r="49" spans="1:37" x14ac:dyDescent="0.25">
      <c r="A49" s="3" t="s">
        <v>50</v>
      </c>
      <c r="B49" s="3" t="s">
        <v>44</v>
      </c>
      <c r="I49" s="47" t="e">
        <f>SUM(J49:AJ49)</f>
        <v>#REF!</v>
      </c>
      <c r="J49" s="47">
        <f>J48</f>
        <v>-48832163.051263765</v>
      </c>
      <c r="K49" s="47" t="e">
        <f>K48/(1+#REF!)^(0.25)</f>
        <v>#REF!</v>
      </c>
      <c r="L49" s="47" t="e">
        <f>L48/(1+#REF!)^(0.5)</f>
        <v>#REF!</v>
      </c>
      <c r="M49" s="47" t="e">
        <f>M48/(1+#REF!)^(0.75)</f>
        <v>#REF!</v>
      </c>
      <c r="N49" s="47" t="e">
        <f>N48/(1+#REF!)^(1)</f>
        <v>#REF!</v>
      </c>
      <c r="O49" s="47" t="e">
        <f>O48/(1+#REF!)^(2)</f>
        <v>#REF!</v>
      </c>
      <c r="P49" s="47" t="e">
        <f>P48/(1+#REF!)^(3)</f>
        <v>#REF!</v>
      </c>
      <c r="Q49" s="47" t="e">
        <f>Q48/(1+#REF!)^(4)</f>
        <v>#REF!</v>
      </c>
      <c r="R49" s="47" t="e">
        <f>R48/(1+#REF!)^(5)</f>
        <v>#REF!</v>
      </c>
      <c r="S49" s="47" t="e">
        <f>S48/(1+#REF!)^(6)</f>
        <v>#REF!</v>
      </c>
      <c r="T49" s="47" t="e">
        <f>T48/(1+#REF!)^(7)</f>
        <v>#REF!</v>
      </c>
      <c r="U49" s="47" t="e">
        <f>U48/(1+#REF!)^(8)</f>
        <v>#REF!</v>
      </c>
      <c r="V49" s="47" t="e">
        <f>V48/(1+#REF!)^(9)</f>
        <v>#REF!</v>
      </c>
      <c r="W49" s="47" t="e">
        <f>W48/(1+#REF!)^(10)</f>
        <v>#REF!</v>
      </c>
      <c r="X49" s="47" t="e">
        <f>X48/(1+#REF!)^(11)</f>
        <v>#REF!</v>
      </c>
      <c r="Y49" s="47" t="e">
        <f>Y48/(1+#REF!)^(12)</f>
        <v>#REF!</v>
      </c>
      <c r="Z49" s="47" t="e">
        <f>Z48/(1+#REF!)^(13)</f>
        <v>#REF!</v>
      </c>
      <c r="AA49" s="47" t="e">
        <f>AA48/(1+#REF!)^(14)</f>
        <v>#REF!</v>
      </c>
      <c r="AB49" s="47" t="e">
        <f>AB48/(1+#REF!)^(15)</f>
        <v>#REF!</v>
      </c>
      <c r="AC49" s="47" t="e">
        <f>AC48/(1+#REF!)^(16)</f>
        <v>#REF!</v>
      </c>
      <c r="AD49" s="47" t="e">
        <f>AD48/(1+#REF!)^(17)</f>
        <v>#REF!</v>
      </c>
      <c r="AE49" s="47" t="e">
        <f>AE48/(1+#REF!)^(18)</f>
        <v>#REF!</v>
      </c>
      <c r="AF49" s="47" t="e">
        <f>AF48/(1+#REF!)^(19)</f>
        <v>#REF!</v>
      </c>
      <c r="AG49" s="47" t="e">
        <f>AG48/(1+#REF!)^(20)</f>
        <v>#REF!</v>
      </c>
      <c r="AH49" s="47" t="e">
        <f>AH48/(1+#REF!)^(21)</f>
        <v>#REF!</v>
      </c>
      <c r="AI49" s="47" t="e">
        <f>AI48/(1+#REF!)^(22)</f>
        <v>#REF!</v>
      </c>
      <c r="AJ49" s="47" t="e">
        <f>AJ48/(1+#REF!)^(23)</f>
        <v>#REF!</v>
      </c>
      <c r="AK49" s="35"/>
    </row>
  </sheetData>
  <pageMargins left="0.7" right="0.7" top="0.75" bottom="0.75" header="0.3" footer="0.3"/>
  <pageSetup orientation="portrait" r:id="rId1"/>
  <ignoredErrors>
    <ignoredError sqref="I27:I28 I33 I22 I48 I43" formula="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3365-8251-487B-9CA0-20AC17B881A8}">
  <dimension ref="A1:BX92"/>
  <sheetViews>
    <sheetView showGridLines="0" topLeftCell="A49" zoomScale="115" zoomScaleNormal="115" workbookViewId="0">
      <selection activeCell="H77" sqref="H77"/>
    </sheetView>
  </sheetViews>
  <sheetFormatPr baseColWidth="10" defaultColWidth="9.140625" defaultRowHeight="15" x14ac:dyDescent="0.25"/>
  <cols>
    <col min="1" max="1" width="10.42578125" customWidth="1"/>
    <col min="2" max="2" width="39.85546875" bestFit="1" customWidth="1"/>
    <col min="3" max="3" width="10" bestFit="1" customWidth="1"/>
    <col min="4" max="4" width="10.42578125" customWidth="1"/>
    <col min="5" max="5" width="12" bestFit="1" customWidth="1"/>
    <col min="6" max="6" width="16.140625" bestFit="1" customWidth="1"/>
    <col min="7" max="7" width="15.28515625" bestFit="1" customWidth="1"/>
    <col min="8" max="8" width="19.7109375" bestFit="1" customWidth="1"/>
    <col min="9" max="9" width="18.7109375" bestFit="1" customWidth="1"/>
    <col min="10" max="10" width="17.7109375" bestFit="1" customWidth="1"/>
    <col min="11" max="11" width="14.42578125" bestFit="1" customWidth="1"/>
    <col min="12" max="12" width="12.7109375" bestFit="1" customWidth="1"/>
    <col min="13" max="13" width="10.85546875" bestFit="1" customWidth="1"/>
    <col min="14" max="14" width="16" bestFit="1" customWidth="1"/>
    <col min="15" max="15" width="18.28515625" bestFit="1" customWidth="1"/>
    <col min="16" max="16" width="19.5703125" bestFit="1" customWidth="1"/>
    <col min="17" max="17" width="18.5703125" bestFit="1" customWidth="1"/>
    <col min="18" max="18" width="12.85546875" bestFit="1" customWidth="1"/>
    <col min="19" max="20" width="12.7109375" bestFit="1" customWidth="1"/>
    <col min="21" max="21" width="16" bestFit="1" customWidth="1"/>
    <col min="22" max="22" width="15.28515625" bestFit="1" customWidth="1"/>
    <col min="23" max="24" width="19.5703125" bestFit="1" customWidth="1"/>
    <col min="25" max="26" width="8.7109375" customWidth="1"/>
  </cols>
  <sheetData>
    <row r="1" spans="1:26" ht="23.25" x14ac:dyDescent="0.35">
      <c r="A1" s="1" t="s">
        <v>73</v>
      </c>
      <c r="B1" s="2"/>
      <c r="C1" s="2"/>
      <c r="D1" s="2"/>
      <c r="E1" s="2"/>
      <c r="F1" s="2"/>
      <c r="G1" s="2"/>
      <c r="H1" s="2"/>
      <c r="I1" s="2"/>
      <c r="J1" s="2"/>
      <c r="K1" s="2"/>
      <c r="L1" s="2"/>
      <c r="M1" s="2"/>
      <c r="N1" s="2"/>
      <c r="O1" s="2"/>
      <c r="P1" s="2"/>
      <c r="Q1" s="2"/>
      <c r="R1" s="2"/>
      <c r="S1" s="2"/>
      <c r="T1" s="2"/>
      <c r="U1" s="2"/>
      <c r="V1" s="2"/>
      <c r="W1" s="2"/>
      <c r="X1" s="2"/>
      <c r="Y1" s="2"/>
      <c r="Z1" s="2"/>
    </row>
    <row r="2" spans="1:26" x14ac:dyDescent="0.25">
      <c r="A2" s="3" t="s">
        <v>0</v>
      </c>
    </row>
    <row r="3" spans="1:26" x14ac:dyDescent="0.25">
      <c r="A3" t="s">
        <v>108</v>
      </c>
    </row>
    <row r="4" spans="1:26" x14ac:dyDescent="0.25">
      <c r="A4" t="s">
        <v>1</v>
      </c>
      <c r="C4" s="3" t="s">
        <v>2</v>
      </c>
      <c r="D4" s="31">
        <f>WACC!C22</f>
        <v>0.1000078395914526</v>
      </c>
    </row>
    <row r="5" spans="1:26" x14ac:dyDescent="0.25">
      <c r="J5" s="19"/>
      <c r="K5" s="19"/>
      <c r="L5" s="17"/>
    </row>
    <row r="6" spans="1:26" x14ac:dyDescent="0.25">
      <c r="B6" s="3" t="s">
        <v>64</v>
      </c>
      <c r="E6" s="3" t="s">
        <v>68</v>
      </c>
      <c r="F6" s="3" t="s">
        <v>24</v>
      </c>
      <c r="G6" s="3" t="s">
        <v>69</v>
      </c>
      <c r="H6" s="3" t="s">
        <v>70</v>
      </c>
      <c r="I6" s="3" t="s">
        <v>71</v>
      </c>
      <c r="J6" s="3" t="s">
        <v>72</v>
      </c>
      <c r="K6" s="17"/>
      <c r="L6" s="3" t="s">
        <v>68</v>
      </c>
      <c r="M6" s="3" t="s">
        <v>24</v>
      </c>
      <c r="N6" s="3" t="s">
        <v>69</v>
      </c>
      <c r="O6" s="3" t="s">
        <v>70</v>
      </c>
      <c r="P6" s="3" t="s">
        <v>71</v>
      </c>
      <c r="Q6" s="3" t="s">
        <v>72</v>
      </c>
      <c r="S6" s="3" t="s">
        <v>68</v>
      </c>
      <c r="T6" s="3" t="s">
        <v>24</v>
      </c>
      <c r="U6" s="3" t="s">
        <v>69</v>
      </c>
      <c r="V6" s="3" t="s">
        <v>70</v>
      </c>
      <c r="W6" s="3" t="s">
        <v>71</v>
      </c>
      <c r="X6" s="3" t="s">
        <v>72</v>
      </c>
    </row>
    <row r="7" spans="1:26" x14ac:dyDescent="0.25">
      <c r="B7" t="s">
        <v>65</v>
      </c>
      <c r="C7" s="9">
        <v>1</v>
      </c>
      <c r="E7" t="s">
        <v>25</v>
      </c>
      <c r="F7" s="10">
        <f>25747</f>
        <v>25747</v>
      </c>
      <c r="G7">
        <f>344</f>
        <v>344</v>
      </c>
      <c r="H7">
        <f>0.91</f>
        <v>0.91</v>
      </c>
      <c r="I7" s="10">
        <f>F7*G7/Auxiliary!$C$4</f>
        <v>284758.13353444781</v>
      </c>
      <c r="J7" s="10">
        <f>F7*H7/Auxiliary!$C$4</f>
        <v>753.28459743124279</v>
      </c>
      <c r="K7" s="17"/>
      <c r="L7" s="18" t="s">
        <v>28</v>
      </c>
      <c r="M7" s="10">
        <f>149000</f>
        <v>149000</v>
      </c>
      <c r="N7" s="10">
        <f>485</f>
        <v>485</v>
      </c>
      <c r="O7">
        <f>1.09</f>
        <v>1.0900000000000001</v>
      </c>
      <c r="P7" s="10">
        <f>M7*N7/Auxiliary!$C$4</f>
        <v>2323373.7007819009</v>
      </c>
      <c r="Q7" s="10">
        <f>M7*O7/Auxiliary!$C$4</f>
        <v>5221.60275021087</v>
      </c>
      <c r="S7" t="s">
        <v>30</v>
      </c>
      <c r="T7" s="10">
        <f>806000</f>
        <v>806000</v>
      </c>
      <c r="U7">
        <f>417</f>
        <v>417</v>
      </c>
      <c r="V7">
        <f>0.93</f>
        <v>0.93</v>
      </c>
      <c r="W7" s="10">
        <f>T7*U7/Auxiliary!$C$4</f>
        <v>10805930.223209001</v>
      </c>
      <c r="X7" s="10">
        <f>T7*V7/Auxiliary!$C$4</f>
        <v>24099.556612912162</v>
      </c>
    </row>
    <row r="8" spans="1:26" x14ac:dyDescent="0.25">
      <c r="B8" t="s">
        <v>66</v>
      </c>
      <c r="C8" s="9">
        <v>0.8</v>
      </c>
      <c r="E8" t="s">
        <v>26</v>
      </c>
      <c r="F8" s="11">
        <f>1008000</f>
        <v>1008000</v>
      </c>
      <c r="G8" s="5">
        <f>400</f>
        <v>400</v>
      </c>
      <c r="H8" s="5">
        <f>1.02</f>
        <v>1.02</v>
      </c>
      <c r="I8" s="11">
        <f>F8*G8/Auxiliary!$C$4</f>
        <v>12963181.016470803</v>
      </c>
      <c r="J8" s="11">
        <f>F8*H8/Auxiliary!$C$4</f>
        <v>33056.111592000547</v>
      </c>
      <c r="K8" s="17"/>
      <c r="L8" s="17" t="s">
        <v>29</v>
      </c>
      <c r="M8" s="11">
        <f>476000</f>
        <v>476000</v>
      </c>
      <c r="N8" s="11">
        <f>324</f>
        <v>324</v>
      </c>
      <c r="O8" s="12">
        <f>0.7</f>
        <v>0.7</v>
      </c>
      <c r="P8" s="11">
        <f>M8*N8/Auxiliary!$C$4</f>
        <v>4958416.7388000814</v>
      </c>
      <c r="Q8" s="11">
        <f>M8*O8/Auxiliary!$C$4</f>
        <v>10712.628756666843</v>
      </c>
    </row>
    <row r="9" spans="1:26" x14ac:dyDescent="0.25">
      <c r="B9" t="s">
        <v>67</v>
      </c>
      <c r="C9" s="9">
        <v>0</v>
      </c>
      <c r="E9" t="s">
        <v>27</v>
      </c>
      <c r="F9" s="10">
        <f>SUM(F7:F8)</f>
        <v>1033747</v>
      </c>
      <c r="G9" s="13">
        <f>(G7*F7+G8*F8)/F9</f>
        <v>398.60523706477505</v>
      </c>
      <c r="H9" s="14">
        <f>(F7*H7+F8*H8)/F9</f>
        <v>1.0172602870915224</v>
      </c>
      <c r="I9" s="10">
        <f>SUM(I7:I8)</f>
        <v>13247939.150005251</v>
      </c>
      <c r="J9" s="10">
        <f>SUM(J7:J8)</f>
        <v>33809.396189431791</v>
      </c>
      <c r="L9" s="20" t="s">
        <v>27</v>
      </c>
      <c r="M9" s="10">
        <f>SUM(M7:M8)</f>
        <v>625000</v>
      </c>
      <c r="N9" s="21">
        <f>(N7*M7+N8*M8)/M9</f>
        <v>362.38240000000002</v>
      </c>
      <c r="O9" s="14">
        <f>(O7*M7+O8*M8)/M9</f>
        <v>0.79297600000000001</v>
      </c>
      <c r="P9" s="10">
        <f>SUM(P7:P8)</f>
        <v>7281790.4395819828</v>
      </c>
      <c r="Q9" s="10">
        <f>SUM(Q7:Q8)</f>
        <v>15934.231506877713</v>
      </c>
    </row>
    <row r="10" spans="1:26" x14ac:dyDescent="0.25">
      <c r="B10" s="19"/>
      <c r="C10" s="17"/>
      <c r="D10" s="17"/>
    </row>
    <row r="11" spans="1:26" x14ac:dyDescent="0.25">
      <c r="B11" s="6" t="s">
        <v>7</v>
      </c>
      <c r="C11" s="6" t="s">
        <v>8</v>
      </c>
      <c r="D11" s="6"/>
      <c r="E11" s="6" t="s">
        <v>63</v>
      </c>
      <c r="F11" s="6" t="s">
        <v>10</v>
      </c>
      <c r="G11" s="6" t="s">
        <v>11</v>
      </c>
      <c r="H11" s="6" t="s">
        <v>12</v>
      </c>
      <c r="I11" s="6" t="s">
        <v>13</v>
      </c>
      <c r="J11" s="6" t="s">
        <v>55</v>
      </c>
      <c r="K11" s="6" t="s">
        <v>9</v>
      </c>
      <c r="L11" s="6" t="s">
        <v>56</v>
      </c>
      <c r="M11" s="6" t="s">
        <v>60</v>
      </c>
      <c r="N11" s="6" t="s">
        <v>61</v>
      </c>
      <c r="O11" s="6" t="s">
        <v>62</v>
      </c>
      <c r="P11" s="6" t="s">
        <v>57</v>
      </c>
      <c r="Q11" s="6" t="s">
        <v>14</v>
      </c>
      <c r="R11" s="6" t="s">
        <v>15</v>
      </c>
      <c r="S11" s="6" t="s">
        <v>16</v>
      </c>
      <c r="T11" s="6" t="s">
        <v>17</v>
      </c>
      <c r="U11" s="6" t="s">
        <v>18</v>
      </c>
      <c r="V11" s="6" t="s">
        <v>58</v>
      </c>
      <c r="W11" s="6" t="s">
        <v>59</v>
      </c>
      <c r="X11" s="6" t="s">
        <v>115</v>
      </c>
      <c r="Y11" s="6"/>
      <c r="Z11" s="6"/>
    </row>
    <row r="12" spans="1:26" x14ac:dyDescent="0.25">
      <c r="K12" s="35"/>
      <c r="L12" s="35"/>
      <c r="M12" s="35"/>
      <c r="N12" s="35"/>
      <c r="O12" s="35"/>
      <c r="P12" s="35"/>
      <c r="Q12" s="35"/>
      <c r="R12" s="35"/>
      <c r="S12" s="35"/>
      <c r="T12" s="35"/>
      <c r="U12" s="35"/>
      <c r="V12" s="35"/>
      <c r="W12" s="35"/>
      <c r="X12" s="35"/>
    </row>
    <row r="13" spans="1:26" ht="15.75" thickBot="1" x14ac:dyDescent="0.3">
      <c r="B13" s="7" t="s">
        <v>19</v>
      </c>
      <c r="K13" s="35"/>
      <c r="L13" s="35"/>
      <c r="M13" s="35"/>
      <c r="N13" s="35"/>
      <c r="O13" s="35"/>
      <c r="P13" s="35"/>
      <c r="Q13" s="35"/>
      <c r="R13" s="35"/>
      <c r="S13" s="35"/>
      <c r="T13" s="35"/>
      <c r="U13" s="35"/>
      <c r="V13" s="35"/>
      <c r="W13" s="35"/>
      <c r="X13" s="35"/>
    </row>
    <row r="14" spans="1:26" x14ac:dyDescent="0.25">
      <c r="B14" t="s">
        <v>53</v>
      </c>
      <c r="C14" t="s">
        <v>20</v>
      </c>
      <c r="E14">
        <v>17.239999999999998</v>
      </c>
      <c r="F14">
        <v>15.65</v>
      </c>
      <c r="G14">
        <v>16.29</v>
      </c>
      <c r="H14" s="14">
        <v>21.6</v>
      </c>
      <c r="I14">
        <v>25.22</v>
      </c>
      <c r="J14">
        <v>24.38</v>
      </c>
      <c r="K14" s="45">
        <f>AVERAGE(L14:W14)</f>
        <v>24.333333333333332</v>
      </c>
      <c r="L14" s="35">
        <f>'Central sheet '!J3</f>
        <v>22</v>
      </c>
      <c r="M14" s="35">
        <f>'Central sheet '!K3</f>
        <v>22</v>
      </c>
      <c r="N14" s="35">
        <f>'Central sheet '!L3</f>
        <v>23</v>
      </c>
      <c r="O14" s="35">
        <f>'Central sheet '!M3</f>
        <v>25</v>
      </c>
      <c r="P14" s="35">
        <f>'Central sheet '!N3</f>
        <v>25</v>
      </c>
      <c r="Q14" s="35">
        <f>'Central sheet '!O3</f>
        <v>25</v>
      </c>
      <c r="R14" s="35">
        <f>'Central sheet '!P3</f>
        <v>25</v>
      </c>
      <c r="S14" s="35">
        <f>'Central sheet '!Q3</f>
        <v>25</v>
      </c>
      <c r="T14" s="35">
        <f>'Central sheet '!R3</f>
        <v>25</v>
      </c>
      <c r="U14" s="35">
        <f>'Central sheet '!S3</f>
        <v>25</v>
      </c>
      <c r="V14" s="35">
        <f>'Central sheet '!T3</f>
        <v>25</v>
      </c>
      <c r="W14" s="35">
        <f>'Central sheet '!U3</f>
        <v>25</v>
      </c>
      <c r="X14" s="35"/>
    </row>
    <row r="15" spans="1:26" x14ac:dyDescent="0.25">
      <c r="B15" t="s">
        <v>54</v>
      </c>
      <c r="C15" t="s">
        <v>20</v>
      </c>
      <c r="E15" s="10">
        <v>1285</v>
      </c>
      <c r="F15" s="10">
        <v>1267</v>
      </c>
      <c r="G15" s="10">
        <v>1422</v>
      </c>
      <c r="H15" s="10">
        <v>1846</v>
      </c>
      <c r="I15" s="10">
        <v>1790</v>
      </c>
      <c r="J15" s="10">
        <v>1970</v>
      </c>
      <c r="K15" s="47">
        <f>AVERAGE(L15:W15)</f>
        <v>1772.5</v>
      </c>
      <c r="L15" s="36">
        <f>'Central sheet '!J4</f>
        <v>1870</v>
      </c>
      <c r="M15" s="36">
        <f>'Central sheet '!K4</f>
        <v>1850</v>
      </c>
      <c r="N15" s="36">
        <f>'Central sheet '!L4</f>
        <v>1800</v>
      </c>
      <c r="O15" s="36">
        <f>'Central sheet '!M4</f>
        <v>1750</v>
      </c>
      <c r="P15" s="36">
        <f>'Central sheet '!N4</f>
        <v>1750</v>
      </c>
      <c r="Q15" s="36">
        <f>'Central sheet '!O4</f>
        <v>1750</v>
      </c>
      <c r="R15" s="36">
        <f>'Central sheet '!P4</f>
        <v>1750</v>
      </c>
      <c r="S15" s="36">
        <f>'Central sheet '!Q4</f>
        <v>1750</v>
      </c>
      <c r="T15" s="36">
        <f>'Central sheet '!R4</f>
        <v>1750</v>
      </c>
      <c r="U15" s="36">
        <f>'Central sheet '!S4</f>
        <v>1750</v>
      </c>
      <c r="V15" s="36">
        <f>'Central sheet '!T4</f>
        <v>1750</v>
      </c>
      <c r="W15" s="36">
        <f>'Central sheet '!U4</f>
        <v>1750</v>
      </c>
      <c r="X15" s="35"/>
    </row>
    <row r="16" spans="1:26" x14ac:dyDescent="0.25">
      <c r="E16" s="10"/>
      <c r="F16" s="10"/>
      <c r="G16" s="10"/>
      <c r="H16" s="10"/>
      <c r="I16" s="10"/>
      <c r="J16" s="10"/>
      <c r="K16" s="47"/>
      <c r="L16" s="36"/>
      <c r="M16" s="36"/>
      <c r="N16" s="36"/>
      <c r="O16" s="36"/>
      <c r="P16" s="36"/>
      <c r="Q16" s="36"/>
      <c r="R16" s="36"/>
      <c r="S16" s="36"/>
      <c r="T16" s="36"/>
      <c r="U16" s="36"/>
      <c r="V16" s="36"/>
      <c r="W16" s="35"/>
      <c r="X16" s="35"/>
    </row>
    <row r="17" spans="2:76" ht="15.75" thickBot="1" x14ac:dyDescent="0.3">
      <c r="B17" s="7" t="s">
        <v>74</v>
      </c>
      <c r="E17" s="10"/>
      <c r="F17" s="10"/>
      <c r="G17" s="10"/>
      <c r="H17" s="10"/>
      <c r="I17" s="10"/>
      <c r="J17" s="10"/>
      <c r="K17" s="47"/>
      <c r="L17" s="36"/>
      <c r="M17" s="36"/>
      <c r="N17" s="36"/>
      <c r="O17" s="36"/>
      <c r="P17" s="36"/>
      <c r="Q17" s="36"/>
      <c r="R17" s="36"/>
      <c r="S17" s="36"/>
      <c r="T17" s="36"/>
      <c r="U17" s="36"/>
      <c r="V17" s="36"/>
      <c r="W17" s="35"/>
      <c r="X17" s="35"/>
    </row>
    <row r="18" spans="2:76" x14ac:dyDescent="0.25">
      <c r="B18" t="s">
        <v>25</v>
      </c>
      <c r="C18" t="s">
        <v>35</v>
      </c>
      <c r="E18" s="10"/>
      <c r="F18" s="10"/>
      <c r="G18" s="10"/>
      <c r="H18" s="10"/>
      <c r="I18" s="10"/>
      <c r="J18" s="10">
        <v>127000</v>
      </c>
      <c r="K18" s="47">
        <f>F7</f>
        <v>25747</v>
      </c>
      <c r="L18" s="36">
        <f>J18-J30</f>
        <v>25747</v>
      </c>
      <c r="M18" s="36">
        <f>IF(L18-L29*91&gt;=0,L18-L29*91,0)</f>
        <v>0</v>
      </c>
      <c r="N18" s="36">
        <f>IF(M18-M29*92&gt;=0,M18-M29*92,0)</f>
        <v>0</v>
      </c>
      <c r="O18" s="36">
        <f>IF(N18-N29*92&gt;=0,N18-N29*92,0)</f>
        <v>0</v>
      </c>
      <c r="P18" s="36">
        <f>IF(O18-O29*90&gt;=0,O18-O29*90,0)</f>
        <v>0</v>
      </c>
      <c r="Q18" s="36">
        <f>IF(P18-P29*275&gt;=0,P18-P29*275,0)</f>
        <v>0</v>
      </c>
      <c r="R18" s="36">
        <f>IF(Q18-Q29*366&gt;=0,Q18-Q29*366,0)</f>
        <v>0</v>
      </c>
      <c r="S18" s="36">
        <f>IF(R18-R29*365&gt;=0,R18-R29*365,0)</f>
        <v>0</v>
      </c>
      <c r="T18" s="36">
        <f t="shared" ref="T18:U18" si="0">IF(S18-S29*365&gt;=0,S18-S29*365,0)</f>
        <v>0</v>
      </c>
      <c r="U18" s="36">
        <f t="shared" si="0"/>
        <v>0</v>
      </c>
      <c r="V18" s="36">
        <f>IF(U18-U29*366&gt;=0,U18-U29*366,0)</f>
        <v>0</v>
      </c>
      <c r="W18" s="36">
        <f>IF(V18-V29*366&gt;=0,V18-V29*366,0)</f>
        <v>0</v>
      </c>
      <c r="X18" s="35"/>
    </row>
    <row r="19" spans="2:76" x14ac:dyDescent="0.25">
      <c r="B19" t="s">
        <v>26</v>
      </c>
      <c r="C19" t="s">
        <v>35</v>
      </c>
      <c r="E19" s="10"/>
      <c r="F19" s="10"/>
      <c r="G19" s="10"/>
      <c r="H19" s="10"/>
      <c r="I19" s="10"/>
      <c r="J19" s="18">
        <v>1008000</v>
      </c>
      <c r="K19" s="48">
        <f>F8</f>
        <v>1008000</v>
      </c>
      <c r="L19" s="36">
        <f>J19</f>
        <v>1008000</v>
      </c>
      <c r="M19" s="36">
        <f>IF(L18-L29*91&gt;=0,L19,IF(L19+L18-L29*91&gt;=0,L19+L18-L29*91,0))</f>
        <v>929097</v>
      </c>
      <c r="N19" s="36">
        <f>IF(M18-M29*92&gt;=0,M19,IF(M19+M18-M29*92&gt;=0,M19+M18-M29*92,0))</f>
        <v>823297</v>
      </c>
      <c r="O19" s="36">
        <f>IF(N18-N29*92=0,N19,IF(N19+N18-N29*92&gt;=0,N19+N18-N29*92,0))</f>
        <v>717497</v>
      </c>
      <c r="P19" s="36">
        <f>IF(O18-O29*90&gt;=0,O19,IF(O19+O18-O29*90&gt;=0,O19+O18-O29*90,0))</f>
        <v>613997</v>
      </c>
      <c r="Q19" s="36">
        <f>IF(P18-P29*275&gt;=0,P19,IF(P19+P18-P29*275&gt;=0,P19+P18-P29*275,0))</f>
        <v>297747</v>
      </c>
      <c r="R19" s="36">
        <f>IF(Q18-Q29*366&gt;=0,Q19,IF(Q19+Q18-Q29*366&gt;=0,Q19+Q18-Q29*366,0))</f>
        <v>0</v>
      </c>
      <c r="S19" s="36">
        <f>IF(R18-R29*365&gt;=0,R19,IF(R19+R18-R29*365&gt;=0,R19+R18-R29*365,0))</f>
        <v>0</v>
      </c>
      <c r="T19" s="36">
        <f>IF(S18-S29*365&gt;=0,S19,IF(S19+S18-S29*365&gt;=0,S19+S18-S29*365,0))</f>
        <v>0</v>
      </c>
      <c r="U19" s="36">
        <f>IF(T18-T29*365&gt;=0,T19,IF(T19+T18-T29*365&gt;=0,T19+T18-T29*365,0))</f>
        <v>0</v>
      </c>
      <c r="V19" s="36">
        <f>IF(U18-U29*366&gt;=0,U19,IF(U19+U18-U29*366&gt;=0,U19+U18-U29*366,0))</f>
        <v>0</v>
      </c>
      <c r="W19" s="36">
        <f>IF(V18-V29*366&gt;=0,V19,IF(V19+V18-V29*366&gt;=0,V19+V18-V29*366,0))</f>
        <v>0</v>
      </c>
      <c r="X19" s="35"/>
    </row>
    <row r="20" spans="2:76" x14ac:dyDescent="0.25">
      <c r="E20" s="10"/>
      <c r="F20" s="10"/>
      <c r="G20" s="10"/>
      <c r="H20" s="10"/>
      <c r="I20" s="10"/>
      <c r="J20" s="10"/>
      <c r="K20" s="47"/>
      <c r="L20" s="36"/>
      <c r="M20" s="36"/>
      <c r="N20" s="36"/>
      <c r="O20" s="36"/>
      <c r="P20" s="36"/>
      <c r="Q20" s="36"/>
      <c r="R20" s="36"/>
      <c r="S20" s="36"/>
      <c r="T20" s="36"/>
      <c r="U20" s="36"/>
      <c r="V20" s="36"/>
      <c r="W20" s="35"/>
      <c r="X20" s="35"/>
    </row>
    <row r="21" spans="2:76" ht="15.75" thickBot="1" x14ac:dyDescent="0.3">
      <c r="B21" s="7" t="s">
        <v>75</v>
      </c>
      <c r="E21" s="10"/>
      <c r="F21" s="10"/>
      <c r="G21" s="10"/>
      <c r="H21" s="10"/>
      <c r="I21" s="10"/>
      <c r="J21" s="10"/>
      <c r="K21" s="47"/>
      <c r="L21" s="36"/>
      <c r="M21" s="36"/>
      <c r="N21" s="36"/>
      <c r="O21" s="36"/>
      <c r="P21" s="36"/>
      <c r="Q21" s="36"/>
      <c r="R21" s="36"/>
      <c r="S21" s="36"/>
      <c r="T21" s="36"/>
      <c r="U21" s="36"/>
      <c r="V21" s="36"/>
      <c r="W21" s="35"/>
      <c r="X21" s="35"/>
    </row>
    <row r="22" spans="2:76" x14ac:dyDescent="0.25">
      <c r="B22" s="23" t="s">
        <v>28</v>
      </c>
      <c r="C22" t="s">
        <v>35</v>
      </c>
      <c r="E22" s="10"/>
      <c r="F22" s="10"/>
      <c r="G22" s="10"/>
      <c r="H22" s="10"/>
      <c r="I22" s="10"/>
      <c r="J22" s="10">
        <f>M7*C7</f>
        <v>149000</v>
      </c>
      <c r="K22" s="48">
        <f>J22</f>
        <v>149000</v>
      </c>
      <c r="L22" s="36">
        <f>J22</f>
        <v>149000</v>
      </c>
      <c r="M22" s="36">
        <f>IF(SUM(L18:L19)-L29*91&gt;=0,L22,IF(SUM(L18:L19)+L22-L29*91&gt;=0,SUM(L18:L19)+L22-L29*91,0))</f>
        <v>149000</v>
      </c>
      <c r="N22" s="36">
        <f>IF(SUM(M18:M19)-M29*92&gt;=0,M22,IF(SUM(M18:M19)+M22-M29*92&gt;=0,SUM(M18:M19)+M22-M29*92,0))</f>
        <v>149000</v>
      </c>
      <c r="O22" s="36">
        <f>IF(SUM(N18:N19)-N29*92&gt;=0,N22,IF(SUM(N18:N19)+N22-N29*92&gt;=0,SUM(N18:N19)+N22-N29*92,0))</f>
        <v>149000</v>
      </c>
      <c r="P22" s="36">
        <f>IF(SUM(O18:O19)-O29*90&gt;=0,O22,IF(SUM(O18:O19)+O22-O29*90&gt;=0,SUM(O18:O19)+O22-O29*90,0))</f>
        <v>149000</v>
      </c>
      <c r="Q22" s="36">
        <f>IF(SUM(P18:P19)-P29*275&gt;=0,P22,IF(SUM(P18:P19)+P22-P29*275&gt;=0,SUM(P18:P19)+P22-P29*275,0))</f>
        <v>149000</v>
      </c>
      <c r="R22" s="36">
        <f>IF(SUM(Q18:Q19)-Q29*366&gt;=0,Q22,IF(SUM(Q18:Q19)+Q22-Q29*366&gt;=0,SUM(Q18:Q19)+Q22-Q29*366,0))</f>
        <v>25847</v>
      </c>
      <c r="S22" s="36">
        <f>IF(SUM(R18:R19)-R29*365&gt;=0,R22,IF(SUM(R18:R19)+R22-R29*365&gt;=0,SUM(R18:R19)+R22-R29*365,0))</f>
        <v>0</v>
      </c>
      <c r="T22" s="36">
        <f>IF(SUM(S18:S19)-S29*365&gt;=0,S22,IF(SUM(S18:S19)+S22-S29*365&gt;=0,SUM(S18:S19)+S22-S29*365,0))</f>
        <v>0</v>
      </c>
      <c r="U22" s="36">
        <f>IF(SUM(T18:T19)-T29*365&gt;=0,T22,IF(SUM(T18:T19)+T22-T29*365&gt;=0,SUM(T18:T19)+T22-T29*365,0))</f>
        <v>0</v>
      </c>
      <c r="V22" s="36">
        <f>IF(SUM(U18:U19)-U29*366&gt;=0,U22,IF(SUM(U18:U19)+U22-U29*366&gt;=0,SUM(U18:U19)+U22-U29*366,0))</f>
        <v>0</v>
      </c>
      <c r="W22" s="36">
        <f>IF(SUM(V18:V19)-V29*366&gt;=0,V22,IF(SUM(V18:V19)+V22-V29*366&gt;=0,SUM(V18:V19)+V22-V29*366,0))</f>
        <v>0</v>
      </c>
      <c r="X22" s="35"/>
    </row>
    <row r="23" spans="2:76" x14ac:dyDescent="0.25">
      <c r="B23" s="24" t="s">
        <v>29</v>
      </c>
      <c r="C23" t="s">
        <v>35</v>
      </c>
      <c r="J23" s="18">
        <f>M8*C8</f>
        <v>380800</v>
      </c>
      <c r="K23" s="48">
        <f>J23</f>
        <v>380800</v>
      </c>
      <c r="L23" s="37">
        <f>J23</f>
        <v>380800</v>
      </c>
      <c r="M23" s="37">
        <f>IF(SUM(L18:L19)+L22-L29*91&gt;=0,L23,IF(SUM(L18:L19)+SUM(L22:L23)-L29*91&gt;=0,SUM(L18:L19)+SUM(L22:L23)-L29*91,0))</f>
        <v>380800</v>
      </c>
      <c r="N23" s="37">
        <f>IF(SUM(M18:M19)+M22-M29*92&gt;=0,M23,IF(SUM(M18:M19)+SUM(M22:M23)-M29*92&gt;=0,SUM(M18:M19)+SUM(M22:M23)-M29*92,0))</f>
        <v>380800</v>
      </c>
      <c r="O23" s="37">
        <f>IF(SUM(N18:N19)+N22-N29*92&gt;=0,N23,IF(SUM(N18:N19)+SUM(N22:N23)-N29*92&gt;=0,SUM(N18:N19)+SUM(N22:N23)-N29*92,0))</f>
        <v>380800</v>
      </c>
      <c r="P23" s="37">
        <f>IF(SUM(O18:O19)+O22-O29*90&gt;=0,O23,IF(SUM(O18:O19)+SUM(O22:O23)-O29*90&gt;=0,SUM(O18:O19)+SUM(O22:O23)-O29*90,0))</f>
        <v>380800</v>
      </c>
      <c r="Q23" s="37">
        <f>IF(SUM(P18:P19)+P22-P29*275&gt;=0,P23,IF(SUM(P18:P19)+SUM(P22:P23)-P29*275&gt;=0,SUM(P18:P19)+SUM(P22:P23)-P29*275,0))</f>
        <v>380800</v>
      </c>
      <c r="R23" s="37">
        <f>IF(SUM(Q18:Q19)+Q22-Q29*366&gt;=0,Q23,IF(SUM(Q18:Q19)+SUM(Q22:Q23)-Q29*366&gt;=0,SUM(Q18:Q19)+SUM(Q22:Q23)-Q29*366,0))</f>
        <v>380800</v>
      </c>
      <c r="S23" s="37">
        <f>IF(SUM(R18:R19)+R22-R29*365&gt;=0,R23,IF(SUM(R18:R19)+SUM(R22:R23)-R29*365&gt;=0,SUM(R18:R19)+SUM(R22:R23)-R29*365,0))</f>
        <v>0</v>
      </c>
      <c r="T23" s="37">
        <f>IF(SUM(S18:S19)+S22-S29*365&gt;=0,S23,IF(SUM(S18:S19)+SUM(S22:S23)-S29*365&gt;=0,SUM(S18:S19)+SUM(S22:S23)-S29*365,0))</f>
        <v>0</v>
      </c>
      <c r="U23" s="37">
        <f>IF(SUM(T18:T19)+T22-T29*365&gt;=0,T23,IF(SUM(T18:T19)+SUM(T22:T23)-T29*365&gt;=0,SUM(T18:T19)+SUM(T22:T23)-T29*365,0))</f>
        <v>0</v>
      </c>
      <c r="V23" s="37">
        <f>IF(SUM(U18:U19)+U22-U29*366&gt;=0,U23,IF(SUM(U18:U19)+SUM(U22:U23)-U29*366&gt;=0,SUM(U18:U19)+SUM(U22:U23)-U29*366,0))</f>
        <v>0</v>
      </c>
      <c r="W23" s="37">
        <f>IF(SUM(V18:V19)+V22-V29*366&gt;=0,V23,IF(SUM(V18:V19)+SUM(V22:V23)-V29*366&gt;=0,SUM(V18:V19)+SUM(V22:V23)-V29*366,0))</f>
        <v>0</v>
      </c>
      <c r="X23" s="35"/>
      <c r="BX23" t="s">
        <v>78</v>
      </c>
    </row>
    <row r="24" spans="2:76" x14ac:dyDescent="0.25">
      <c r="B24" s="24"/>
      <c r="K24" s="49"/>
      <c r="L24" s="38"/>
      <c r="M24" s="38"/>
      <c r="N24" s="38"/>
      <c r="O24" s="38"/>
      <c r="P24" s="38"/>
      <c r="Q24" s="38"/>
      <c r="R24" s="35"/>
      <c r="S24" s="35"/>
      <c r="T24" s="35"/>
      <c r="U24" s="35"/>
      <c r="V24" s="35"/>
      <c r="W24" s="35"/>
      <c r="X24" s="35"/>
    </row>
    <row r="25" spans="2:76" ht="15.75" thickBot="1" x14ac:dyDescent="0.3">
      <c r="B25" s="7" t="s">
        <v>76</v>
      </c>
      <c r="K25" s="49"/>
      <c r="L25" s="38"/>
      <c r="M25" s="38"/>
      <c r="N25" s="38"/>
      <c r="O25" s="38"/>
      <c r="P25" s="38"/>
      <c r="Q25" s="38"/>
      <c r="R25" s="35"/>
      <c r="S25" s="35"/>
      <c r="T25" s="35"/>
      <c r="U25" s="35"/>
      <c r="V25" s="35"/>
      <c r="W25" s="35"/>
      <c r="X25" s="35"/>
    </row>
    <row r="26" spans="2:76" x14ac:dyDescent="0.25">
      <c r="B26" s="24" t="s">
        <v>77</v>
      </c>
      <c r="C26" t="s">
        <v>35</v>
      </c>
      <c r="J26" s="10">
        <f>T7*C9</f>
        <v>0</v>
      </c>
      <c r="K26" s="47">
        <f>J26</f>
        <v>0</v>
      </c>
      <c r="L26" s="37">
        <f>J26</f>
        <v>0</v>
      </c>
      <c r="M26" s="37">
        <f>IF(SUM(L18:L19)+SUM(L22:L23)-L29*91&gt;=0,L26,IF(SUM(L18:L19)+SUM(L22:L23)+L26-L29*91&gt;=0,SUM(L18:L19)+SUM(L22:L23)+L26-L29*91,0))</f>
        <v>0</v>
      </c>
      <c r="N26" s="37">
        <f>IF(SUM(M18:M19)+SUM(M22:M23)-M29*92&gt;=0,M26,IF(SUM(M18:M19)+SUM(M22:M23)+M26-M29*92&gt;=0,SUM(M18:M19)+SUM(M22:M23)+M26-M29*92,0))</f>
        <v>0</v>
      </c>
      <c r="O26" s="37">
        <f>IF(SUM(N18:N19)+SUM(N22:N23)-N29*92&gt;=0,N26,IF(SUM(N18:N19)+SUM(N22:N23)+N26-N29*92&gt;=0,SUM(N18:N19)+SUM(N22:N23)+N26-N29*92,0))</f>
        <v>0</v>
      </c>
      <c r="P26" s="37">
        <f>IF(SUM(O18:O19)+SUM(O22:O23)-O29*90&gt;=0,O26,IF(SUM(O18:O19)+SUM(O22:O23)+O26-O29*90&gt;=0,SUM(O18:O19)+SUM(O22:O23)+O26-O29*90,0))</f>
        <v>0</v>
      </c>
      <c r="Q26" s="37">
        <f>IF(SUM(P18:P19)+SUM(P22:P23)-P29*275&gt;=0,P26,IF(SUM(P18:P19)+SUM(P22:P23)+P26-P29*275&gt;=0,SUM(P18:P19)+SUM(P22:P23)+P26-P29*275,0))</f>
        <v>0</v>
      </c>
      <c r="R26" s="37">
        <f>IF(SUM(Q18:Q19)+SUM(Q22:Q23)-Q29*366&gt;=0,Q26,IF(SUM(Q18:Q19)+SUM(Q22:Q23)+Q26-Q29*366&gt;=0,SUM(Q18:Q19)+SUM(Q22:Q23)+Q26-Q29*366,0))</f>
        <v>0</v>
      </c>
      <c r="S26" s="37">
        <f>IF(SUM(R18:R19)+SUM(R22:R23)-R29*365&gt;=0,R26,IF(SUM(R18:R19)+SUM(R22:R23)+R26-R29*365&gt;=0,SUM(R18:R19)+SUM(R22:R23)+R26-R29*365,0))</f>
        <v>0</v>
      </c>
      <c r="T26" s="37">
        <f>IF(SUM(S18:S19)+SUM(S22:S23)-S29*365&gt;=0,S26,IF(SUM(S18:S19)+SUM(S22:S23)+S26-S29*365&gt;=0,SUM(S18:S19)+SUM(S22:S23)+S26-S29*365,0))</f>
        <v>0</v>
      </c>
      <c r="U26" s="37">
        <f>IF(SUM(T18:T19)+SUM(T22:T23)-T29*365&gt;=0,T26,IF(SUM(T18:T19)+SUM(T22:T23)+T26-T29*365&gt;=0,SUM(T18:T19)+SUM(T22:T23)+T26-T29*365,0))</f>
        <v>0</v>
      </c>
      <c r="V26" s="37">
        <f>IF(SUM(U18:U19)+SUM(U22:U23)-U29*366&gt;=0,U26,IF(SUM(U18:U19)+SUM(U22:U23)+U26-U29*366&gt;=0,SUM(U18:U19)+SUM(U22:U23)+U26-U29*366,0))</f>
        <v>0</v>
      </c>
      <c r="W26" s="37">
        <f>IF(SUM(V18:V19)+SUM(V22:V23)-V29*366&gt;=0,V26,IF(SUM(V18:V19)+SUM(V22:V23)+V26-V29*366&gt;=0,SUM(V18:V19)+SUM(V22:V23)+V26-V29*366,0))</f>
        <v>0</v>
      </c>
      <c r="X26" s="35"/>
    </row>
    <row r="27" spans="2:76" x14ac:dyDescent="0.25">
      <c r="B27" s="24"/>
      <c r="K27" s="49"/>
      <c r="L27" s="39"/>
      <c r="M27" s="39"/>
      <c r="N27" s="39"/>
      <c r="O27" s="39"/>
      <c r="P27" s="39"/>
      <c r="Q27" s="39"/>
      <c r="R27" s="39"/>
      <c r="S27" s="39"/>
      <c r="T27" s="39"/>
      <c r="U27" s="39"/>
      <c r="V27" s="35"/>
      <c r="W27" s="35"/>
      <c r="X27" s="35"/>
    </row>
    <row r="28" spans="2:76" ht="15.75" thickBot="1" x14ac:dyDescent="0.3">
      <c r="B28" s="7" t="s">
        <v>31</v>
      </c>
      <c r="K28" s="49"/>
      <c r="L28" s="35"/>
      <c r="M28" s="35"/>
      <c r="N28" s="35"/>
      <c r="O28" s="35"/>
      <c r="P28" s="35"/>
      <c r="Q28" s="35"/>
      <c r="R28" s="35"/>
      <c r="S28" s="35"/>
      <c r="T28" s="35"/>
      <c r="U28" s="35"/>
      <c r="V28" s="35"/>
      <c r="W28" s="35"/>
      <c r="X28" s="35"/>
    </row>
    <row r="29" spans="2:76" x14ac:dyDescent="0.25">
      <c r="B29" t="s">
        <v>32</v>
      </c>
      <c r="C29" t="s">
        <v>33</v>
      </c>
      <c r="E29" s="10">
        <v>880</v>
      </c>
      <c r="F29" s="10">
        <v>841</v>
      </c>
      <c r="G29" s="10">
        <v>885</v>
      </c>
      <c r="H29" s="10">
        <v>947</v>
      </c>
      <c r="I29" s="10">
        <v>1135</v>
      </c>
      <c r="J29" s="10">
        <v>1125</v>
      </c>
      <c r="K29" s="47">
        <f>AVERAGE(L29:W29)</f>
        <v>1150</v>
      </c>
      <c r="L29" s="36">
        <v>1150</v>
      </c>
      <c r="M29" s="36">
        <f>L29</f>
        <v>1150</v>
      </c>
      <c r="N29" s="36">
        <f t="shared" ref="N29:U29" si="1">M29</f>
        <v>1150</v>
      </c>
      <c r="O29" s="36">
        <f t="shared" si="1"/>
        <v>1150</v>
      </c>
      <c r="P29" s="36">
        <f>1150</f>
        <v>1150</v>
      </c>
      <c r="Q29" s="36">
        <f>P29</f>
        <v>1150</v>
      </c>
      <c r="R29" s="36">
        <f t="shared" si="1"/>
        <v>1150</v>
      </c>
      <c r="S29" s="36">
        <f t="shared" si="1"/>
        <v>1150</v>
      </c>
      <c r="T29" s="36">
        <f t="shared" si="1"/>
        <v>1150</v>
      </c>
      <c r="U29" s="36">
        <f t="shared" si="1"/>
        <v>1150</v>
      </c>
      <c r="V29" s="36">
        <f>U29</f>
        <v>1150</v>
      </c>
      <c r="W29" s="36">
        <f>V29</f>
        <v>1150</v>
      </c>
      <c r="X29" s="35"/>
    </row>
    <row r="30" spans="2:76" x14ac:dyDescent="0.25">
      <c r="B30" t="s">
        <v>34</v>
      </c>
      <c r="C30" t="s">
        <v>35</v>
      </c>
      <c r="E30" s="10">
        <v>321113</v>
      </c>
      <c r="F30" s="10">
        <v>307042</v>
      </c>
      <c r="G30" s="10">
        <v>322988</v>
      </c>
      <c r="H30" s="10">
        <v>346679</v>
      </c>
      <c r="I30" s="10">
        <v>414355</v>
      </c>
      <c r="J30" s="10">
        <v>101253</v>
      </c>
      <c r="K30" s="47">
        <f>SUM(L30:W30)</f>
        <v>1563547</v>
      </c>
      <c r="L30" s="36">
        <f>L29*91</f>
        <v>104650</v>
      </c>
      <c r="M30" s="36">
        <f>IF(M29*92&gt;=M26+SUM(M22:M23)+SUM(M18:M19),M26+SUM(M22:M23)+SUM(M18:M19),M29*92)</f>
        <v>105800</v>
      </c>
      <c r="N30" s="36">
        <f>IF(N29*92&gt;=N26+SUM(N22:N23)+SUM(N18:N19),N26+SUM(N22:N23)+SUM(N18:N19),N29*92)</f>
        <v>105800</v>
      </c>
      <c r="O30" s="36">
        <f>IF(O29*90&gt;=O26+SUM(O22:O23)+SUM(O18:O19),O26+SUM(O22:O23)+SUM(O18:O19),O29*90)</f>
        <v>103500</v>
      </c>
      <c r="P30" s="36">
        <f>IF(P29*275&gt;=P26+SUM(P22:P23)+SUM(P18:P19),P26+SUM(P22:P23)+SUM(P18:P19),P29*275)</f>
        <v>316250</v>
      </c>
      <c r="Q30" s="36">
        <f>IF(Q29*366&gt;=Q26+SUM(Q22:Q23)+SUM(Q18:Q19),Q26+SUM(Q22:Q23)+SUM(Q18:Q19),Q29*366)</f>
        <v>420900</v>
      </c>
      <c r="R30" s="36">
        <f>IF(R29*365&gt;=R26+SUM(R22:R23)+SUM(R18:R19),R26+SUM(R22:R23)+SUM(R18:R19),R29*365)</f>
        <v>406647</v>
      </c>
      <c r="S30" s="36">
        <f t="shared" ref="S30:T30" si="2">IF(S29*365&gt;=S26+SUM(S22:S23)+SUM(S18:S19),S26+SUM(S22:S23)+SUM(S18:S19),S29*365)</f>
        <v>0</v>
      </c>
      <c r="T30" s="36">
        <f t="shared" si="2"/>
        <v>0</v>
      </c>
      <c r="U30" s="36">
        <f>IF(U29*366&gt;=U26+SUM(U22:U23)+SUM(U18:U19),U26+SUM(U22:U23)+SUM(U18:U19),U29*366)</f>
        <v>0</v>
      </c>
      <c r="V30" s="36">
        <f t="shared" ref="V30:W30" si="3">IF(V29*365&gt;=V26+SUM(V22:V23)+SUM(V18:V19),V26+SUM(V22:V23)+SUM(V18:V19),V29*365)</f>
        <v>0</v>
      </c>
      <c r="W30" s="36">
        <f t="shared" si="3"/>
        <v>0</v>
      </c>
      <c r="X30" s="35"/>
    </row>
    <row r="31" spans="2:76" x14ac:dyDescent="0.25">
      <c r="B31" t="s">
        <v>36</v>
      </c>
      <c r="C31" t="s">
        <v>37</v>
      </c>
      <c r="E31">
        <v>230</v>
      </c>
      <c r="F31">
        <v>222</v>
      </c>
      <c r="G31">
        <v>234</v>
      </c>
      <c r="H31">
        <v>314</v>
      </c>
      <c r="I31">
        <v>370</v>
      </c>
      <c r="J31" s="10">
        <v>407</v>
      </c>
      <c r="K31" s="47">
        <f>AVERAGEIF(L31:W31,"&gt;0")</f>
        <v>378.44341314364982</v>
      </c>
      <c r="L31" s="35">
        <v>370</v>
      </c>
      <c r="M31" s="36">
        <v>360</v>
      </c>
      <c r="N31" s="40">
        <v>360</v>
      </c>
      <c r="O31" s="36">
        <v>400</v>
      </c>
      <c r="P31" s="40">
        <f>IF(P18&gt;=P29*275,$G$7,IF(AND(P18=0,P19&gt;=P29*275),$G$8,IF(AND(P18+P19=0,P22&gt;=P29*275),$N$7,IF(AND(SUM(P18:P19)+P22=0,P23&gt;=P29*275),$N$8,IF(AND(SUM(P18:P19)+SUM(P22:P23)=0,P26&gt;=P29*275),$U$7,IF(SUM(P18:P19)+SUM(P22:P23)+P26=0,0,IF(AND(P29*275&gt;SUM(P18:P19),SUM(P18:P19)+P22&gt;=P29*275),(P18*$G$7+P19*$G$8+(P22-Q22)*$N$7)/(P29*275),IF(AND(P29*275&gt;P19+P22,P19+SUM(P22:P23)&gt;=P29*275),(P19*$G$8+P22*$N$7+(P23-Q23)*$N$8)/(P29*275),IF(AND(P29*275&gt;SUM(P22:P23),SUM(P22:P23)+P26&gt;=P29*275),(P22*$N$7+P23*$N$8+(P26-Q26)*$U$7)/(P29*275),IF(AND(P29*275&gt;P18,P18+P19&gt;=P29*275),(P18*$G$7+(P19-Q19)*$G$8)/(P29*275),IF(AND(P29*275&gt;P19,P19+P22&gt;=P29*275),(P19*$G$8+(P22-Q22)*$N$7)/(P29*275),IF(AND(P29*275&gt;P22,SUM(P22:P23)&gt;=P29*275),(P22*$N$7+(P23-Q23)*$N$8)/(P29*275),IF(AND(P29*275&gt;P23,P23+P26&gt;=P29*275),(P23*$N$8+(P26-Q26)*$U$7)/(P29*275),IF(AND(P18&gt;0,P19&gt;0,P29*275&gt;SUM(P18:P19)),(P18*$G$7+P19*$G$8)/SUM(P18:P19),IF(AND(P19&gt;0,P22&gt;0,P29*275&gt;SUM(P19:P22)),(P19*$G$8+P22*$N$7)/SUM(P19:P22),IF(AND(P22&gt;0,P23&gt;0,P29*275&gt;SUM(P22:P23)),(P22*$N$7+P23*$N$8)/SUM(P22:P23),IF(AND(P23&gt;0,P26&gt;0,P29*275&gt;SUM(P23:P26)),(P23*$N$8+P26*$U$7)/SUM(P23:P26),IF(AND(P19&gt;0,P29*275&gt;P19),$G$8,IF(AND(P22&gt;0,P29*275&gt;P22),$N$7,IF(AND(P23&gt;0,P29*275&gt;P23),$N$8,IF(AND(P26&gt;0,P29*275&gt;P26),$U$7)))))))))))))))))))))</f>
        <v>400</v>
      </c>
      <c r="Q31" s="40">
        <f>IF(Q18&gt;=Q29*366,$G$7,IF(AND(Q18=0,Q19&gt;=Q29*366),$G$8,IF(AND(Q18+Q19=0,Q22&gt;=Q29*366),$N$7,IF(AND(SUM(Q18:Q19)+Q22=0,Q23&gt;=Q29*366),$N$8,IF(AND(SUM(Q18:Q19)+SUM(Q22:Q23)=0,Q26&gt;=Q29*366),$U$7,IF(SUM(Q18:Q19)+SUM(Q22:Q23)+Q26=0,0,IF(AND(Q29*366&gt;SUM(Q18:Q19),SUM(Q18:Q19)+Q22&gt;=Q29*366),(Q18*$G$7+Q19*$G$8+(Q22-R22)*$N$7)/(Q29*366),IF(AND(Q29*366&gt;Q19+Q22,Q19+SUM(Q22:Q23)&gt;=Q29*366),(Q19*$G$8+Q22*$N$7+(Q23-R23)*$N$8)/(Q29*366),IF(AND(Q29*366&gt;SUM(Q22:Q23),SUM(Q22:Q23)+Q26&gt;=Q29*366),(Q22*$N$7+Q23*$N$8+(Q26-R26)*$U$7)/(Q29*366),IF(AND(Q29*366&gt;Q18,Q18+Q19&gt;=Q29*366),(Q18*$G$7+(Q19-R19)*$G$8)/(Q29*366),IF(AND(Q29*366&gt;Q19,Q19+Q22&gt;=Q29*366),(Q19*$G$8+(Q22-R22)*$N$7)/(Q29*366),IF(AND(Q29*366&gt;Q22,SUM(Q22:Q23)&gt;=Q29*366),(Q22*$N$7+(Q23-R23)*$N$8)/(Q29*366),IF(AND(Q29*366&gt;Q23,Q23+Q26&gt;=Q29*366),(Q23*$N$8+(Q26-R26)*$U$7)/(Q29*366),IF(AND(Q18&gt;0,Q19&gt;0,Q29*366&gt;SUM(Q18:Q19)),(Q18*$G$7+Q19*$G$8)/SUM(Q18:Q19),IF(AND(Q19&gt;0,Q22&gt;0,Q29*366&gt;SUM(Q19:Q22)),(Q19*$G$8+Q22*$N$7)/SUM(Q19:Q22),IF(AND(Q22&gt;0,Q23&gt;0,Q29*366&gt;SUM(Q22:Q23)),(Q22*$N$7+Q23*$N$8)/SUM(Q22:Q23),IF(AND(Q23&gt;0,Q26&gt;0,Q29*366&gt;SUM(Q23:Q26)),(Q23*$N$8+Q26*$U$7)/SUM(Q23:Q26),IF(AND(Q19&gt;0,Q29*366&gt;Q19),$G$8,IF(AND(Q22&gt;0,Q29*366&gt;Q22),$N$7,IF(AND(Q23&gt;0,Q29*366&gt;Q23),$N$8,IF(AND(Q26&gt;0,Q29*366&gt;Q26),$U$7)))))))))))))))))))))</f>
        <v>424.87052744119745</v>
      </c>
      <c r="R31" s="40">
        <f>IF(R18&gt;=R29*365,$G$7,IF(AND(R18=0,R19&gt;=R29*365),$G$8,IF(AND(R18+R19=0,R22&gt;=R29*365),$N$7,IF(AND(SUM(R18:R19)+R22=0,R23&gt;=R29*365),$N$8,IF(AND(SUM(R18:R19)+SUM(R22:R23)=0,R26&gt;=R29*365),$U$7,IF(SUM(R18:R19)+SUM(R22:R23)+R26=0,0,IF(AND(R29*365&gt;SUM(R18:R19),SUM(R18:R19)+R22&gt;=R29*365),(R18*$G$7+R19*$G$8+(R22-S22)*$N$7)/(R29*365),IF(AND(R29*365&gt;R19+R22,R19+SUM(R22:R23)&gt;=R29*365),(R19*$G$8+R22*$N$7+(R23-S23)*$N$8)/(R29*365),IF(AND(R29*365&gt;SUM(R22:R23),SUM(R22:R23)+R26&gt;=R29*365),(R22*$N$7+R23*$N$8+(R26-S26)*$U$7)/(R29*365),IF(AND(R29*365&gt;R18,R18+R19&gt;=R29*365),(R18*$G$7+(R19-S19)*$G$8)/(R29*365),IF(AND(R29*365&gt;R19,R19+R22&gt;=R29*365),(R19*$G$8+(R22-S22)*$N$7)/(R29*365),IF(AND(R29*365&gt;R22,SUM(R22:R23)&gt;=R29*365),(R22*$N$7+(R23-S23)*$N$8)/(R29*365),IF(AND(R29*365&gt;R23,R23+R26&gt;=R29*365),(R23*$N$8+(R26-S26)*$U$7)/(R29*365),IF(AND(R18&gt;0,R19&gt;0,R29*365&gt;SUM(R18:R19)),(R18*$G$7+R19*$G$8)/SUM(R18:R19),IF(AND(R19&gt;0,R22&gt;0,R29*365&gt;SUM(R19:R22)),(R19*$G$8+R22*$N$7)/SUM(R19:R22),IF(AND(R22&gt;0,R23&gt;0,R29*365&gt;SUM(R22:R23)),(R22*$N$7+R23*$N$8)/SUM(R22:R23),IF(AND(R23&gt;0,R26&gt;0,R29*365&gt;SUM(R23:R26)),(R23*$N$8+R26*$U$7)/SUM(R23:R26),IF(AND(R19&gt;0,R29*365&gt;R19),$G$8,IF(AND(R22&gt;0,R29*365&gt;R22),$N$7,IF(AND(R23&gt;0,R29*365&gt;R23),$N$8,IF(AND(R26&gt;0,R29*365&gt;R26),$U$7)))))))))))))))))))))</f>
        <v>334.23336456435186</v>
      </c>
      <c r="S31" s="40">
        <f>IF(S18&gt;=S29*365,$G$7,IF(AND(S18=0,S19&gt;=S29*365),$G$8,IF(AND(S18+S19=0,S22&gt;=S29*365),$N$7,IF(AND(SUM(S18:S19)+S22=0,S23&gt;=S29*365),$N$8,IF(AND(SUM(S18:S19)+SUM(S22:S23)=0,S26&gt;=S29*365),$U$7,IF(SUM(S18:S19)+SUM(S22:S23)+S26=0,0,IF(AND(S29*365&gt;SUM(S18:S19),SUM(S18:S19)+S22&gt;=S29*365),(S18*$G$7+S19*$G$8+(S22-T22)*$N$7)/(S29*365),IF(AND(S29*365&gt;S19+S22,S19+SUM(S22:S23)&gt;=S29*365),(S19*$G$8+S22*$N$7+(S23-T23)*$N$8)/(S29*365),IF(AND(S29*365&gt;SUM(S22:S23),SUM(S22:S23)+S26&gt;=S29*365),(S22*$N$7+S23*$N$8+(S26-T26)*$U$7)/(S29*365),IF(AND(S29*365&gt;S18,S18+S19&gt;=S29*365),(S18*$G$7+(S19-T19)*$G$8)/(S29*365),IF(AND(S29*365&gt;S19,S19+S22&gt;=S29*365),(S19*$G$8+(S22-T22)*$N$7)/(S29*365),IF(AND(S29*365&gt;S22,SUM(S22:S23)&gt;=S29*365),(S22*$N$7+(S23-T23)*$N$8)/(S29*365),IF(AND(S29*365&gt;S23,S23+S26&gt;=S29*365),(S23*$N$8+(S26-T26)*$U$7)/(S29*365),IF(AND(S18&gt;0,S19&gt;0,S29*365&gt;SUM(S18:S19)),(S18*$G$7+S19*$G$8)/SUM(S18:S19),IF(AND(S19&gt;0,S22&gt;0,S29*365&gt;SUM(S19:S22)),(S19*$G$8+S22*$N$7)/SUM(S19:S22),IF(AND(S22&gt;0,S23&gt;0,S29*365&gt;SUM(S22:S23)),(S22*$N$7+S23*$N$8)/SUM(S22:S23),IF(AND(S23&gt;0,S26&gt;0,S29*365&gt;SUM(S23:S26)),(S23*$N$8+S26*$U$7)/SUM(S23:S26),IF(AND(S19&gt;0,S29*365&gt;S19),$G$8,IF(AND(S22&gt;0,S29*365&gt;S22),$N$7,IF(AND(S23&gt;0,S29*365&gt;S23),$N$8,IF(AND(S26&gt;0,S29*365&gt;S26),$U$7)))))))))))))))))))))</f>
        <v>0</v>
      </c>
      <c r="T31" s="40">
        <f>IF(T18&gt;=T29*365,$G$7,IF(AND(T18=0,T19&gt;=T29*365),$G$8,IF(AND(T18+T19=0,T22&gt;=T29*365),$N$7,IF(AND(SUM(T18:T19)+T22=0,T23&gt;=T29*365),$N$8,IF(AND(SUM(T18:T19)+SUM(T22:T23)=0,T26&gt;=T29*365),$U$7,IF(SUM(T18:T19)+SUM(T22:T23)+T26=0,0,IF(AND(T29*365&gt;SUM(T18:T19),SUM(T18:T19)+T22&gt;=T29*365),(T18*$G$7+T19*$G$8+(T22-U22)*$N$7)/(T29*365),IF(AND(T29*365&gt;T19+T22,T19+SUM(T22:T23)&gt;=T29*365),(T19*$G$8+T22*$N$7+(T23-U23)*$N$8)/(T29*365),IF(AND(T29*365&gt;SUM(T22:T23),SUM(T22:T23)+T26&gt;=T29*365),(T22*$N$7+T23*$N$8+(T26-U26)*$U$7)/(T29*365),IF(AND(T29*365&gt;T18,T18+T19&gt;=T29*365),(T18*$G$7+(T19-U19)*$G$8)/(T29*365),IF(AND(T29*365&gt;T19,T19+T22&gt;=T29*365),(T19*$G$8+(T22-U22)*$N$7)/(T29*365),IF(AND(T29*365&gt;T22,SUM(T22:T23)&gt;=T29*365),(T22*$N$7+(T23-U23)*$N$8)/(T29*365),IF(AND(T29*365&gt;T23,T23+T26&gt;=T29*365),(T23*$N$8+(T26-U26)*$U$7)/(T29*365),IF(AND(T18&gt;0,T19&gt;0,T29*365&gt;SUM(T18:T19)),(T18*$G$7+T19*$G$8)/SUM(T18:T19),IF(AND(T19&gt;0,T22&gt;0,T29*365&gt;SUM(T19:T22)),(T19*$G$8+T22*$N$7)/SUM(T19:T22),IF(AND(T22&gt;0,T23&gt;0,T29*365&gt;SUM(T22:T23)),(T22*$N$7+T23*$N$8)/SUM(T22:T23),IF(AND(T23&gt;0,T26&gt;0,T29*365&gt;SUM(T23:T26)),(T23*$N$8+T26*$U$7)/SUM(T23:T26),IF(AND(T19&gt;0,T29*365&gt;T19),$G$8,IF(AND(T22&gt;0,T29*365&gt;T22),$N$7,IF(AND(T23&gt;0,T29*365&gt;T23),$N$8,IF(AND(T26&gt;0,T29*365&gt;T26),$U$7)))))))))))))))))))))</f>
        <v>0</v>
      </c>
      <c r="U31" s="40">
        <f>IF(U18&gt;=U29*366,$G$7,IF(AND(U18=0,U19&gt;=U29*366),$G$8,IF(AND(U18+U19=0,U22&gt;=U29*366),$N$7,IF(AND(SUM(U18:U19)+U22=0,U23&gt;=U29*366),$N$8,IF(AND(SUM(U18:U19)+SUM(U22:U23)=0,U26&gt;=U29*366),$U$7,IF(SUM(U18:U19)+SUM(U22:U23)+U26=0,0,IF(AND(U29*366&gt;SUM(U18:U19),SUM(U18:U19)+U22&gt;=U29*366),(U18*$G$7+U19*$G$8+(U22-V22)*$N$7)/(U29*366),IF(AND(U29*366&gt;U19+U22,U19+SUM(U22:U23)&gt;=U29*366),(U19*$G$8+U22*$N$7+(U23-V23)*$N$8)/(U29*366),IF(AND(U29*366&gt;SUM(U22:U23),SUM(U22:U23)+U26&gt;=U29*366),(U22*$N$7+U23*$N$8+(U26-V26)*$U$7)/(U29*366),IF(AND(U29*366&gt;U18,U18+U19&gt;=U29*366),(U18*$G$7+(U19-V19)*$G$8)/(U29*366),IF(AND(U29*366&gt;U19,U19+U22&gt;=U29*366),(U19*$G$8+(U22-V22)*$N$7)/(U29*366),IF(AND(U29*366&gt;U22,SUM(U22:U23)&gt;=U29*366),(U22*$N$7+(U23-V23)*$N$8)/(U29*366),IF(AND(U29*366&gt;U23,U23+U26&gt;=U29*366),(U23*$N$8+(U26-V26)*$U$7)/(U29*366),IF(AND(U18&gt;0,U19&gt;0,U29*366&gt;SUM(U18:U19)),(U18*$G$7+U19*$G$8)/SUM(U18:U19),IF(AND(U19&gt;0,U22&gt;0,U29*366&gt;SUM(U19:U22)),(U19*$G$8+U22*$N$7)/SUM(U19:U22),IF(AND(U22&gt;0,U23&gt;0,U29*366&gt;SUM(U22:U23)),(U22*$N$7+U23*$N$8)/SUM(U22:U23),IF(AND(U23&gt;0,U26&gt;0,U29*366&gt;SUM(U23:U26)),(U23*$N$8+U26*$U$7)/SUM(U23:U26),IF(AND(U19&gt;0,U29*366&gt;U19),$G$8,IF(AND(U22&gt;0,U29*366&gt;U22),$N$7,IF(AND(U23&gt;0,U29*366&gt;U23),$N$8,IF(AND(U26&gt;0,U29*366&gt;U26),$U$7)))))))))))))))))))))</f>
        <v>0</v>
      </c>
      <c r="V31" s="40">
        <f>IF(V18&gt;=V29*365,$G$7,IF(AND(V18=0,V19&gt;=V29*365),$G$8,IF(AND(V18+V19=0,V22&gt;=V29*365),$N$7,IF(AND(SUM(V18:V19)+V22=0,V23&gt;=V29*365),$N$8,IF(AND(SUM(V18:V19)+SUM(V22:V23)=0,V26&gt;=V29*365),$U$7,IF(SUM(V18:V19)+SUM(V22:V23)+V26=0,0,IF(AND(V29*365&gt;SUM(V18:V19),SUM(V18:V19)+V22&gt;=V29*365),(V18*$G$7+V19*$G$8+(V22-W22)*$N$7)/(V29*365),IF(AND(V29*365&gt;V19+V22,V19+SUM(V22:V23)&gt;=V29*365),(V19*$G$8+V22*$N$7+(V23-W23)*$N$8)/(V29*365),IF(AND(V29*365&gt;SUM(V22:V23),SUM(V22:V23)+V26&gt;=V29*365),(V22*$N$7+V23*$N$8+(V26-W26)*$U$7)/(V29*365),IF(AND(V29*365&gt;V18,V18+V19&gt;=V29*365),(V18*$G$7+(V19-W19)*$G$8)/(V29*365),IF(AND(V29*365&gt;V19,V19+V22&gt;=V29*365),(V19*$G$8+(V22-W22)*$N$7)/(V29*365),IF(AND(V29*365&gt;V22,SUM(V22:V23)&gt;=V29*365),(V22*$N$7+(V23-W23)*$N$8)/(V29*365),IF(AND(V29*365&gt;V23,V23+V26&gt;=V29*365),(V23*$N$8+(V26-W26)*$U$7)/(V29*365),IF(AND(V18&gt;0,V19&gt;0,V29*365&gt;SUM(V18:V19)),(V18*$G$7+V19*$G$8)/SUM(V18:V19),IF(AND(V19&gt;0,V22&gt;0,V29*365&gt;SUM(V19:V22)),(V19*$G$8+V22*$N$7)/SUM(V19:V22),IF(AND(V22&gt;0,V23&gt;0,V29*365&gt;SUM(V22:V23)),(V22*$N$7+V23*$N$8)/SUM(V22:V23),IF(AND(V23&gt;0,V26&gt;0,V29*365&gt;SUM(V23:V26)),(V23*$N$8+V26*$U$7)/SUM(V23:V26),IF(AND(V19&gt;0,V29*365&gt;V19),$G$8,IF(AND(V22&gt;0,V29*365&gt;V22),$N$7,IF(AND(V23&gt;0,V29*365&gt;V23),$N$8,IF(AND(V26&gt;0,V29*365&gt;V26),$U$7)))))))))))))))))))))</f>
        <v>0</v>
      </c>
      <c r="W31" s="40">
        <f>IF(W18&gt;=W29*365,$G$7,IF(AND(W18=0,W19&gt;=W29*365),$G$8,IF(AND(W18+W19=0,W22&gt;=W29*365),$N$7,IF(AND(SUM(W18:W19)+W22=0,W23&gt;=W29*365),$N$8,IF(AND(SUM(W18:W19)+SUM(W22:W23)=0,W26&gt;=W29*365),$U$7,IF(SUM(W18:W19)+SUM(W22:W23)+W26=0,0,IF(AND(W29*365&gt;SUM(W18:W19),SUM(W18:W19)+W22&gt;=W29*365),(W18*$G$7+W19*$G$8+(W22-X22)*$N$7)/(W29*365),IF(AND(W29*365&gt;W19+W22,W19+SUM(W22:W23)&gt;=W29*365),(W19*$G$8+W22*$N$7+(W23-X23)*$N$8)/(W29*365),IF(AND(W29*365&gt;SUM(W22:W23),SUM(W22:W23)+W26&gt;=W29*365),(W22*$N$7+W23*$N$8+(W26-X26)*$U$7)/(W29*365),IF(AND(W29*365&gt;W18,W18+W19&gt;=W29*365),(W18*$G$7+(W19-X19)*$G$8)/(W29*365),IF(AND(W29*365&gt;W19,W19+W22&gt;=W29*365),(W19*$G$8+(W22-X22)*$N$7)/(W29*365),IF(AND(W29*365&gt;W22,SUM(W22:W23)&gt;=W29*365),(W22*$N$7+(W23-X23)*$N$8)/(W29*365),IF(AND(W29*365&gt;W23,W23+W26&gt;=W29*365),(W23*$N$8+(W26-X26)*$U$7)/(W29*365),IF(AND(W18&gt;0,W19&gt;0,W29*365&gt;SUM(W18:W19)),(W18*$G$7+W19*$G$8)/SUM(W18:W19),IF(AND(W19&gt;0,W22&gt;0,W29*365&gt;SUM(W19:W22)),(W19*$G$8+W22*$N$7)/SUM(W19:W22),IF(AND(W22&gt;0,W23&gt;0,W29*365&gt;SUM(W22:W23)),(W22*$N$7+W23*$N$8)/SUM(W22:W23),IF(AND(W23&gt;0,W26&gt;0,W29*365&gt;SUM(W23:W26)),(W23*$N$8+W26*$U$7)/SUM(W23:W26),IF(AND(W19&gt;0,W29*365&gt;W19),$G$8,IF(AND(W22&gt;0,W29*365&gt;W22),$N$7,IF(AND(W23&gt;0,W29*365&gt;W23),$N$8,IF(AND(W26&gt;0,W29*365&gt;W26),$U$7)))))))))))))))))))))</f>
        <v>0</v>
      </c>
      <c r="X31" s="35"/>
    </row>
    <row r="32" spans="2:76" x14ac:dyDescent="0.25">
      <c r="B32" t="s">
        <v>38</v>
      </c>
      <c r="C32" t="s">
        <v>37</v>
      </c>
      <c r="E32">
        <v>0.53</v>
      </c>
      <c r="F32">
        <v>0.59</v>
      </c>
      <c r="G32">
        <v>0.65</v>
      </c>
      <c r="H32">
        <v>0.96</v>
      </c>
      <c r="I32">
        <v>1.0900000000000001</v>
      </c>
      <c r="J32" s="25">
        <v>1.19</v>
      </c>
      <c r="K32" s="50">
        <f>AVERAGEIF(L32:W32,"&gt;0")</f>
        <v>0.96789578662321163</v>
      </c>
      <c r="L32" s="35">
        <v>0.98</v>
      </c>
      <c r="M32" s="35">
        <v>0.97</v>
      </c>
      <c r="N32" s="41">
        <v>1.02</v>
      </c>
      <c r="O32" s="35">
        <v>1.02</v>
      </c>
      <c r="P32" s="41">
        <f>IF(P18&gt;=P29*275,$H$7,IF(AND(P18=0,P19&gt;=P29*275),$H$8,IF(AND(P18+P19=0,P22&gt;=P29*275),$O$7,IF(AND(SUM(P18:P19)+P22=0,P23&gt;=P29*275),$O$8,IF(AND(SUM(P18:P19)+SUM(P22:P23)=0,P26&gt;=P29*275),$V$7,IF(SUM(P18:P19)+SUM(P22:P23)+P26=0,0,IF(AND(P29*275&gt;SUM(P18:P19),SUM(P18:P19)+P22&gt;=P29*275),(P18*$G$7+P19*$H$8+(P22-Q22)*$O$7)/(P29*275),IF(AND(P29*275&gt;P19+P22,P19+SUM(P22:P23)&gt;=P29*275),(P19*$H$8+P22*$O$7+(P23-Q23)*$O$8)/(P29*275),IF(AND(P29*275&gt;SUM(P22:P23),SUM(P22:P23)+P26&gt;=P29*275),(P22*$O$7+P23*$O$8+(P26-Q26)*$V$7)/(P29*275),IF(AND(P29*275&gt;P18,P18+P19&gt;=P29*275),(P18*$G$7+(P19-Q19)*$H$8)/(P29*275),IF(AND(P29*275&gt;P19,P19+P22&gt;=P29*275),(P19*$H$8+(P22-Q22)*$O$7)/(P29*275),IF(AND(P29*275&gt;P22,SUM(P22:P23)&gt;=P29*275),(P22*$O$7+(P23-Q23)*$O$8)/(P29*275),IF(AND(P29*275&gt;P23,P23+P26&gt;=P29*275),(P23*$O$8+(P26-Q26)*$V$7)/(P29*275),IF(AND(P18&gt;0,P19&gt;0,P29*275&gt;SUM(P18:P19)),(P18*$H$7+P19*$H$8)/SUM(P18:P19),IF(AND(P19&gt;0,P22&gt;0,P29*275&gt;SUM(P19:P22)),(P19*$H$8+P22*$O$7)/SUM(P19:P22),IF(AND(P22&gt;0,P23&gt;0,P29*275&gt;SUM(P22:P23)),(P22*$O$7+P23*$O$8)/SUM(P22:P23),IF(AND(P23&gt;0,P26&gt;0,P29*275&gt;SUM(P23:P26)),(P23*$O$8+P26*$V$7)/SUM(P23:P26),IF(AND(P19&gt;0,P29*275&gt;P19),$H$8,IF(AND(P22&gt;0,P29*275&gt;P22),$O$7,IF(AND(P23&gt;0,P29*275&gt;P23),$O$8,IF(AND(P26&gt;0,P29*275&gt;P26),$V$7)))))))))))))))))))))</f>
        <v>1.02</v>
      </c>
      <c r="Q32" s="41">
        <f>IF(Q18&gt;=Q29*366,$H$7,IF(AND(Q18=0,Q19&gt;=Q29*366),$H$8,IF(AND(Q18+Q19=0,Q22&gt;=Q29*366),$O$7,IF(AND(SUM(Q18:Q19)+Q22=0,Q23&gt;=Q29*366),$O$8,IF(AND(SUM(Q18:Q19)+SUM(Q22:Q23)=0,Q26&gt;=Q29*366),$V$7,IF(SUM(Q18:Q19)+SUM(Q22:Q23)+Q26=0,0,IF(AND(Q29*366&gt;SUM(Q18:Q19),SUM(Q18:Q19)+Q22&gt;=Q29*366),(Q18*$G$7+Q19*$H$8+(Q22-R22)*$O$7)/(Q29*366),IF(AND(Q29*366&gt;Q19+Q22,Q19+SUM(Q22:Q23)&gt;=Q29*366),(Q19*$H$8+Q22*$O$7+(Q23-R23)*$O$8)/(Q29*366),IF(AND(Q29*366&gt;SUM(Q22:Q23),SUM(Q22:Q23)+Q26&gt;=Q29*366),(Q22*$O$7+Q23*$O$8+(Q26-R26)*$V$7)/(Q29*366),IF(AND(Q29*366&gt;Q18,Q18+Q19&gt;=Q29*366),(Q18*$G$7+(Q19-R19)*$H$8)/(Q29*366),IF(AND(Q29*366&gt;Q19,Q19+Q22&gt;=Q29*366),(Q19*$H$8+(Q22-R22)*$O$7)/(Q29*366),IF(AND(Q29*366&gt;Q22,SUM(Q22:Q23)&gt;=Q29*366),(Q22*$O$7+(Q23-R23)*$O$8)/(Q29*366),IF(AND(Q29*366&gt;Q23,Q23+Q26&gt;=Q29*366),(Q23*$O$8+(Q26-R26)*$V$7)/(Q29*366),IF(AND(Q18&gt;0,Q19&gt;0,Q29*366&gt;SUM(Q18:Q19)),(Q18*$H$7+Q19*$H$8)/SUM(Q18:Q19),IF(AND(Q19&gt;0,Q22&gt;0,Q29*366&gt;SUM(Q19:Q22)),(Q19*$H$8+Q22*$O$7)/SUM(Q19:Q22),IF(AND(Q22&gt;0,Q23&gt;0,Q29*366&gt;SUM(Q22:Q23)),(Q22*$O$7+Q23*$O$8)/SUM(Q22:Q23),IF(AND(Q23&gt;0,Q26&gt;0,Q29*366&gt;SUM(Q23:Q26)),(Q23*$O$8+Q26*$V$7)/SUM(Q23:Q26),IF(AND(Q19&gt;0,Q29*366&gt;Q19),$H$8,IF(AND(Q22&gt;0,Q29*366&gt;Q22),$O$7,IF(AND(Q23&gt;0,Q29*366&gt;Q23),$O$8,IF(AND(Q26&gt;0,Q29*366&gt;Q26),$V$7)))))))))))))))))))))</f>
        <v>1.0404816108339274</v>
      </c>
      <c r="R32" s="41">
        <f>IF(R18&gt;=R29*365,$H$7,IF(AND(R18=0,R19&gt;=R29*365),$H$8,IF(AND(R18+R19=0,R22&gt;=R29*365),$O$7,IF(AND(SUM(R18:R19)+R22=0,R23&gt;=R29*365),$O$8,IF(AND(SUM(R18:R19)+SUM(R22:R23)=0,R26&gt;=R29*365),$V$7,IF(SUM(R18:R19)+SUM(R22:R23)+R26=0,0,IF(AND(R29*365&gt;SUM(R18:R19),SUM(R18:R19)+R22&gt;=R29*365),(R18*$G$7+R19*$H$8+(R22-S22)*$O$7)/(R29*365),IF(AND(R29*365&gt;R19+R22,R19+SUM(R22:R23)&gt;=R29*365),(R19*$H$8+R22*$O$7+(R23-S23)*$O$8)/(R29*365),IF(AND(R29*365&gt;SUM(R22:R23),SUM(R22:R23)+R26&gt;=R29*365),(R22*$O$7+R23*$O$8+(R26-S26)*$V$7)/(R29*365),IF(AND(R29*365&gt;R18,R18+R19&gt;=R29*365),(R18*$G$7+(R19-S19)*$H$8)/(R29*365),IF(AND(R29*365&gt;R19,R19+R22&gt;=R29*365),(R19*$H$8+(R22-S22)*$O$7)/(R29*365),IF(AND(R29*365&gt;R22,SUM(R22:R23)&gt;=R29*365),(R22*$O$7+(R23-S23)*$O$8)/(R29*365),IF(AND(R29*365&gt;R23,R23+R26&gt;=R29*365),(R23*$O$8+(R26-S26)*$V$7)/(R29*365),IF(AND(R18&gt;0,R19&gt;0,R29*365&gt;SUM(R18:R19)),(R18*$H$7+R19*$H$8)/SUM(R18:R19),IF(AND(R19&gt;0,R22&gt;0,R29*365&gt;SUM(R19:R22)),(R19*$H$8+R22*$O$7)/SUM(R19:R22),IF(AND(R22&gt;0,R23&gt;0,R29*365&gt;SUM(R22:R23)),(R22*$O$7+R23*$O$8)/SUM(R22:R23),IF(AND(R23&gt;0,R26&gt;0,R29*365&gt;SUM(R23:R26)),(R23*$O$8+R26*$V$7)/SUM(R23:R26),IF(AND(R19&gt;0,R29*365&gt;R19),$H$8,IF(AND(R22&gt;0,R29*365&gt;R22),$O$7,IF(AND(R23&gt;0,R29*365&gt;R23),$O$8,IF(AND(R26&gt;0,R29*365&gt;R26),$V$7)))))))))))))))))))))</f>
        <v>0.72478889552855419</v>
      </c>
      <c r="S32" s="41">
        <f>IF(S18&gt;=S29*365,$H$7,IF(AND(S18=0,S19&gt;=S29*365),$H$8,IF(AND(S18+S19=0,S22&gt;=S29*365),$O$7,IF(AND(SUM(S18:S19)+S22=0,S23&gt;=S29*365),$O$8,IF(AND(SUM(S18:S19)+SUM(S22:S23)=0,S26&gt;=S29*365),$V$7,IF(SUM(S18:S19)+SUM(S22:S23)+S26=0,0,IF(AND(S29*365&gt;SUM(S18:S19),SUM(S18:S19)+S22&gt;=S29*365),(S18*$G$7+S19*$H$8+(S22-T22)*$O$7)/(S29*365),IF(AND(S29*365&gt;S19+S22,S19+SUM(S22:S23)&gt;=S29*365),(S19*$H$8+S22*$O$7+(S23-T23)*$O$8)/(S29*365),IF(AND(S29*365&gt;SUM(S22:S23),SUM(S22:S23)+S26&gt;=S29*365),(S22*$O$7+S23*$O$8+(S26-T26)*$V$7)/(S29*365),IF(AND(S29*365&gt;S18,S18+S19&gt;=S29*365),(S18*$G$7+(S19-T19)*$H$8)/(S29*365),IF(AND(S29*365&gt;S19,S19+S22&gt;=S29*365),(S19*$H$8+(S22-T22)*$O$7)/(S29*365),IF(AND(S29*365&gt;S22,SUM(S22:S23)&gt;=S29*365),(S22*$O$7+(S23-T23)*$O$8)/(S29*365),IF(AND(S29*365&gt;S23,S23+S26&gt;=S29*365),(S23*$O$8+(S26-T26)*$V$7)/(S29*365),IF(AND(S18&gt;0,S19&gt;0,S29*365&gt;SUM(S18:S19)),(S18*$H$7+S19*$H$8)/SUM(S18:S19),IF(AND(S19&gt;0,S22&gt;0,S29*365&gt;SUM(S19:S22)),(S19*$H$8+S22*$O$7)/SUM(S19:S22),IF(AND(S22&gt;0,S23&gt;0,S29*365&gt;SUM(S22:S23)),(S22*$O$7+S23*$O$8)/SUM(S22:S23),IF(AND(S23&gt;0,S26&gt;0,S29*365&gt;SUM(S23:S26)),(S23*$O$8+S26*$V$7)/SUM(S23:S26),IF(AND(S19&gt;0,S29*365&gt;S19),$H$8,IF(AND(S22&gt;0,S29*365&gt;S22),$O$7,IF(AND(S23&gt;0,S29*365&gt;S23),$O$8,IF(AND(S26&gt;0,S29*365&gt;S26),$V$7)))))))))))))))))))))</f>
        <v>0</v>
      </c>
      <c r="T32" s="41">
        <f>IF(T18&gt;=T29*365,$H$7,IF(AND(T18=0,T19&gt;=T29*365),$H$8,IF(AND(T18+T19=0,T22&gt;=T29*365),$O$7,IF(AND(SUM(T18:T19)+T22=0,T23&gt;=T29*365),$O$8,IF(AND(SUM(T18:T19)+SUM(T22:T23)=0,T26&gt;=T29*365),$V$7,IF(SUM(T18:T19)+SUM(T22:T23)+T26=0,0,IF(AND(T29*365&gt;SUM(T18:T19),SUM(T18:T19)+T22&gt;=T29*365),(T18*$G$7+T19*$H$8+(T22-U22)*$O$7)/(T29*365),IF(AND(T29*365&gt;T19+T22,T19+SUM(T22:T23)&gt;=T29*365),(T19*$H$8+T22*$O$7+(T23-U23)*$O$8)/(T29*365),IF(AND(T29*365&gt;SUM(T22:T23),SUM(T22:T23)+T26&gt;=T29*365),(T22*$O$7+T23*$O$8+(T26-U26)*$V$7)/(T29*365),IF(AND(T29*365&gt;T18,T18+T19&gt;=T29*365),(T18*$G$7+(T19-U19)*$H$8)/(T29*365),IF(AND(T29*365&gt;T19,T19+T22&gt;=T29*365),(T19*$H$8+(T22-U22)*$O$7)/(T29*365),IF(AND(T29*365&gt;T22,SUM(T22:T23)&gt;=T29*365),(T22*$O$7+(T23-U23)*$O$8)/(T29*365),IF(AND(T29*365&gt;T23,T23+T26&gt;=T29*365),(T23*$O$8+(T26-U26)*$V$7)/(T29*365),IF(AND(T18&gt;0,T19&gt;0,T29*365&gt;SUM(T18:T19)),(T18*$H$7+T19*$H$8)/SUM(T18:T19),IF(AND(T19&gt;0,T22&gt;0,T29*365&gt;SUM(T19:T22)),(T19*$H$8+T22*$O$7)/SUM(T19:T22),IF(AND(T22&gt;0,T23&gt;0,T29*365&gt;SUM(T22:T23)),(T22*$O$7+T23*$O$8)/SUM(T22:T23),IF(AND(T23&gt;0,T26&gt;0,T29*365&gt;SUM(T23:T26)),(T23*$O$8+T26*$V$7)/SUM(T23:T26),IF(AND(T19&gt;0,T29*365&gt;T19),$H$8,IF(AND(T22&gt;0,T29*365&gt;T22),$O$7,IF(AND(T23&gt;0,T29*365&gt;T23),$O$8,IF(AND(T26&gt;0,T29*365&gt;T26),$V$7)))))))))))))))))))))</f>
        <v>0</v>
      </c>
      <c r="U32" s="41">
        <f>IF(U18&gt;=U29*366,$H$7,IF(AND(U18=0,U19&gt;=U29*366),$H$8,IF(AND(U18+U19=0,U22&gt;=U29*366),$O$7,IF(AND(SUM(U18:U19)+U22=0,U23&gt;=U29*366),$O$8,IF(AND(SUM(U18:U19)+SUM(U22:U23)=0,U26&gt;=U29*366),$V$7,IF(SUM(U18:U19)+SUM(U22:U23)+U26=0,0,IF(AND(U29*366&gt;SUM(U18:U19),SUM(U18:U19)+U22&gt;=U29*366),(U18*$G$7+U19*$H$8+(U22-V22)*$O$7)/(U29*366),IF(AND(U29*366&gt;U19+U22,U19+SUM(U22:U23)&gt;=U29*366),(U19*$H$8+U22*$O$7+(U23-V23)*$O$8)/(U29*366),IF(AND(U29*366&gt;SUM(U22:U23),SUM(U22:U23)+U26&gt;=U29*366),(U22*$O$7+U23*$O$8+(U26-V26)*$V$7)/(U29*366),IF(AND(U29*366&gt;U18,U18+U19&gt;=U29*366),(U18*$G$7+(U19-V19)*$H$8)/(U29*366),IF(AND(U29*366&gt;U19,U19+U22&gt;=U29*366),(U19*$H$8+(U22-V22)*$O$7)/(U29*366),IF(AND(U29*366&gt;U22,SUM(U22:U23)&gt;=U29*366),(U22*$O$7+(U23-V23)*$O$8)/(U29*366),IF(AND(U29*366&gt;U23,U23+U26&gt;=U29*366),(U23*$O$8+(U26-V26)*$V$7)/(U29*366),IF(AND(U18&gt;0,U19&gt;0,U29*366&gt;SUM(U18:U19)),(U18*$H$7+U19*$H$8)/SUM(U18:U19),IF(AND(U19&gt;0,U22&gt;0,U29*366&gt;SUM(U19:U22)),(U19*$H$8+U22*$O$7)/SUM(U19:U22),IF(AND(U22&gt;0,U23&gt;0,U29*366&gt;SUM(U22:U23)),(U22*$O$7+U23*$O$8)/SUM(U22:U23),IF(AND(U23&gt;0,U26&gt;0,U29*366&gt;SUM(U23:U26)),(U23*$O$8+U26*$V$7)/SUM(U23:U26),IF(AND(U19&gt;0,U29*366&gt;U19),$H$8,IF(AND(U22&gt;0,U29*366&gt;U22),$O$7,IF(AND(U23&gt;0,U29*366&gt;U23),$O$8,IF(AND(U26&gt;0,U29*366&gt;U26),$V$7)))))))))))))))))))))</f>
        <v>0</v>
      </c>
      <c r="V32" s="41">
        <f>IF(V18&gt;=V29*365,$H$7,IF(AND(V18=0,V19&gt;=V29*365),$H$8,IF(AND(V18+V19=0,V22&gt;=V29*365),$O$7,IF(AND(SUM(V18:V19)+V22=0,V23&gt;=V29*365),$O$8,IF(AND(SUM(V18:V19)+SUM(V22:V23)=0,V26&gt;=V29*365),$V$7,IF(SUM(V18:V19)+SUM(V22:V23)+V26=0,0,IF(AND(V29*365&gt;SUM(V18:V19),SUM(V18:V19)+V22&gt;=V29*365),(V18*$G$7+V19*$H$8+(V22-W22)*$O$7)/(V29*365),IF(AND(V29*365&gt;V19+V22,V19+SUM(V22:V23)&gt;=V29*365),(V19*$H$8+V22*$O$7+(V23-W23)*$O$8)/(V29*365),IF(AND(V29*365&gt;SUM(V22:V23),SUM(V22:V23)+V26&gt;=V29*365),(V22*$O$7+V23*$O$8+(V26-W26)*$V$7)/(V29*365),IF(AND(V29*365&gt;V18,V18+V19&gt;=V29*365),(V18*$G$7+(V19-W19)*$H$8)/(V29*365),IF(AND(V29*365&gt;V19,V19+V22&gt;=V29*365),(V19*$H$8+(V22-W22)*$O$7)/(V29*365),IF(AND(V29*365&gt;V22,SUM(V22:V23)&gt;=V29*365),(V22*$O$7+(V23-W23)*$O$8)/(V29*365),IF(AND(V29*365&gt;V23,V23+V26&gt;=V29*365),(V23*$O$8+(V26-W26)*$V$7)/(V29*365),IF(AND(V18&gt;0,V19&gt;0,V29*365&gt;SUM(V18:V19)),(V18*$H$7+V19*$H$8)/SUM(V18:V19),IF(AND(V19&gt;0,V22&gt;0,V29*365&gt;SUM(V19:V22)),(V19*$H$8+V22*$O$7)/SUM(V19:V22),IF(AND(V22&gt;0,V23&gt;0,V29*365&gt;SUM(V22:V23)),(V22*$O$7+V23*$O$8)/SUM(V22:V23),IF(AND(V23&gt;0,V26&gt;0,V29*365&gt;SUM(V23:V26)),(V23*$O$8+V26*$V$7)/SUM(V23:V26),IF(AND(V19&gt;0,V29*365&gt;V19),$H$8,IF(AND(V22&gt;0,V29*365&gt;V22),$O$7,IF(AND(V23&gt;0,V29*365&gt;V23),$O$8,IF(AND(V26&gt;0,V29*365&gt;V26),$V$7)))))))))))))))))))))</f>
        <v>0</v>
      </c>
      <c r="W32" s="41">
        <f>IF(W18&gt;=W29*365,$H$7,IF(AND(W18=0,W19&gt;=W29*365),$H$8,IF(AND(W18+W19=0,W22&gt;=W29*365),$O$7,IF(AND(SUM(W18:W19)+W22=0,W23&gt;=W29*365),$O$8,IF(AND(SUM(W18:W19)+SUM(W22:W23)=0,W26&gt;=W29*365),$V$7,IF(SUM(W18:W19)+SUM(W22:W23)+W26=0,0,IF(AND(W29*365&gt;SUM(W18:W19),SUM(W18:W19)+W22&gt;=W29*365),(W18*$G$7+W19*$H$8+(W22-X22)*$O$7)/(W29*365),IF(AND(W29*365&gt;W19+W22,W19+SUM(W22:W23)&gt;=W29*365),(W19*$H$8+W22*$O$7+(W23-X23)*$O$8)/(W29*365),IF(AND(W29*365&gt;SUM(W22:W23),SUM(W22:W23)+W26&gt;=W29*365),(W22*$O$7+W23*$O$8+(W26-X26)*$V$7)/(W29*365),IF(AND(W29*365&gt;W18,W18+W19&gt;=W29*365),(W18*$G$7+(W19-X19)*$H$8)/(W29*365),IF(AND(W29*365&gt;W19,W19+W22&gt;=W29*365),(W19*$H$8+(W22-X22)*$O$7)/(W29*365),IF(AND(W29*365&gt;W22,SUM(W22:W23)&gt;=W29*365),(W22*$O$7+(W23-X23)*$O$8)/(W29*365),IF(AND(W29*365&gt;W23,W23+W26&gt;=W29*365),(W23*$O$8+(W26-X26)*$V$7)/(W29*365),IF(AND(W18&gt;0,W19&gt;0,W29*365&gt;SUM(W18:W19)),(W18*$H$7+W19*$H$8)/SUM(W18:W19),IF(AND(W19&gt;0,W22&gt;0,W29*365&gt;SUM(W19:W22)),(W19*$H$8+W22*$O$7)/SUM(W19:W22),IF(AND(W22&gt;0,W23&gt;0,W29*365&gt;SUM(W22:W23)),(W22*$O$7+W23*$O$8)/SUM(W22:W23),IF(AND(W23&gt;0,W26&gt;0,W29*365&gt;SUM(W23:W26)),(W23*$O$8+W26*$V$7)/SUM(W23:W26),IF(AND(W19&gt;0,W29*365&gt;W19),$H$8,IF(AND(W22&gt;0,W29*365&gt;W22),$O$7,IF(AND(W23&gt;0,W29*365&gt;W23),$O$8,IF(AND(W26&gt;0,W29*365&gt;W26),$V$7)))))))))))))))))))))</f>
        <v>0</v>
      </c>
      <c r="X32" s="35"/>
    </row>
    <row r="33" spans="2:24" x14ac:dyDescent="0.25">
      <c r="K33" s="49"/>
      <c r="L33" s="41"/>
      <c r="M33" s="35"/>
      <c r="N33" s="35"/>
      <c r="O33" s="35"/>
      <c r="P33" s="35"/>
      <c r="Q33" s="35"/>
      <c r="R33" s="35"/>
      <c r="S33" s="35"/>
      <c r="T33" s="35"/>
      <c r="U33" s="35"/>
      <c r="V33" s="35"/>
      <c r="W33" s="35"/>
      <c r="X33" s="35"/>
    </row>
    <row r="34" spans="2:24" ht="15.75" thickBot="1" x14ac:dyDescent="0.3">
      <c r="B34" s="7" t="s">
        <v>39</v>
      </c>
      <c r="K34" s="49"/>
      <c r="L34" s="41"/>
      <c r="M34" s="35"/>
      <c r="N34" s="35"/>
      <c r="O34" s="35"/>
      <c r="P34" s="35"/>
      <c r="Q34" s="35"/>
      <c r="R34" s="35"/>
      <c r="S34" s="35"/>
      <c r="T34" s="35"/>
      <c r="U34" s="35"/>
      <c r="V34" s="35"/>
      <c r="W34" s="35"/>
      <c r="X34" s="35"/>
    </row>
    <row r="35" spans="2:24" x14ac:dyDescent="0.25">
      <c r="B35" t="s">
        <v>21</v>
      </c>
      <c r="C35" t="s">
        <v>40</v>
      </c>
      <c r="E35" s="10">
        <f>E30*E31/Auxiliary!$C$4</f>
        <v>2374525.2170651224</v>
      </c>
      <c r="F35" s="10">
        <f>F30*F31/Auxiliary!$C$4</f>
        <v>2191501.7551992773</v>
      </c>
      <c r="G35" s="10">
        <f>G30*G31/Auxiliary!$C$4</f>
        <v>2429927.4478536756</v>
      </c>
      <c r="H35" s="10">
        <f>H30*H31/Auxiliary!$C$4</f>
        <v>3499840.4422749295</v>
      </c>
      <c r="I35" s="10">
        <f>I30*I31/Auxiliary!$C$4</f>
        <v>4929074.3599442234</v>
      </c>
      <c r="J35" s="10">
        <f>J30*J31/Auxiliary!$C$4</f>
        <v>1324931.3337215085</v>
      </c>
      <c r="K35" s="47">
        <f>SUM(L35:W35)</f>
        <v>19211341.02924468</v>
      </c>
      <c r="L35" s="36">
        <f>L30*L31/Auxiliary!$C$4</f>
        <v>1244892.9825105597</v>
      </c>
      <c r="M35" s="36">
        <f>M30*M31/Auxiliary!$C$4</f>
        <v>1224557.6353059025</v>
      </c>
      <c r="N35" s="36">
        <f>N30*N31/Auxiliary!$C$4</f>
        <v>1224557.6353059025</v>
      </c>
      <c r="O35" s="36">
        <f>O30*O31/Auxiliary!$C$4</f>
        <v>1331040.9079411984</v>
      </c>
      <c r="P35" s="36">
        <f>P30*P31/Auxiliary!$C$4</f>
        <v>4067069.4409314399</v>
      </c>
      <c r="Q35" s="36">
        <f>Q30*Q31/Auxiliary!$C$4</f>
        <v>5749453.8681283379</v>
      </c>
      <c r="R35" s="36">
        <f>R30*R31/Auxiliary!$C$4</f>
        <v>4369768.5591213396</v>
      </c>
      <c r="S35" s="36">
        <f>S30*S31/Auxiliary!$C$4</f>
        <v>0</v>
      </c>
      <c r="T35" s="36">
        <f>T30*T31/Auxiliary!$C$4</f>
        <v>0</v>
      </c>
      <c r="U35" s="36">
        <f>U30*U31/Auxiliary!$C$4</f>
        <v>0</v>
      </c>
      <c r="V35" s="36">
        <f>V30*V31/Auxiliary!$C$4</f>
        <v>0</v>
      </c>
      <c r="W35" s="36">
        <f>W30*W31/Auxiliary!$C$4</f>
        <v>0</v>
      </c>
      <c r="X35" s="35"/>
    </row>
    <row r="36" spans="2:24" x14ac:dyDescent="0.25">
      <c r="B36" t="s">
        <v>23</v>
      </c>
      <c r="C36" t="s">
        <v>40</v>
      </c>
      <c r="E36" s="10">
        <f>E30*E32/Auxiliary!$C$4</f>
        <v>5471.7320219326739</v>
      </c>
      <c r="F36" s="10">
        <f>F30*F32/Auxiliary!$C$4</f>
        <v>5824.2614214755567</v>
      </c>
      <c r="G36" s="10">
        <f>G30*G32/Auxiliary!$C$4</f>
        <v>6749.7984662602094</v>
      </c>
      <c r="H36" s="10">
        <f>H30*H32/Auxiliary!$C$4</f>
        <v>10700.149122878764</v>
      </c>
      <c r="I36" s="10">
        <f>I30*I32/Auxiliary!$C$4</f>
        <v>14520.786627943793</v>
      </c>
      <c r="J36" s="10">
        <f>J30*J32/Auxiliary!$C$4</f>
        <v>3873.8778553528136</v>
      </c>
      <c r="K36" s="47">
        <f>SUM(L36:W36)</f>
        <v>47387.497850401094</v>
      </c>
      <c r="L36" s="36">
        <f>L30*L32/Auxiliary!$C$4</f>
        <v>3297.2841158387801</v>
      </c>
      <c r="M36" s="36">
        <f>M30*M32/Auxiliary!$C$4</f>
        <v>3299.5025173520153</v>
      </c>
      <c r="N36" s="36">
        <f>N30*N32/Auxiliary!$C$4</f>
        <v>3469.5799667000574</v>
      </c>
      <c r="O36" s="36">
        <f>O30*O32/Auxiliary!$C$4</f>
        <v>3394.1543152500558</v>
      </c>
      <c r="P36" s="36">
        <f>P30*P32/Auxiliary!$C$4</f>
        <v>10371.027074375172</v>
      </c>
      <c r="Q36" s="36">
        <f>Q30*Q32/Auxiliary!$C$4</f>
        <v>14080.056477801867</v>
      </c>
      <c r="R36" s="36">
        <f>R30*R32/Auxiliary!$C$4</f>
        <v>9475.8933830831411</v>
      </c>
      <c r="S36" s="36">
        <f>S30*S32/Auxiliary!$C$4</f>
        <v>0</v>
      </c>
      <c r="T36" s="36">
        <f>T30*T32/Auxiliary!$C$4</f>
        <v>0</v>
      </c>
      <c r="U36" s="36">
        <f>U30*U32/Auxiliary!$C$4</f>
        <v>0</v>
      </c>
      <c r="V36" s="36">
        <f>V31*V32/Auxiliary!$C$4</f>
        <v>0</v>
      </c>
      <c r="W36" s="36">
        <f>W31*W32/Auxiliary!$C$4</f>
        <v>0</v>
      </c>
      <c r="X36" s="35"/>
    </row>
    <row r="37" spans="2:24" x14ac:dyDescent="0.25">
      <c r="H37" s="15"/>
      <c r="J37" s="15">
        <f>AVERAGE(E40:J40)</f>
        <v>0.89949999999999986</v>
      </c>
      <c r="K37" s="49"/>
      <c r="L37" s="35"/>
      <c r="M37" s="35"/>
      <c r="N37" s="35"/>
      <c r="O37" s="35"/>
      <c r="P37" s="35"/>
      <c r="Q37" s="35"/>
      <c r="R37" s="35"/>
      <c r="S37" s="35"/>
      <c r="T37" s="35"/>
      <c r="U37" s="35"/>
      <c r="V37" s="35"/>
      <c r="W37" s="35"/>
      <c r="X37" s="35"/>
    </row>
    <row r="38" spans="2:24" ht="15.75" thickBot="1" x14ac:dyDescent="0.3">
      <c r="B38" s="7" t="s">
        <v>41</v>
      </c>
      <c r="K38" s="49"/>
      <c r="L38" s="35"/>
      <c r="M38" s="35"/>
      <c r="N38" s="35"/>
      <c r="O38" s="35"/>
      <c r="P38" s="35"/>
      <c r="Q38" s="35"/>
      <c r="R38" s="35"/>
      <c r="S38" s="35"/>
      <c r="T38" s="35"/>
      <c r="U38" s="35"/>
      <c r="V38" s="35"/>
      <c r="W38" s="35"/>
      <c r="X38" s="35"/>
    </row>
    <row r="39" spans="2:24" x14ac:dyDescent="0.25">
      <c r="B39" t="s">
        <v>21</v>
      </c>
      <c r="C39" t="s">
        <v>22</v>
      </c>
      <c r="E39" s="15">
        <v>0.87</v>
      </c>
      <c r="F39" s="15">
        <v>0.89600000000000002</v>
      </c>
      <c r="G39" s="15">
        <v>0.90600000000000003</v>
      </c>
      <c r="H39" s="15">
        <v>0.877</v>
      </c>
      <c r="I39" s="15">
        <v>0.879</v>
      </c>
      <c r="J39" s="15">
        <v>0.85599999999999998</v>
      </c>
      <c r="K39" s="51">
        <f>AVERAGE(L39:W39)</f>
        <v>0.87833333333333341</v>
      </c>
      <c r="L39" s="42">
        <f>86%</f>
        <v>0.86</v>
      </c>
      <c r="M39" s="42">
        <f>88%</f>
        <v>0.88</v>
      </c>
      <c r="N39" s="42">
        <f>88%</f>
        <v>0.88</v>
      </c>
      <c r="O39" s="42">
        <f>88%</f>
        <v>0.88</v>
      </c>
      <c r="P39" s="42">
        <f>88%</f>
        <v>0.88</v>
      </c>
      <c r="Q39" s="42">
        <f>88%</f>
        <v>0.88</v>
      </c>
      <c r="R39" s="42">
        <f>88%</f>
        <v>0.88</v>
      </c>
      <c r="S39" s="42">
        <f>88%</f>
        <v>0.88</v>
      </c>
      <c r="T39" s="42">
        <f>88%</f>
        <v>0.88</v>
      </c>
      <c r="U39" s="42">
        <f>88%</f>
        <v>0.88</v>
      </c>
      <c r="V39" s="42">
        <f>88%</f>
        <v>0.88</v>
      </c>
      <c r="W39" s="42">
        <f>88%</f>
        <v>0.88</v>
      </c>
      <c r="X39" s="35"/>
    </row>
    <row r="40" spans="2:24" x14ac:dyDescent="0.25">
      <c r="B40" t="s">
        <v>23</v>
      </c>
      <c r="C40" t="s">
        <v>22</v>
      </c>
      <c r="E40" s="15">
        <v>0.86599999999999999</v>
      </c>
      <c r="F40" s="15">
        <v>0.89700000000000002</v>
      </c>
      <c r="G40" s="15">
        <v>0.90200000000000002</v>
      </c>
      <c r="H40" s="15">
        <v>0.91700000000000004</v>
      </c>
      <c r="I40" s="15">
        <v>0.91700000000000004</v>
      </c>
      <c r="J40" s="15">
        <v>0.89800000000000002</v>
      </c>
      <c r="K40" s="51">
        <f t="shared" ref="K40" si="4">AVERAGE(L40:W40)</f>
        <v>0.90166666666666684</v>
      </c>
      <c r="L40" s="42">
        <v>0.9</v>
      </c>
      <c r="M40" s="42">
        <v>0.91</v>
      </c>
      <c r="N40" s="42">
        <v>0.91</v>
      </c>
      <c r="O40" s="42">
        <v>0.9</v>
      </c>
      <c r="P40" s="42">
        <v>0.9</v>
      </c>
      <c r="Q40" s="42">
        <v>0.9</v>
      </c>
      <c r="R40" s="42">
        <v>0.9</v>
      </c>
      <c r="S40" s="42">
        <v>0.9</v>
      </c>
      <c r="T40" s="42">
        <v>0.9</v>
      </c>
      <c r="U40" s="42">
        <v>0.9</v>
      </c>
      <c r="V40" s="42">
        <v>0.9</v>
      </c>
      <c r="W40" s="42">
        <v>0.9</v>
      </c>
      <c r="X40" s="35"/>
    </row>
    <row r="41" spans="2:24" x14ac:dyDescent="0.25">
      <c r="K41" s="51"/>
      <c r="L41" s="35"/>
      <c r="M41" s="35"/>
      <c r="N41" s="35"/>
      <c r="O41" s="35"/>
      <c r="P41" s="35"/>
      <c r="Q41" s="35"/>
      <c r="R41" s="35"/>
      <c r="S41" s="35"/>
      <c r="T41" s="35"/>
      <c r="U41" s="35"/>
      <c r="V41" s="35"/>
      <c r="W41" s="35"/>
      <c r="X41" s="35"/>
    </row>
    <row r="42" spans="2:24" ht="15.75" thickBot="1" x14ac:dyDescent="0.3">
      <c r="B42" s="7" t="s">
        <v>42</v>
      </c>
      <c r="K42" s="49"/>
      <c r="L42" s="35"/>
      <c r="M42" s="35"/>
      <c r="N42" s="35"/>
      <c r="O42" s="35"/>
      <c r="P42" s="35"/>
      <c r="Q42" s="35"/>
      <c r="R42" s="35"/>
      <c r="S42" s="35"/>
      <c r="T42" s="35"/>
      <c r="U42" s="35"/>
      <c r="V42" s="35"/>
      <c r="W42" s="35"/>
      <c r="X42" s="35"/>
    </row>
    <row r="43" spans="2:24" x14ac:dyDescent="0.25">
      <c r="B43" t="s">
        <v>21</v>
      </c>
      <c r="C43" t="s">
        <v>40</v>
      </c>
      <c r="E43" s="10">
        <v>2066448</v>
      </c>
      <c r="F43" s="10">
        <v>1963773</v>
      </c>
      <c r="G43" s="10">
        <v>2202592</v>
      </c>
      <c r="H43" s="10">
        <v>3071075</v>
      </c>
      <c r="I43" s="10">
        <v>4333567</v>
      </c>
      <c r="J43" s="10">
        <v>1133850</v>
      </c>
      <c r="K43" s="47">
        <f>SUM(L43:W43)</f>
        <v>16881082.246085107</v>
      </c>
      <c r="L43" s="36">
        <f>L35*L39</f>
        <v>1070607.9649590813</v>
      </c>
      <c r="M43" s="36">
        <f t="shared" ref="M43:W44" si="5">M35*M39</f>
        <v>1077610.7190691943</v>
      </c>
      <c r="N43" s="36">
        <f t="shared" si="5"/>
        <v>1077610.7190691943</v>
      </c>
      <c r="O43" s="36">
        <f t="shared" si="5"/>
        <v>1171315.9989882547</v>
      </c>
      <c r="P43" s="36">
        <f t="shared" si="5"/>
        <v>3579021.1080196672</v>
      </c>
      <c r="Q43" s="36">
        <f t="shared" si="5"/>
        <v>5059519.4039529376</v>
      </c>
      <c r="R43" s="36">
        <f t="shared" si="5"/>
        <v>3845396.3320267787</v>
      </c>
      <c r="S43" s="36">
        <f t="shared" si="5"/>
        <v>0</v>
      </c>
      <c r="T43" s="36">
        <f t="shared" si="5"/>
        <v>0</v>
      </c>
      <c r="U43" s="36">
        <f t="shared" si="5"/>
        <v>0</v>
      </c>
      <c r="V43" s="36">
        <f t="shared" si="5"/>
        <v>0</v>
      </c>
      <c r="W43" s="36">
        <f t="shared" si="5"/>
        <v>0</v>
      </c>
      <c r="X43" s="35"/>
    </row>
    <row r="44" spans="2:24" x14ac:dyDescent="0.25">
      <c r="B44" t="s">
        <v>23</v>
      </c>
      <c r="C44" t="s">
        <v>40</v>
      </c>
      <c r="E44" s="10">
        <v>4740</v>
      </c>
      <c r="F44" s="10">
        <v>5224</v>
      </c>
      <c r="G44" s="10">
        <v>6087</v>
      </c>
      <c r="H44" s="10">
        <v>9814</v>
      </c>
      <c r="I44" s="10">
        <v>13317</v>
      </c>
      <c r="J44" s="10">
        <v>3477</v>
      </c>
      <c r="K44" s="47">
        <f>SUM(L44:W44)</f>
        <v>42716.438890201505</v>
      </c>
      <c r="L44" s="36">
        <f>L36*L40</f>
        <v>2967.5557042549021</v>
      </c>
      <c r="M44" s="36">
        <f t="shared" si="5"/>
        <v>3002.547290790334</v>
      </c>
      <c r="N44" s="36">
        <f t="shared" si="5"/>
        <v>3157.3177696970524</v>
      </c>
      <c r="O44" s="36">
        <f t="shared" si="5"/>
        <v>3054.7388837250501</v>
      </c>
      <c r="P44" s="36">
        <f t="shared" si="5"/>
        <v>9333.9243669376556</v>
      </c>
      <c r="Q44" s="36">
        <f t="shared" si="5"/>
        <v>12672.050830021681</v>
      </c>
      <c r="R44" s="36">
        <f t="shared" si="5"/>
        <v>8528.3040447748281</v>
      </c>
      <c r="S44" s="36">
        <f t="shared" si="5"/>
        <v>0</v>
      </c>
      <c r="T44" s="36">
        <f t="shared" si="5"/>
        <v>0</v>
      </c>
      <c r="U44" s="36">
        <f t="shared" si="5"/>
        <v>0</v>
      </c>
      <c r="V44" s="36">
        <f t="shared" si="5"/>
        <v>0</v>
      </c>
      <c r="W44" s="36">
        <f t="shared" si="5"/>
        <v>0</v>
      </c>
      <c r="X44" s="35"/>
    </row>
    <row r="45" spans="2:24" x14ac:dyDescent="0.25">
      <c r="E45" s="10"/>
      <c r="F45" s="10"/>
      <c r="G45" s="10"/>
      <c r="H45" s="10"/>
      <c r="I45" s="10"/>
      <c r="J45" s="10"/>
      <c r="K45" s="47"/>
      <c r="L45" s="36"/>
      <c r="M45" s="36"/>
      <c r="N45" s="36"/>
      <c r="O45" s="36"/>
      <c r="P45" s="36"/>
      <c r="Q45" s="36"/>
      <c r="R45" s="36"/>
      <c r="S45" s="36"/>
      <c r="T45" s="36"/>
      <c r="U45" s="36"/>
      <c r="V45" s="36"/>
      <c r="W45" s="35"/>
      <c r="X45" s="35"/>
    </row>
    <row r="46" spans="2:24" ht="15.75" thickBot="1" x14ac:dyDescent="0.3">
      <c r="B46" s="7" t="s">
        <v>91</v>
      </c>
      <c r="E46" s="10"/>
      <c r="F46" s="10"/>
      <c r="G46" s="10"/>
      <c r="H46" s="10"/>
      <c r="I46" s="10"/>
      <c r="J46" s="10"/>
      <c r="K46" s="47"/>
      <c r="L46" s="36"/>
      <c r="M46" s="36"/>
      <c r="N46" s="36"/>
      <c r="O46" s="36"/>
      <c r="P46" s="36"/>
      <c r="Q46" s="36"/>
      <c r="R46" s="36"/>
      <c r="S46" s="36"/>
      <c r="T46" s="36"/>
      <c r="U46" s="36"/>
      <c r="V46" s="36"/>
      <c r="W46" s="35"/>
      <c r="X46" s="35"/>
    </row>
    <row r="47" spans="2:24" x14ac:dyDescent="0.25">
      <c r="B47" t="s">
        <v>21</v>
      </c>
      <c r="C47" t="s">
        <v>22</v>
      </c>
      <c r="E47" s="16">
        <f>E51/E43</f>
        <v>0.99900021679713213</v>
      </c>
      <c r="F47" s="16">
        <f t="shared" ref="F47:J47" si="6">F51/F43</f>
        <v>0.99898919070585046</v>
      </c>
      <c r="G47" s="16">
        <f t="shared" si="6"/>
        <v>0.99722281748049568</v>
      </c>
      <c r="H47" s="16">
        <f t="shared" si="6"/>
        <v>0.99703914752977374</v>
      </c>
      <c r="I47" s="16">
        <f t="shared" si="6"/>
        <v>0.9970001617605081</v>
      </c>
      <c r="J47" s="16">
        <f t="shared" si="6"/>
        <v>0.99699960312210612</v>
      </c>
      <c r="K47" s="52">
        <f>AVERAGE(L47:W47)</f>
        <v>0.997</v>
      </c>
      <c r="L47" s="43">
        <f>99.7%</f>
        <v>0.997</v>
      </c>
      <c r="M47" s="43">
        <f>L47</f>
        <v>0.997</v>
      </c>
      <c r="N47" s="43">
        <f t="shared" ref="N47:W47" si="7">M47</f>
        <v>0.997</v>
      </c>
      <c r="O47" s="43">
        <f t="shared" si="7"/>
        <v>0.997</v>
      </c>
      <c r="P47" s="43">
        <f t="shared" si="7"/>
        <v>0.997</v>
      </c>
      <c r="Q47" s="43">
        <f t="shared" si="7"/>
        <v>0.997</v>
      </c>
      <c r="R47" s="43">
        <f t="shared" si="7"/>
        <v>0.997</v>
      </c>
      <c r="S47" s="43">
        <f t="shared" si="7"/>
        <v>0.997</v>
      </c>
      <c r="T47" s="43">
        <f t="shared" si="7"/>
        <v>0.997</v>
      </c>
      <c r="U47" s="43">
        <f t="shared" si="7"/>
        <v>0.997</v>
      </c>
      <c r="V47" s="43">
        <f t="shared" si="7"/>
        <v>0.997</v>
      </c>
      <c r="W47" s="43">
        <f t="shared" si="7"/>
        <v>0.997</v>
      </c>
      <c r="X47" s="35"/>
    </row>
    <row r="48" spans="2:24" x14ac:dyDescent="0.25">
      <c r="B48" t="s">
        <v>23</v>
      </c>
      <c r="C48" t="s">
        <v>22</v>
      </c>
      <c r="E48" s="16">
        <f>E52/E44</f>
        <v>0.99915611814345995</v>
      </c>
      <c r="F48" s="16">
        <f t="shared" ref="F48:J48" si="8">F52/F44</f>
        <v>0.99885145482388971</v>
      </c>
      <c r="G48" s="16">
        <f t="shared" si="8"/>
        <v>0.99901429275505171</v>
      </c>
      <c r="H48" s="16">
        <f t="shared" si="8"/>
        <v>0.99714693295292445</v>
      </c>
      <c r="I48" s="16">
        <f t="shared" si="8"/>
        <v>0.99699632049260345</v>
      </c>
      <c r="J48" s="16">
        <f t="shared" si="8"/>
        <v>0.99712395743457005</v>
      </c>
      <c r="K48" s="52">
        <f>AVERAGE(L48:W48)</f>
        <v>0.997</v>
      </c>
      <c r="L48" s="43">
        <f>99.7%</f>
        <v>0.997</v>
      </c>
      <c r="M48" s="43">
        <f>L48</f>
        <v>0.997</v>
      </c>
      <c r="N48" s="43">
        <f t="shared" ref="N48:W48" si="9">M48</f>
        <v>0.997</v>
      </c>
      <c r="O48" s="43">
        <f t="shared" si="9"/>
        <v>0.997</v>
      </c>
      <c r="P48" s="43">
        <f t="shared" si="9"/>
        <v>0.997</v>
      </c>
      <c r="Q48" s="43">
        <f t="shared" si="9"/>
        <v>0.997</v>
      </c>
      <c r="R48" s="43">
        <f t="shared" si="9"/>
        <v>0.997</v>
      </c>
      <c r="S48" s="43">
        <f t="shared" si="9"/>
        <v>0.997</v>
      </c>
      <c r="T48" s="43">
        <f t="shared" si="9"/>
        <v>0.997</v>
      </c>
      <c r="U48" s="43">
        <f t="shared" si="9"/>
        <v>0.997</v>
      </c>
      <c r="V48" s="43">
        <f t="shared" si="9"/>
        <v>0.997</v>
      </c>
      <c r="W48" s="43">
        <f t="shared" si="9"/>
        <v>0.997</v>
      </c>
      <c r="X48" s="35"/>
    </row>
    <row r="49" spans="2:24" x14ac:dyDescent="0.25">
      <c r="E49" s="10"/>
      <c r="F49" s="10"/>
      <c r="G49" s="10"/>
      <c r="H49" s="10"/>
      <c r="I49" s="10"/>
      <c r="J49" s="10"/>
      <c r="K49" s="47"/>
      <c r="L49" s="36"/>
      <c r="M49" s="36"/>
      <c r="N49" s="36"/>
      <c r="O49" s="36"/>
      <c r="P49" s="36"/>
      <c r="Q49" s="36"/>
      <c r="R49" s="36"/>
      <c r="S49" s="36"/>
      <c r="T49" s="36"/>
      <c r="U49" s="36"/>
      <c r="V49" s="36"/>
      <c r="W49" s="35"/>
      <c r="X49" s="35"/>
    </row>
    <row r="50" spans="2:24" ht="15.75" thickBot="1" x14ac:dyDescent="0.3">
      <c r="B50" s="7" t="s">
        <v>90</v>
      </c>
      <c r="E50" s="10"/>
      <c r="F50" s="10"/>
      <c r="G50" s="10"/>
      <c r="H50" s="10"/>
      <c r="I50" s="10"/>
      <c r="J50" s="10"/>
      <c r="K50" s="47"/>
      <c r="L50" s="36"/>
      <c r="M50" s="36"/>
      <c r="N50" s="36"/>
      <c r="O50" s="36"/>
      <c r="P50" s="36"/>
      <c r="Q50" s="36"/>
      <c r="R50" s="36"/>
      <c r="S50" s="36"/>
      <c r="T50" s="36"/>
      <c r="U50" s="36"/>
      <c r="V50" s="36"/>
      <c r="W50" s="35"/>
      <c r="X50" s="35"/>
    </row>
    <row r="51" spans="2:24" x14ac:dyDescent="0.25">
      <c r="B51" s="23" t="s">
        <v>21</v>
      </c>
      <c r="C51" t="s">
        <v>40</v>
      </c>
      <c r="E51" s="10">
        <v>2064382</v>
      </c>
      <c r="F51" s="10">
        <v>1961788</v>
      </c>
      <c r="G51" s="10">
        <v>2196475</v>
      </c>
      <c r="H51" s="10">
        <v>3061982</v>
      </c>
      <c r="I51" s="10">
        <v>4320567</v>
      </c>
      <c r="J51" s="10">
        <v>1130448</v>
      </c>
      <c r="K51" s="47">
        <f>SUM(L51:W51)</f>
        <v>16830438.999346852</v>
      </c>
      <c r="L51" s="36">
        <f>L43*L47</f>
        <v>1067396.141064204</v>
      </c>
      <c r="M51" s="36">
        <f t="shared" ref="M51:W51" si="10">M43*M47</f>
        <v>1074377.8869119866</v>
      </c>
      <c r="N51" s="36">
        <f t="shared" si="10"/>
        <v>1074377.8869119866</v>
      </c>
      <c r="O51" s="36">
        <f t="shared" si="10"/>
        <v>1167802.05099129</v>
      </c>
      <c r="P51" s="36">
        <f t="shared" si="10"/>
        <v>3568284.0446956083</v>
      </c>
      <c r="Q51" s="36">
        <f t="shared" si="10"/>
        <v>5044340.8457410792</v>
      </c>
      <c r="R51" s="36">
        <f t="shared" si="10"/>
        <v>3833860.1430306984</v>
      </c>
      <c r="S51" s="36">
        <f t="shared" si="10"/>
        <v>0</v>
      </c>
      <c r="T51" s="36">
        <f t="shared" si="10"/>
        <v>0</v>
      </c>
      <c r="U51" s="36">
        <f t="shared" si="10"/>
        <v>0</v>
      </c>
      <c r="V51" s="36">
        <f t="shared" si="10"/>
        <v>0</v>
      </c>
      <c r="W51" s="36">
        <f t="shared" si="10"/>
        <v>0</v>
      </c>
      <c r="X51" s="35"/>
    </row>
    <row r="52" spans="2:24" x14ac:dyDescent="0.25">
      <c r="B52" s="24" t="s">
        <v>23</v>
      </c>
      <c r="C52" t="s">
        <v>40</v>
      </c>
      <c r="E52" s="10">
        <v>4736</v>
      </c>
      <c r="F52" s="10">
        <v>5218</v>
      </c>
      <c r="G52" s="10">
        <v>6081</v>
      </c>
      <c r="H52" s="10">
        <v>9786</v>
      </c>
      <c r="I52" s="10">
        <v>13277</v>
      </c>
      <c r="J52" s="10">
        <v>3467</v>
      </c>
      <c r="K52" s="47">
        <f>SUM(L52:W52)</f>
        <v>42588.289573530892</v>
      </c>
      <c r="L52" s="36">
        <f>L44*L48</f>
        <v>2958.6530371421372</v>
      </c>
      <c r="M52" s="36">
        <f t="shared" ref="M52:W52" si="11">M44*M48</f>
        <v>2993.5396489179629</v>
      </c>
      <c r="N52" s="36">
        <f t="shared" si="11"/>
        <v>3147.8458163879613</v>
      </c>
      <c r="O52" s="36">
        <f t="shared" si="11"/>
        <v>3045.5746670738749</v>
      </c>
      <c r="P52" s="36">
        <f t="shared" si="11"/>
        <v>9305.9225938368418</v>
      </c>
      <c r="Q52" s="36">
        <f t="shared" si="11"/>
        <v>12634.034677531616</v>
      </c>
      <c r="R52" s="36">
        <f t="shared" si="11"/>
        <v>8502.7191326405027</v>
      </c>
      <c r="S52" s="36">
        <f t="shared" si="11"/>
        <v>0</v>
      </c>
      <c r="T52" s="36">
        <f t="shared" si="11"/>
        <v>0</v>
      </c>
      <c r="U52" s="36">
        <f t="shared" si="11"/>
        <v>0</v>
      </c>
      <c r="V52" s="36">
        <f t="shared" si="11"/>
        <v>0</v>
      </c>
      <c r="W52" s="36">
        <f t="shared" si="11"/>
        <v>0</v>
      </c>
      <c r="X52" s="35"/>
    </row>
    <row r="53" spans="2:24" x14ac:dyDescent="0.25">
      <c r="K53" s="49"/>
      <c r="L53" s="35"/>
      <c r="M53" s="35"/>
      <c r="N53" s="35"/>
      <c r="O53" s="35"/>
      <c r="P53" s="35"/>
      <c r="Q53" s="35"/>
      <c r="R53" s="35"/>
      <c r="S53" s="35"/>
      <c r="T53" s="35"/>
      <c r="U53" s="35"/>
      <c r="V53" s="35"/>
      <c r="W53" s="35"/>
      <c r="X53" s="35"/>
    </row>
    <row r="54" spans="2:24" ht="15.75" thickBot="1" x14ac:dyDescent="0.3">
      <c r="B54" s="7" t="s">
        <v>43</v>
      </c>
      <c r="K54" s="49"/>
      <c r="L54" s="35"/>
      <c r="M54" s="35"/>
      <c r="N54" s="35"/>
      <c r="O54" s="35"/>
      <c r="P54" s="35"/>
      <c r="Q54" s="35"/>
      <c r="R54" s="35"/>
      <c r="S54" s="35"/>
      <c r="T54" s="35"/>
      <c r="U54" s="35"/>
      <c r="V54" s="35"/>
      <c r="W54" s="35"/>
      <c r="X54" s="35"/>
    </row>
    <row r="55" spans="2:24" x14ac:dyDescent="0.25">
      <c r="B55" t="s">
        <v>21</v>
      </c>
      <c r="C55" t="s">
        <v>44</v>
      </c>
      <c r="E55" s="10">
        <v>37161000</v>
      </c>
      <c r="F55" s="10">
        <v>32267000</v>
      </c>
      <c r="G55" s="10">
        <v>36062000</v>
      </c>
      <c r="H55" s="10">
        <v>65501000</v>
      </c>
      <c r="I55" s="10">
        <v>85854000</v>
      </c>
      <c r="J55" s="10">
        <v>37627000</v>
      </c>
      <c r="K55" s="47">
        <f>SUM(L55:W55)</f>
        <v>412186897.12591881</v>
      </c>
      <c r="L55" s="36">
        <f>L51*L14</f>
        <v>23482715.10341249</v>
      </c>
      <c r="M55" s="36">
        <f t="shared" ref="M55:W55" si="12">M51*M14</f>
        <v>23636313.512063704</v>
      </c>
      <c r="N55" s="36">
        <f t="shared" si="12"/>
        <v>24710691.398975693</v>
      </c>
      <c r="O55" s="36">
        <f t="shared" si="12"/>
        <v>29195051.274782252</v>
      </c>
      <c r="P55" s="36">
        <f t="shared" si="12"/>
        <v>89207101.117390215</v>
      </c>
      <c r="Q55" s="36">
        <f t="shared" si="12"/>
        <v>126108521.14352699</v>
      </c>
      <c r="R55" s="36">
        <f t="shared" si="12"/>
        <v>95846503.575767457</v>
      </c>
      <c r="S55" s="36">
        <f t="shared" si="12"/>
        <v>0</v>
      </c>
      <c r="T55" s="36">
        <f t="shared" si="12"/>
        <v>0</v>
      </c>
      <c r="U55" s="36">
        <f t="shared" si="12"/>
        <v>0</v>
      </c>
      <c r="V55" s="36">
        <f t="shared" si="12"/>
        <v>0</v>
      </c>
      <c r="W55" s="36">
        <f t="shared" si="12"/>
        <v>0</v>
      </c>
      <c r="X55" s="35"/>
    </row>
    <row r="56" spans="2:24" x14ac:dyDescent="0.25">
      <c r="B56" s="5" t="s">
        <v>23</v>
      </c>
      <c r="C56" t="s">
        <v>44</v>
      </c>
      <c r="E56" s="10">
        <v>6210000</v>
      </c>
      <c r="F56" s="10">
        <v>6962000</v>
      </c>
      <c r="G56" s="10">
        <v>8638000</v>
      </c>
      <c r="H56" s="10">
        <v>17458000</v>
      </c>
      <c r="I56" s="10">
        <v>22638000</v>
      </c>
      <c r="J56" s="10">
        <v>5022000</v>
      </c>
      <c r="K56" s="47">
        <f t="shared" ref="K56:K57" si="13">SUM(L56:W56)</f>
        <v>75341291.373847306</v>
      </c>
      <c r="L56" s="36">
        <f>L52*L15</f>
        <v>5532681.1794557963</v>
      </c>
      <c r="M56" s="36">
        <f t="shared" ref="M56:W56" si="14">M52*M15</f>
        <v>5538048.3504982311</v>
      </c>
      <c r="N56" s="36">
        <f t="shared" si="14"/>
        <v>5666122.4694983307</v>
      </c>
      <c r="O56" s="36">
        <f t="shared" si="14"/>
        <v>5329755.6673792815</v>
      </c>
      <c r="P56" s="36">
        <f t="shared" si="14"/>
        <v>16285364.539214473</v>
      </c>
      <c r="Q56" s="36">
        <f t="shared" si="14"/>
        <v>22109560.685680326</v>
      </c>
      <c r="R56" s="36">
        <f t="shared" si="14"/>
        <v>14879758.482120879</v>
      </c>
      <c r="S56" s="36">
        <f t="shared" si="14"/>
        <v>0</v>
      </c>
      <c r="T56" s="36">
        <f t="shared" si="14"/>
        <v>0</v>
      </c>
      <c r="U56" s="36">
        <f t="shared" si="14"/>
        <v>0</v>
      </c>
      <c r="V56" s="36">
        <f t="shared" si="14"/>
        <v>0</v>
      </c>
      <c r="W56" s="36">
        <f t="shared" si="14"/>
        <v>0</v>
      </c>
      <c r="X56" s="35"/>
    </row>
    <row r="57" spans="2:24" x14ac:dyDescent="0.25">
      <c r="B57" t="s">
        <v>27</v>
      </c>
      <c r="C57" t="s">
        <v>44</v>
      </c>
      <c r="E57" s="10">
        <f>SUM(E55:E56)</f>
        <v>43371000</v>
      </c>
      <c r="F57" s="10">
        <f t="shared" ref="F57:J57" si="15">SUM(F55:F56)</f>
        <v>39229000</v>
      </c>
      <c r="G57" s="10">
        <f t="shared" si="15"/>
        <v>44700000</v>
      </c>
      <c r="H57" s="10">
        <f t="shared" si="15"/>
        <v>82959000</v>
      </c>
      <c r="I57" s="10">
        <f t="shared" si="15"/>
        <v>108492000</v>
      </c>
      <c r="J57" s="10">
        <f t="shared" si="15"/>
        <v>42649000</v>
      </c>
      <c r="K57" s="47">
        <f t="shared" si="13"/>
        <v>487528188.49976611</v>
      </c>
      <c r="L57" s="36">
        <f>SUM(L55:L56)</f>
        <v>29015396.282868288</v>
      </c>
      <c r="M57" s="36">
        <f t="shared" ref="M57:V57" si="16">SUM(M55:M56)</f>
        <v>29174361.862561934</v>
      </c>
      <c r="N57" s="36">
        <f t="shared" si="16"/>
        <v>30376813.868474022</v>
      </c>
      <c r="O57" s="36">
        <f t="shared" si="16"/>
        <v>34524806.94216153</v>
      </c>
      <c r="P57" s="36">
        <f t="shared" si="16"/>
        <v>105492465.65660469</v>
      </c>
      <c r="Q57" s="36">
        <f t="shared" si="16"/>
        <v>148218081.8292073</v>
      </c>
      <c r="R57" s="36">
        <f t="shared" si="16"/>
        <v>110726262.05788833</v>
      </c>
      <c r="S57" s="36">
        <f t="shared" si="16"/>
        <v>0</v>
      </c>
      <c r="T57" s="36">
        <f t="shared" si="16"/>
        <v>0</v>
      </c>
      <c r="U57" s="36">
        <f t="shared" si="16"/>
        <v>0</v>
      </c>
      <c r="V57" s="36">
        <f t="shared" si="16"/>
        <v>0</v>
      </c>
      <c r="W57" s="36">
        <f t="shared" ref="W57" si="17">SUM(W55:W56)</f>
        <v>0</v>
      </c>
      <c r="X57" s="35"/>
    </row>
    <row r="58" spans="2:24" x14ac:dyDescent="0.25">
      <c r="E58" s="10"/>
      <c r="F58" s="10"/>
      <c r="G58" s="10"/>
      <c r="H58" s="10"/>
      <c r="I58" s="10"/>
      <c r="J58" s="10"/>
      <c r="K58" s="47"/>
      <c r="L58" s="36"/>
      <c r="M58" s="36"/>
      <c r="N58" s="36"/>
      <c r="O58" s="36"/>
      <c r="P58" s="36"/>
      <c r="Q58" s="36"/>
      <c r="R58" s="36"/>
      <c r="S58" s="36"/>
      <c r="T58" s="36"/>
      <c r="U58" s="36"/>
      <c r="V58" s="36"/>
      <c r="W58" s="35"/>
      <c r="X58" s="35"/>
    </row>
    <row r="59" spans="2:24" x14ac:dyDescent="0.25">
      <c r="B59" t="s">
        <v>87</v>
      </c>
      <c r="C59" t="s">
        <v>22</v>
      </c>
      <c r="E59" s="26">
        <f>IF(E57&gt;0,E55/E57,"")</f>
        <v>0.85681676696410047</v>
      </c>
      <c r="F59" s="26">
        <f t="shared" ref="F59:W59" si="18">IF(F57&gt;0,F55/F57,"")</f>
        <v>0.82252925131917709</v>
      </c>
      <c r="G59" s="26">
        <f t="shared" si="18"/>
        <v>0.80675615212527962</v>
      </c>
      <c r="H59" s="26">
        <f t="shared" si="18"/>
        <v>0.78955869766993336</v>
      </c>
      <c r="I59" s="26">
        <f t="shared" si="18"/>
        <v>0.79133945360026547</v>
      </c>
      <c r="J59" s="26">
        <f t="shared" si="18"/>
        <v>0.88224811836150907</v>
      </c>
      <c r="K59" s="53">
        <f>AVERAGE(L59:W59)</f>
        <v>0.83438052149786512</v>
      </c>
      <c r="L59" s="44">
        <f t="shared" si="18"/>
        <v>0.80931912404303474</v>
      </c>
      <c r="M59" s="44">
        <f t="shared" si="18"/>
        <v>0.81017413931493931</v>
      </c>
      <c r="N59" s="44">
        <f t="shared" si="18"/>
        <v>0.8134721273260721</v>
      </c>
      <c r="O59" s="44">
        <f t="shared" si="18"/>
        <v>0.84562533032239473</v>
      </c>
      <c r="P59" s="44">
        <f t="shared" si="18"/>
        <v>0.84562533032239462</v>
      </c>
      <c r="Q59" s="44">
        <f t="shared" si="18"/>
        <v>0.85083088100440196</v>
      </c>
      <c r="R59" s="44">
        <f t="shared" si="18"/>
        <v>0.86561671815181795</v>
      </c>
      <c r="S59" s="44" t="str">
        <f t="shared" si="18"/>
        <v/>
      </c>
      <c r="T59" s="44" t="str">
        <f t="shared" si="18"/>
        <v/>
      </c>
      <c r="U59" s="44" t="str">
        <f t="shared" si="18"/>
        <v/>
      </c>
      <c r="V59" s="44" t="str">
        <f t="shared" si="18"/>
        <v/>
      </c>
      <c r="W59" s="44" t="str">
        <f t="shared" si="18"/>
        <v/>
      </c>
      <c r="X59" s="35"/>
    </row>
    <row r="60" spans="2:24" x14ac:dyDescent="0.25">
      <c r="K60" s="49"/>
      <c r="L60" s="35"/>
      <c r="M60" s="35"/>
      <c r="N60" s="35"/>
      <c r="O60" s="35"/>
      <c r="P60" s="35"/>
      <c r="Q60" s="35"/>
      <c r="R60" s="35"/>
      <c r="S60" s="35"/>
      <c r="T60" s="35"/>
      <c r="U60" s="35"/>
      <c r="V60" s="35"/>
      <c r="W60" s="35"/>
      <c r="X60" s="35"/>
    </row>
    <row r="61" spans="2:24" ht="15.75" thickBot="1" x14ac:dyDescent="0.3">
      <c r="B61" s="7" t="s">
        <v>45</v>
      </c>
      <c r="K61" s="49"/>
      <c r="L61" s="35"/>
      <c r="M61" s="35"/>
      <c r="N61" s="35"/>
      <c r="O61" s="35"/>
      <c r="P61" s="35"/>
      <c r="Q61" s="35"/>
      <c r="R61" s="35"/>
      <c r="S61" s="35"/>
      <c r="T61" s="35"/>
      <c r="U61" s="35"/>
      <c r="V61" s="35"/>
      <c r="W61" s="35"/>
      <c r="X61" s="35"/>
    </row>
    <row r="62" spans="2:24" x14ac:dyDescent="0.25">
      <c r="B62" s="3"/>
      <c r="K62" s="49"/>
      <c r="L62" s="35"/>
      <c r="M62" s="35"/>
      <c r="N62" s="35"/>
      <c r="O62" s="35"/>
      <c r="P62" s="35"/>
      <c r="Q62" s="35"/>
      <c r="R62" s="35"/>
      <c r="S62" s="35"/>
      <c r="T62" s="35"/>
      <c r="U62" s="35"/>
      <c r="V62" s="35"/>
      <c r="W62" s="35"/>
      <c r="X62" s="35"/>
    </row>
    <row r="63" spans="2:24" x14ac:dyDescent="0.25">
      <c r="B63" s="3" t="s">
        <v>3</v>
      </c>
      <c r="K63" s="49"/>
      <c r="L63" s="35"/>
      <c r="M63" s="35"/>
      <c r="N63" s="35"/>
      <c r="O63" s="35"/>
      <c r="P63" s="35"/>
      <c r="Q63" s="35"/>
      <c r="R63" s="35"/>
      <c r="S63" s="35"/>
      <c r="T63" s="35"/>
      <c r="U63" s="35"/>
      <c r="V63" s="35"/>
      <c r="W63" s="35"/>
      <c r="X63" s="35"/>
    </row>
    <row r="64" spans="2:24" x14ac:dyDescent="0.25">
      <c r="B64" t="s">
        <v>80</v>
      </c>
      <c r="C64" t="s">
        <v>79</v>
      </c>
      <c r="E64" s="13">
        <f>E65/E30</f>
        <v>101.26964651072987</v>
      </c>
      <c r="F64" s="13">
        <f t="shared" ref="F64:I64" si="19">F65/F30</f>
        <v>130.12226340370373</v>
      </c>
      <c r="G64" s="13">
        <f t="shared" si="19"/>
        <v>130.77885246510706</v>
      </c>
      <c r="H64" s="13">
        <f t="shared" si="19"/>
        <v>117.37947784549972</v>
      </c>
      <c r="I64" s="13">
        <f t="shared" si="19"/>
        <v>145.63598846399827</v>
      </c>
      <c r="J64" s="13">
        <f>J65/J30</f>
        <v>155.04725785902639</v>
      </c>
      <c r="K64" s="46">
        <f>AVERAGEIF(L64:W64,"&gt;0")</f>
        <v>162.01153768988848</v>
      </c>
      <c r="L64" s="40">
        <f>J64*1.02</f>
        <v>158.14820301620691</v>
      </c>
      <c r="M64" s="40">
        <f>L64*1.02</f>
        <v>161.31116707653104</v>
      </c>
      <c r="N64" s="40">
        <f>M64*1.01</f>
        <v>162.92427874729634</v>
      </c>
      <c r="O64" s="40">
        <f>N64</f>
        <v>162.92427874729634</v>
      </c>
      <c r="P64" s="40">
        <f>IF(AND(P29*275&lt;=SUM(P18:P26),P30&gt;0),$O$64,IF(AND(P29*275&gt;SUM(P18:P26),P30&gt;0,SUM(P18:P26)&gt;=0.5*P29*275),$O$64,IF(AND(P29*275&gt;SUM(P18:P26),P30&gt;0,SUM(P18:P26)&lt;0.5*P29*275),$O$64*1.2,IF(P30=0,0))))</f>
        <v>162.92427874729634</v>
      </c>
      <c r="Q64" s="40">
        <f>IF(AND(Q29*366&lt;=SUM(Q18:Q26),Q30&gt;0),$O$64,IF(AND(Q29*366&gt;SUM(Q18:Q26),Q30&gt;0,SUM(Q18:Q26)&gt;=0.5*Q29*366),$O$64,IF(AND(Q29*366&gt;SUM(Q18:Q26),Q30&gt;0,SUM(Q18:Q26)&lt;0.5*Q29*366),$O$64*1.2,IF(Q30=0,0))))</f>
        <v>162.92427874729634</v>
      </c>
      <c r="R64" s="40">
        <f>IF(AND(R29*365&lt;=SUM(R18:R26),R30&gt;0),$O$64,IF(AND(R29*365&gt;SUM(R18:R26),R30&gt;0,SUM(R18:R26)&gt;=0.5*R29*365),$O$64,IF(AND(R29*365&gt;SUM(R18:R26),R30&gt;0,SUM(R18:R26)&lt;0.5*R29*365),$O$64*1.2,IF(R30=0,0))))</f>
        <v>162.92427874729634</v>
      </c>
      <c r="S64" s="40">
        <f>IF(AND(S29*365&lt;=SUM(S18:S26),S30&gt;0),$O$64,IF(AND(S29*365&gt;SUM(S18:S26),S30&gt;0,SUM(S18:S26)&gt;=0.5*S29*365),$O$64,IF(AND(S29*365&gt;SUM(S18:S26),S30&gt;0,SUM(S18:S26)&lt;0.5*S29*365),$O$64*1.2,IF(S30=0,0))))</f>
        <v>0</v>
      </c>
      <c r="T64" s="40">
        <f t="shared" ref="T64:W64" si="20">IF(AND(T29*365&lt;=SUM(T18:T26),T30&gt;0),$O$64,IF(AND(T29*365&gt;SUM(T18:T26),T30&gt;0,SUM(T18:T26)&gt;=0.5*T29*365),$O$64,IF(AND(T29*365&gt;SUM(T18:T26),T30&gt;0,SUM(T18:T26)&lt;0.5*T29*365),$O$64*1.2,IF(T30=0,0))))</f>
        <v>0</v>
      </c>
      <c r="U64" s="40">
        <f>IF(AND(U29*366&lt;=SUM(U18:U26),U30&gt;0),$O$64,IF(AND(U29*366&gt;SUM(U18:U26),U30&gt;0,SUM(U18:U26)&gt;=0.5*U29*366),$O$64,IF(AND(U29*366&gt;SUM(U18:U26),U30&gt;0,SUM(U18:U26)&lt;0.5*U29*366),$O$64*1.2,IF(U30=0,0))))</f>
        <v>0</v>
      </c>
      <c r="V64" s="40">
        <f t="shared" si="20"/>
        <v>0</v>
      </c>
      <c r="W64" s="40">
        <f t="shared" si="20"/>
        <v>0</v>
      </c>
      <c r="X64" s="35"/>
    </row>
    <row r="65" spans="2:24" x14ac:dyDescent="0.25">
      <c r="B65" t="s">
        <v>81</v>
      </c>
      <c r="C65" t="s">
        <v>44</v>
      </c>
      <c r="E65" s="10">
        <v>32519000</v>
      </c>
      <c r="F65" s="10">
        <v>39953000</v>
      </c>
      <c r="G65" s="10">
        <v>42240000</v>
      </c>
      <c r="H65" s="10">
        <v>40693000</v>
      </c>
      <c r="I65" s="10">
        <v>60345000</v>
      </c>
      <c r="J65" s="10">
        <f>15699000</f>
        <v>15699000</v>
      </c>
      <c r="K65" s="47">
        <f>SUM(L65:W65)</f>
        <v>254069283.72247347</v>
      </c>
      <c r="L65" s="36">
        <f>L64*L30</f>
        <v>16550209.445646053</v>
      </c>
      <c r="M65" s="36">
        <f>M64*M30</f>
        <v>17066721.476696983</v>
      </c>
      <c r="N65" s="36">
        <f t="shared" ref="N65:W65" si="21">N64*N30</f>
        <v>17237388.691463955</v>
      </c>
      <c r="O65" s="36">
        <f t="shared" si="21"/>
        <v>16862662.850345172</v>
      </c>
      <c r="P65" s="36">
        <f t="shared" si="21"/>
        <v>51524803.153832465</v>
      </c>
      <c r="Q65" s="36">
        <f t="shared" si="21"/>
        <v>68574828.924737036</v>
      </c>
      <c r="R65" s="36">
        <f t="shared" si="21"/>
        <v>66252669.179751813</v>
      </c>
      <c r="S65" s="36">
        <f t="shared" si="21"/>
        <v>0</v>
      </c>
      <c r="T65" s="36">
        <f t="shared" si="21"/>
        <v>0</v>
      </c>
      <c r="U65" s="36">
        <f t="shared" si="21"/>
        <v>0</v>
      </c>
      <c r="V65" s="36">
        <f t="shared" si="21"/>
        <v>0</v>
      </c>
      <c r="W65" s="36">
        <f t="shared" si="21"/>
        <v>0</v>
      </c>
      <c r="X65" s="35"/>
    </row>
    <row r="66" spans="2:24" x14ac:dyDescent="0.25">
      <c r="B66" s="22" t="s">
        <v>82</v>
      </c>
      <c r="C66" t="s">
        <v>20</v>
      </c>
      <c r="E66" s="14">
        <f>E65/(E51+E52*E15/E14)</f>
        <v>13.452143181562079</v>
      </c>
      <c r="F66" s="14">
        <f t="shared" ref="F66:I66" si="22">F65/(F51+F52*F15/F14)</f>
        <v>16.757197124206076</v>
      </c>
      <c r="G66" s="14">
        <f t="shared" si="22"/>
        <v>15.487830218583101</v>
      </c>
      <c r="H66" s="14">
        <f t="shared" si="22"/>
        <v>10.438592348395549</v>
      </c>
      <c r="I66" s="14">
        <f t="shared" si="22"/>
        <v>11.466095275752947</v>
      </c>
      <c r="J66" s="14">
        <f>J65/(J51+J52*J15/J14)</f>
        <v>11.129344139970508</v>
      </c>
      <c r="K66" s="45">
        <f>AVERAGE(L66:W66)</f>
        <v>12.773734850846008</v>
      </c>
      <c r="L66" s="41">
        <f>IF(OR(L51&gt;0,L52&gt;0),L65/(L51+L52*L15/L14),"")</f>
        <v>12.548669136019809</v>
      </c>
      <c r="M66" s="41">
        <f t="shared" ref="M66:V66" si="23">IF(OR(M51&gt;0,M52&gt;0),M65/(M51+M52*M15/M14),"")</f>
        <v>12.869788695160924</v>
      </c>
      <c r="N66" s="41">
        <f t="shared" si="23"/>
        <v>13.051399716252964</v>
      </c>
      <c r="O66" s="41">
        <f t="shared" si="23"/>
        <v>12.210541016633874</v>
      </c>
      <c r="P66" s="41">
        <f t="shared" si="23"/>
        <v>12.210541016633872</v>
      </c>
      <c r="Q66" s="41">
        <f t="shared" si="23"/>
        <v>11.566542367576359</v>
      </c>
      <c r="R66" s="41">
        <f t="shared" si="23"/>
        <v>14.95866200764425</v>
      </c>
      <c r="S66" s="41" t="str">
        <f t="shared" si="23"/>
        <v/>
      </c>
      <c r="T66" s="41" t="str">
        <f t="shared" si="23"/>
        <v/>
      </c>
      <c r="U66" s="41" t="str">
        <f t="shared" si="23"/>
        <v/>
      </c>
      <c r="V66" s="41" t="str">
        <f t="shared" si="23"/>
        <v/>
      </c>
      <c r="W66" s="35"/>
      <c r="X66" s="35"/>
    </row>
    <row r="67" spans="2:24" x14ac:dyDescent="0.25">
      <c r="B67" s="22"/>
      <c r="K67" s="49"/>
      <c r="L67" s="36"/>
      <c r="M67" s="36"/>
      <c r="N67" s="36"/>
      <c r="O67" s="36"/>
      <c r="P67" s="36"/>
      <c r="Q67" s="36"/>
      <c r="R67" s="35"/>
      <c r="S67" s="35"/>
      <c r="T67" s="35"/>
      <c r="U67" s="35"/>
      <c r="V67" s="35"/>
      <c r="W67" s="35"/>
      <c r="X67" s="35"/>
    </row>
    <row r="68" spans="2:24" x14ac:dyDescent="0.25">
      <c r="B68" s="22" t="s">
        <v>142</v>
      </c>
      <c r="C68" t="s">
        <v>44</v>
      </c>
      <c r="E68" s="10">
        <v>1423000</v>
      </c>
      <c r="F68" s="10">
        <v>1536000</v>
      </c>
      <c r="G68" s="10">
        <v>2643000</v>
      </c>
      <c r="H68" s="10">
        <v>5961000</v>
      </c>
      <c r="I68" s="10">
        <v>4564000</v>
      </c>
      <c r="J68" s="10">
        <v>2067000</v>
      </c>
      <c r="K68" s="47">
        <f>SUM(L68:W68)</f>
        <v>23085333.333333332</v>
      </c>
      <c r="L68" s="36">
        <f>SUM(H68:J68)/9*1.1</f>
        <v>1539022.2222222222</v>
      </c>
      <c r="M68" s="36">
        <f>L68</f>
        <v>1539022.2222222222</v>
      </c>
      <c r="N68" s="36">
        <f>M68</f>
        <v>1539022.2222222222</v>
      </c>
      <c r="O68" s="36">
        <f>N68</f>
        <v>1539022.2222222222</v>
      </c>
      <c r="P68" s="36">
        <f>IF(P30&gt;0,SUM($H$68:$J$68)/9*1.1*3,0)</f>
        <v>4617066.666666667</v>
      </c>
      <c r="Q68" s="36">
        <f t="shared" ref="Q68:W68" si="24">IF(Q30&gt;0,SUM($H$68:$J$68)/9*1.1*4,0)</f>
        <v>6156088.888888889</v>
      </c>
      <c r="R68" s="36">
        <f t="shared" si="24"/>
        <v>6156088.888888889</v>
      </c>
      <c r="S68" s="36">
        <f t="shared" si="24"/>
        <v>0</v>
      </c>
      <c r="T68" s="36">
        <f t="shared" si="24"/>
        <v>0</v>
      </c>
      <c r="U68" s="36">
        <f t="shared" si="24"/>
        <v>0</v>
      </c>
      <c r="V68" s="36">
        <f t="shared" si="24"/>
        <v>0</v>
      </c>
      <c r="W68" s="36">
        <f t="shared" si="24"/>
        <v>0</v>
      </c>
      <c r="X68" s="35"/>
    </row>
    <row r="69" spans="2:24" x14ac:dyDescent="0.25">
      <c r="B69" t="s">
        <v>94</v>
      </c>
      <c r="C69" t="s">
        <v>44</v>
      </c>
      <c r="E69" s="10">
        <v>272000</v>
      </c>
      <c r="F69" s="10">
        <v>711000</v>
      </c>
      <c r="G69" s="10">
        <v>830000</v>
      </c>
      <c r="H69" s="10">
        <v>839000</v>
      </c>
      <c r="I69" s="10">
        <v>1611000</v>
      </c>
      <c r="J69" s="10">
        <v>352000</v>
      </c>
      <c r="K69" s="47">
        <f t="shared" ref="K69:K71" si="25">SUM(L69:W69)</f>
        <v>7448000</v>
      </c>
      <c r="L69" s="36">
        <f>(1800000-$J$69)/3</f>
        <v>482666.66666666669</v>
      </c>
      <c r="M69" s="36">
        <f t="shared" ref="M69:N69" si="26">(1800000-$J$69)/3</f>
        <v>482666.66666666669</v>
      </c>
      <c r="N69" s="36">
        <f t="shared" si="26"/>
        <v>482666.66666666669</v>
      </c>
      <c r="O69" s="36">
        <v>500000</v>
      </c>
      <c r="P69" s="36">
        <f>IF(P30&gt;0,1500000,0)</f>
        <v>1500000</v>
      </c>
      <c r="Q69" s="36">
        <f>IF(Q30&gt;0,2000000,0)</f>
        <v>2000000</v>
      </c>
      <c r="R69" s="36">
        <f t="shared" ref="R69:V69" si="27">IF(R30&gt;0,2000000,0)</f>
        <v>2000000</v>
      </c>
      <c r="S69" s="36">
        <f t="shared" si="27"/>
        <v>0</v>
      </c>
      <c r="T69" s="36">
        <f t="shared" si="27"/>
        <v>0</v>
      </c>
      <c r="U69" s="36">
        <f t="shared" si="27"/>
        <v>0</v>
      </c>
      <c r="V69" s="36">
        <f t="shared" si="27"/>
        <v>0</v>
      </c>
      <c r="W69" s="36">
        <f t="shared" ref="W69" si="28">IF(W30&gt;0,2000000,0)</f>
        <v>0</v>
      </c>
      <c r="X69" s="35"/>
    </row>
    <row r="70" spans="2:24" x14ac:dyDescent="0.25">
      <c r="B70" s="22" t="s">
        <v>84</v>
      </c>
      <c r="C70" t="s">
        <v>44</v>
      </c>
      <c r="E70" s="10">
        <v>587000</v>
      </c>
      <c r="F70" s="10">
        <v>510000</v>
      </c>
      <c r="G70" s="10">
        <v>972000</v>
      </c>
      <c r="H70" s="10">
        <v>2550000</v>
      </c>
      <c r="I70" s="10">
        <v>3441000</v>
      </c>
      <c r="J70" s="10">
        <v>1254000</v>
      </c>
      <c r="K70" s="47">
        <f t="shared" si="25"/>
        <v>13655000</v>
      </c>
      <c r="L70" s="36">
        <f>1000000</f>
        <v>1000000</v>
      </c>
      <c r="M70" s="36">
        <f>900000</f>
        <v>900000</v>
      </c>
      <c r="N70" s="36">
        <f>900000</f>
        <v>900000</v>
      </c>
      <c r="O70" s="36">
        <f>900000</f>
        <v>900000</v>
      </c>
      <c r="P70" s="36">
        <f>IF(P30&gt;0,(SUM($H$70:$J$70)/9+100000)*3,0)</f>
        <v>2715000</v>
      </c>
      <c r="Q70" s="36">
        <f>IF(Q30&gt;0,(SUM($H$70:$J$70)/9+100000)*4,0)</f>
        <v>3620000</v>
      </c>
      <c r="R70" s="36">
        <f t="shared" ref="R70:V70" si="29">IF(R30&gt;0,(SUM($H$70:$J$70)/9+100000)*4,0)</f>
        <v>3620000</v>
      </c>
      <c r="S70" s="36">
        <f t="shared" si="29"/>
        <v>0</v>
      </c>
      <c r="T70" s="36">
        <f t="shared" si="29"/>
        <v>0</v>
      </c>
      <c r="U70" s="36">
        <f t="shared" si="29"/>
        <v>0</v>
      </c>
      <c r="V70" s="36">
        <f t="shared" si="29"/>
        <v>0</v>
      </c>
      <c r="W70" s="36">
        <f t="shared" ref="W70" si="30">IF(W30&gt;0,(SUM($H$70:$J$70)/9+100000)*4,0)</f>
        <v>0</v>
      </c>
      <c r="X70" s="35"/>
    </row>
    <row r="71" spans="2:24" x14ac:dyDescent="0.25">
      <c r="B71" s="22" t="s">
        <v>85</v>
      </c>
      <c r="C71" t="s">
        <v>44</v>
      </c>
      <c r="E71" s="10">
        <v>13365000</v>
      </c>
      <c r="F71" s="10">
        <v>23117000</v>
      </c>
      <c r="G71" s="10">
        <v>14096000</v>
      </c>
      <c r="H71" s="10">
        <v>8785000</v>
      </c>
      <c r="I71" s="10">
        <v>7943000</v>
      </c>
      <c r="J71" s="10">
        <v>3910000</v>
      </c>
      <c r="K71" s="47">
        <f t="shared" si="25"/>
        <v>57509729.180852741</v>
      </c>
      <c r="L71" s="36">
        <f>AVERAGE(E71/E86,F71/F86,G71/G86,H71/H86,I71/I86,J71/J86)*L86</f>
        <v>4644247.0452131862</v>
      </c>
      <c r="M71" s="36">
        <f>L71</f>
        <v>4644247.0452131862</v>
      </c>
      <c r="N71" s="36">
        <f t="shared" ref="N71:O71" si="31">M71</f>
        <v>4644247.0452131862</v>
      </c>
      <c r="O71" s="36">
        <f t="shared" si="31"/>
        <v>4644247.0452131862</v>
      </c>
      <c r="P71" s="36">
        <f>IF(Auxiliary!E3=3,4644247*3,IF(Auxiliary!E3=2,4644247*3*1.25,IF(Auxiliary!E3&gt;=4,4644247*3)))</f>
        <v>13932741</v>
      </c>
      <c r="Q71" s="36">
        <f>IF(Auxiliary!E4=2,15000000,IF(Auxiliary!E4=1,10000000,IF(Auxiliary!E4=3,17000000,IF(Auxiliary!E4&gt;=4,18000000))))</f>
        <v>15000000</v>
      </c>
      <c r="R71" s="36">
        <f>IF(Auxiliary!E5=1,10000000,IF(Auxiliary!E5=0,0,IF(Auxiliary!E5=2,15000000,IF(Auxiliary!E5=3,14000000,IF(Auxiliary!E5&gt;=4,18000000)))))</f>
        <v>10000000</v>
      </c>
      <c r="S71" s="36">
        <f>IF(Auxiliary!E6=1,5000000,IF(Auxiliary!E6=0,0,IF(Auxiliary!E6=2,15000000,IF(Auxiliary!E6=3,14000000,IF(Auxiliary!E6&gt;=4,18000000)))))</f>
        <v>0</v>
      </c>
      <c r="T71" s="36">
        <f>IF(Auxiliary!E7=1,5000000,IF(Auxiliary!E7=0,0,IF(Auxiliary!E7=2,15000000,IF(Auxiliary!E7=3,14000000,IF(Auxiliary!E7&gt;=4,18000000)))))</f>
        <v>0</v>
      </c>
      <c r="U71" s="36">
        <f>IF(Auxiliary!E8=1,10000000,IF(Auxiliary!E8=0,0,IF(Auxiliary!E8=2,15000000,IF(Auxiliary!E8=3,14000000,IF(Auxiliary!E8&gt;=4,18000000)))))</f>
        <v>0</v>
      </c>
      <c r="V71" s="36">
        <f>IF(Auxiliary!E9=1,10000000,IF(Auxiliary!E9=0,0,IF(Auxiliary!E9=2,15000000,IF(Auxiliary!E9=3,14000000,IF(Auxiliary!E9&gt;=4,18000000)))))</f>
        <v>0</v>
      </c>
      <c r="W71" s="36">
        <f>IF(Auxiliary!F9=1,10000000,IF(Auxiliary!F9=0,0,IF(Auxiliary!F9=2,15000000,IF(Auxiliary!F9=3,14000000,IF(Auxiliary!F9&gt;=4,18000000)))))</f>
        <v>0</v>
      </c>
      <c r="X71" s="35"/>
    </row>
    <row r="72" spans="2:24" x14ac:dyDescent="0.25">
      <c r="K72" s="49"/>
      <c r="L72" s="36"/>
      <c r="M72" s="36"/>
      <c r="N72" s="36"/>
      <c r="O72" s="36"/>
      <c r="P72" s="36"/>
      <c r="Q72" s="36"/>
      <c r="R72" s="35"/>
      <c r="S72" s="35"/>
      <c r="T72" s="35"/>
      <c r="U72" s="35"/>
      <c r="V72" s="35"/>
      <c r="W72" s="35"/>
      <c r="X72" s="35"/>
    </row>
    <row r="73" spans="2:24" x14ac:dyDescent="0.25">
      <c r="B73" s="22" t="s">
        <v>46</v>
      </c>
      <c r="C73" s="22" t="s">
        <v>44</v>
      </c>
      <c r="E73" s="10">
        <f t="shared" ref="E73:J73" si="32">E65+SUM(E68:E71)</f>
        <v>48166000</v>
      </c>
      <c r="F73" s="10">
        <f>F65+SUM(F68:F71)</f>
        <v>65827000</v>
      </c>
      <c r="G73" s="10">
        <f t="shared" si="32"/>
        <v>60781000</v>
      </c>
      <c r="H73" s="10">
        <f t="shared" si="32"/>
        <v>58828000</v>
      </c>
      <c r="I73" s="10">
        <f t="shared" si="32"/>
        <v>77904000</v>
      </c>
      <c r="J73" s="10">
        <f t="shared" si="32"/>
        <v>23282000</v>
      </c>
      <c r="K73" s="47">
        <f>SUM(L73:W73)</f>
        <v>355767346.23665959</v>
      </c>
      <c r="L73" s="36">
        <f>L65+SUM(L68:L71)</f>
        <v>24216145.379748128</v>
      </c>
      <c r="M73" s="36">
        <f t="shared" ref="M73:W73" si="33">M65+SUM(M68:M71)</f>
        <v>24632657.410799056</v>
      </c>
      <c r="N73" s="36">
        <f t="shared" si="33"/>
        <v>24803324.625566028</v>
      </c>
      <c r="O73" s="36">
        <f t="shared" si="33"/>
        <v>24445932.117780581</v>
      </c>
      <c r="P73" s="36">
        <f t="shared" si="33"/>
        <v>74289610.820499137</v>
      </c>
      <c r="Q73" s="36">
        <f t="shared" si="33"/>
        <v>95350917.813625932</v>
      </c>
      <c r="R73" s="36">
        <f t="shared" si="33"/>
        <v>88028758.068640709</v>
      </c>
      <c r="S73" s="36">
        <f t="shared" si="33"/>
        <v>0</v>
      </c>
      <c r="T73" s="36">
        <f t="shared" si="33"/>
        <v>0</v>
      </c>
      <c r="U73" s="36">
        <f t="shared" si="33"/>
        <v>0</v>
      </c>
      <c r="V73" s="36">
        <f t="shared" si="33"/>
        <v>0</v>
      </c>
      <c r="W73" s="36">
        <f t="shared" si="33"/>
        <v>0</v>
      </c>
      <c r="X73" s="35"/>
    </row>
    <row r="74" spans="2:24" x14ac:dyDescent="0.25">
      <c r="B74" s="3"/>
      <c r="C74" s="3"/>
      <c r="K74" s="49"/>
      <c r="L74" s="36"/>
      <c r="M74" s="36"/>
      <c r="N74" s="36"/>
      <c r="O74" s="36"/>
      <c r="P74" s="36"/>
      <c r="Q74" s="36"/>
      <c r="R74" s="35"/>
      <c r="S74" s="35"/>
      <c r="T74" s="35"/>
      <c r="U74" s="35"/>
      <c r="V74" s="35"/>
      <c r="W74" s="35"/>
      <c r="X74" s="35"/>
    </row>
    <row r="75" spans="2:24" ht="15.75" thickBot="1" x14ac:dyDescent="0.3">
      <c r="B75" s="7" t="s">
        <v>86</v>
      </c>
      <c r="C75" s="3"/>
      <c r="K75" s="49"/>
      <c r="L75" s="35"/>
      <c r="M75" s="36"/>
      <c r="N75" s="36"/>
      <c r="O75" s="36"/>
      <c r="P75" s="36"/>
      <c r="Q75" s="36"/>
      <c r="R75" s="35"/>
      <c r="S75" s="35"/>
      <c r="T75" s="35"/>
      <c r="U75" s="35"/>
      <c r="V75" s="35"/>
      <c r="W75" s="35"/>
      <c r="X75" s="35"/>
    </row>
    <row r="76" spans="2:24" x14ac:dyDescent="0.25">
      <c r="B76" s="24" t="s">
        <v>92</v>
      </c>
      <c r="C76" s="22" t="s">
        <v>44</v>
      </c>
      <c r="K76" s="47">
        <f>SUM(L76:W76)</f>
        <v>63127629.153478712</v>
      </c>
      <c r="L76" s="36">
        <f>IF(L14&lt;=15,4%,IF(AND(L14&gt;15,L14&lt;=20),9%,IF(AND(L14&gt;20,L14&lt;=25),13%,IF(L14&gt;25,16%))))*0.7*L57 + 12*L30</f>
        <v>3896201.061741014</v>
      </c>
      <c r="M76" s="36">
        <f t="shared" ref="M76:W76" si="34">IF(M14&lt;=15,4%,IF(AND(M14&gt;15,M14&lt;=20),9%,IF(AND(M14&gt;20,M14&lt;=25),13%,IF(M14&gt;25,16%))))*0.7*M57 + 12*M30</f>
        <v>3924466.9294931358</v>
      </c>
      <c r="N76" s="36">
        <f t="shared" si="34"/>
        <v>4033890.0620311359</v>
      </c>
      <c r="O76" s="36">
        <f t="shared" si="34"/>
        <v>4383757.4317366993</v>
      </c>
      <c r="P76" s="36">
        <f t="shared" si="34"/>
        <v>13394814.374751028</v>
      </c>
      <c r="Q76" s="36">
        <f t="shared" si="34"/>
        <v>18538645.446457863</v>
      </c>
      <c r="R76" s="36">
        <f t="shared" si="34"/>
        <v>14955853.847267838</v>
      </c>
      <c r="S76" s="36">
        <f t="shared" si="34"/>
        <v>0</v>
      </c>
      <c r="T76" s="36">
        <f t="shared" si="34"/>
        <v>0</v>
      </c>
      <c r="U76" s="36">
        <f t="shared" si="34"/>
        <v>0</v>
      </c>
      <c r="V76" s="36">
        <f t="shared" si="34"/>
        <v>0</v>
      </c>
      <c r="W76" s="36">
        <f t="shared" si="34"/>
        <v>0</v>
      </c>
      <c r="X76" s="35"/>
    </row>
    <row r="77" spans="2:24" x14ac:dyDescent="0.25">
      <c r="B77" s="24" t="s">
        <v>150</v>
      </c>
      <c r="C77" s="22" t="s">
        <v>44</v>
      </c>
      <c r="D77" s="15"/>
      <c r="H77" s="10">
        <v>1635000</v>
      </c>
      <c r="I77" s="10">
        <v>2674000</v>
      </c>
      <c r="J77" s="10">
        <v>731000</v>
      </c>
      <c r="K77" s="47">
        <f>SUM(L77:W77)</f>
        <v>14195292.858296946</v>
      </c>
      <c r="L77" s="36">
        <f>7.5%*(L57-L73+L71)</f>
        <v>708262.34612500085</v>
      </c>
      <c r="M77" s="36">
        <f t="shared" ref="M77:V77" si="35">7.5%*(M57-M73+M71)</f>
        <v>688946.36227320472</v>
      </c>
      <c r="N77" s="36">
        <f t="shared" si="35"/>
        <v>766330.22160908836</v>
      </c>
      <c r="O77" s="36">
        <f t="shared" si="35"/>
        <v>1104234.1402195601</v>
      </c>
      <c r="P77" s="36">
        <f t="shared" si="35"/>
        <v>3385169.6877079164</v>
      </c>
      <c r="Q77" s="36">
        <f t="shared" si="35"/>
        <v>5090037.3011686029</v>
      </c>
      <c r="R77" s="36">
        <f t="shared" si="35"/>
        <v>2452312.7991935713</v>
      </c>
      <c r="S77" s="36">
        <f t="shared" si="35"/>
        <v>0</v>
      </c>
      <c r="T77" s="36">
        <f t="shared" si="35"/>
        <v>0</v>
      </c>
      <c r="U77" s="36">
        <f t="shared" si="35"/>
        <v>0</v>
      </c>
      <c r="V77" s="36">
        <f t="shared" si="35"/>
        <v>0</v>
      </c>
      <c r="W77" s="36">
        <f t="shared" ref="W77" si="36">7.5%*(W57-W73+W71)</f>
        <v>0</v>
      </c>
      <c r="X77" s="35"/>
    </row>
    <row r="78" spans="2:24" x14ac:dyDescent="0.25">
      <c r="B78" s="24" t="s">
        <v>151</v>
      </c>
      <c r="C78" s="22" t="s">
        <v>44</v>
      </c>
      <c r="D78" s="15"/>
      <c r="K78" s="47">
        <f>SUM(L78:W78)</f>
        <v>2437640.9424988306</v>
      </c>
      <c r="L78" s="36">
        <f t="shared" ref="L78:V78" si="37">0.5%*L57</f>
        <v>145076.98141434146</v>
      </c>
      <c r="M78" s="36">
        <f t="shared" si="37"/>
        <v>145871.80931280967</v>
      </c>
      <c r="N78" s="36">
        <f t="shared" si="37"/>
        <v>151884.06934237012</v>
      </c>
      <c r="O78" s="36">
        <f t="shared" si="37"/>
        <v>172624.03471080767</v>
      </c>
      <c r="P78" s="36">
        <f t="shared" si="37"/>
        <v>527462.32828302344</v>
      </c>
      <c r="Q78" s="36">
        <f t="shared" si="37"/>
        <v>741090.40914603649</v>
      </c>
      <c r="R78" s="36">
        <f t="shared" si="37"/>
        <v>553631.31028944161</v>
      </c>
      <c r="S78" s="36">
        <f t="shared" si="37"/>
        <v>0</v>
      </c>
      <c r="T78" s="36">
        <f t="shared" si="37"/>
        <v>0</v>
      </c>
      <c r="U78" s="36">
        <f t="shared" si="37"/>
        <v>0</v>
      </c>
      <c r="V78" s="36">
        <f t="shared" si="37"/>
        <v>0</v>
      </c>
      <c r="W78" s="36">
        <f t="shared" ref="W78" si="38">0.5%*W57</f>
        <v>0</v>
      </c>
      <c r="X78" s="35"/>
    </row>
    <row r="79" spans="2:24" x14ac:dyDescent="0.25">
      <c r="B79" s="24"/>
      <c r="C79" s="22"/>
      <c r="D79" s="15"/>
      <c r="K79" s="49"/>
      <c r="L79" s="36"/>
      <c r="M79" s="36"/>
      <c r="N79" s="36"/>
      <c r="O79" s="36"/>
      <c r="P79" s="36"/>
      <c r="Q79" s="36"/>
      <c r="R79" s="36"/>
      <c r="S79" s="36"/>
      <c r="T79" s="36"/>
      <c r="U79" s="36"/>
      <c r="V79" s="36"/>
      <c r="W79" s="35"/>
      <c r="X79" s="35"/>
    </row>
    <row r="80" spans="2:24" ht="15.75" thickBot="1" x14ac:dyDescent="0.3">
      <c r="B80" s="7" t="s">
        <v>88</v>
      </c>
      <c r="C80" s="3"/>
      <c r="K80" s="49"/>
      <c r="L80" s="36"/>
      <c r="M80" s="36"/>
      <c r="N80" s="36"/>
      <c r="O80" s="36"/>
      <c r="P80" s="36"/>
      <c r="Q80" s="36"/>
      <c r="R80" s="35"/>
      <c r="S80" s="35"/>
      <c r="T80" s="35"/>
      <c r="U80" s="35"/>
      <c r="V80" s="35"/>
      <c r="W80" s="35"/>
      <c r="X80" s="35"/>
    </row>
    <row r="81" spans="2:24" x14ac:dyDescent="0.25">
      <c r="B81" s="23" t="s">
        <v>49</v>
      </c>
      <c r="C81" s="22" t="s">
        <v>44</v>
      </c>
      <c r="E81" s="10">
        <v>-4875000</v>
      </c>
      <c r="F81" s="10">
        <v>-27296000</v>
      </c>
      <c r="G81" s="10">
        <v>-12833000</v>
      </c>
      <c r="H81" s="10">
        <v>27650000</v>
      </c>
      <c r="I81" s="10">
        <v>34904000</v>
      </c>
      <c r="J81" s="10">
        <v>16558000</v>
      </c>
      <c r="K81" s="47">
        <f>SUM(L81:W81)</f>
        <v>52000279.308832034</v>
      </c>
      <c r="L81" s="36">
        <f t="shared" ref="L81:W81" si="39">L57-L73-SUM(L76:L78)</f>
        <v>49710.513839803636</v>
      </c>
      <c r="M81" s="36">
        <f t="shared" si="39"/>
        <v>-217580.6493162727</v>
      </c>
      <c r="N81" s="36">
        <f t="shared" si="39"/>
        <v>621384.88992539886</v>
      </c>
      <c r="O81" s="36">
        <f t="shared" si="39"/>
        <v>4418259.2177138822</v>
      </c>
      <c r="P81" s="36">
        <f t="shared" si="39"/>
        <v>13895408.445363589</v>
      </c>
      <c r="Q81" s="36">
        <f t="shared" si="39"/>
        <v>28497390.858808868</v>
      </c>
      <c r="R81" s="36">
        <f t="shared" si="39"/>
        <v>4735706.032496769</v>
      </c>
      <c r="S81" s="36">
        <f t="shared" si="39"/>
        <v>0</v>
      </c>
      <c r="T81" s="36">
        <f t="shared" si="39"/>
        <v>0</v>
      </c>
      <c r="U81" s="36">
        <f t="shared" si="39"/>
        <v>0</v>
      </c>
      <c r="V81" s="36">
        <f t="shared" si="39"/>
        <v>0</v>
      </c>
      <c r="W81" s="36">
        <f t="shared" si="39"/>
        <v>0</v>
      </c>
      <c r="X81" s="35"/>
    </row>
    <row r="82" spans="2:24" x14ac:dyDescent="0.25">
      <c r="B82" s="23" t="s">
        <v>145</v>
      </c>
      <c r="C82" s="22" t="s">
        <v>22</v>
      </c>
      <c r="E82" s="16"/>
      <c r="F82" s="16"/>
      <c r="G82" s="16"/>
      <c r="H82" s="16"/>
      <c r="I82" s="16">
        <f>(I81-I83)/I81</f>
        <v>0.37617465046986021</v>
      </c>
      <c r="J82" s="16">
        <f>(J81-J83)/J81</f>
        <v>0.3645367798043242</v>
      </c>
      <c r="K82" s="52">
        <f>AVERAGE(L82:W82)</f>
        <v>0.29999999999999993</v>
      </c>
      <c r="L82" s="43">
        <v>0.3</v>
      </c>
      <c r="M82" s="43">
        <f>L82</f>
        <v>0.3</v>
      </c>
      <c r="N82" s="43">
        <f t="shared" ref="N82:W82" si="40">M82</f>
        <v>0.3</v>
      </c>
      <c r="O82" s="43">
        <f t="shared" si="40"/>
        <v>0.3</v>
      </c>
      <c r="P82" s="43">
        <f t="shared" si="40"/>
        <v>0.3</v>
      </c>
      <c r="Q82" s="43">
        <f t="shared" si="40"/>
        <v>0.3</v>
      </c>
      <c r="R82" s="43">
        <f t="shared" si="40"/>
        <v>0.3</v>
      </c>
      <c r="S82" s="43">
        <f t="shared" si="40"/>
        <v>0.3</v>
      </c>
      <c r="T82" s="43">
        <f t="shared" si="40"/>
        <v>0.3</v>
      </c>
      <c r="U82" s="43">
        <f t="shared" si="40"/>
        <v>0.3</v>
      </c>
      <c r="V82" s="43">
        <f t="shared" si="40"/>
        <v>0.3</v>
      </c>
      <c r="W82" s="44">
        <f t="shared" si="40"/>
        <v>0.3</v>
      </c>
      <c r="X82" s="35"/>
    </row>
    <row r="83" spans="2:24" x14ac:dyDescent="0.25">
      <c r="B83" s="24" t="s">
        <v>89</v>
      </c>
      <c r="C83" s="22" t="s">
        <v>44</v>
      </c>
      <c r="E83" s="10">
        <v>-4913000</v>
      </c>
      <c r="F83" s="10">
        <v>-20463000</v>
      </c>
      <c r="G83" s="10">
        <v>-17163000</v>
      </c>
      <c r="H83" s="10">
        <v>31454000</v>
      </c>
      <c r="I83" s="10">
        <v>21774000</v>
      </c>
      <c r="J83" s="10">
        <v>10522000</v>
      </c>
      <c r="K83" s="47">
        <f>SUM(L83:W83)</f>
        <v>36334921.321387544</v>
      </c>
      <c r="L83" s="36">
        <f>IF(L81&gt;=0,L81*(1-L82),L81)</f>
        <v>34797.359687862539</v>
      </c>
      <c r="M83" s="36">
        <f t="shared" ref="M83:W83" si="41">IF(M81&gt;=0,M81*(1-M82),M81)</f>
        <v>-217580.6493162727</v>
      </c>
      <c r="N83" s="36">
        <f t="shared" si="41"/>
        <v>434969.42294777918</v>
      </c>
      <c r="O83" s="36">
        <f t="shared" si="41"/>
        <v>3092781.4523997172</v>
      </c>
      <c r="P83" s="36">
        <f t="shared" si="41"/>
        <v>9726785.9117545113</v>
      </c>
      <c r="Q83" s="36">
        <f t="shared" si="41"/>
        <v>19948173.601166207</v>
      </c>
      <c r="R83" s="36">
        <f t="shared" si="41"/>
        <v>3314994.222747738</v>
      </c>
      <c r="S83" s="36">
        <f t="shared" si="41"/>
        <v>0</v>
      </c>
      <c r="T83" s="36">
        <f t="shared" si="41"/>
        <v>0</v>
      </c>
      <c r="U83" s="36">
        <f t="shared" si="41"/>
        <v>0</v>
      </c>
      <c r="V83" s="36">
        <f t="shared" si="41"/>
        <v>0</v>
      </c>
      <c r="W83" s="36">
        <f t="shared" si="41"/>
        <v>0</v>
      </c>
      <c r="X83" s="35"/>
    </row>
    <row r="84" spans="2:24" x14ac:dyDescent="0.25">
      <c r="B84" s="19"/>
      <c r="C84" s="3"/>
      <c r="K84" s="49"/>
      <c r="L84" s="36"/>
      <c r="M84" s="36"/>
      <c r="N84" s="36"/>
      <c r="O84" s="36"/>
      <c r="P84" s="36"/>
      <c r="Q84" s="36"/>
      <c r="R84" s="35"/>
      <c r="S84" s="35"/>
      <c r="T84" s="35"/>
      <c r="U84" s="35"/>
      <c r="V84" s="35"/>
      <c r="W84" s="35"/>
      <c r="X84" s="35"/>
    </row>
    <row r="85" spans="2:24" ht="15.75" thickBot="1" x14ac:dyDescent="0.3">
      <c r="B85" s="7" t="s">
        <v>47</v>
      </c>
      <c r="K85" s="49"/>
      <c r="L85" s="35"/>
      <c r="M85" s="35"/>
      <c r="N85" s="35"/>
      <c r="O85" s="35"/>
      <c r="P85" s="35"/>
      <c r="Q85" s="35"/>
      <c r="R85" s="35"/>
      <c r="S85" s="35"/>
      <c r="T85" s="35"/>
      <c r="U85" s="35"/>
      <c r="V85" s="35"/>
      <c r="W85" s="35"/>
      <c r="X85" s="35"/>
    </row>
    <row r="86" spans="2:24" x14ac:dyDescent="0.25">
      <c r="B86" t="s">
        <v>93</v>
      </c>
      <c r="C86" t="s">
        <v>44</v>
      </c>
      <c r="E86" s="10">
        <v>17080000</v>
      </c>
      <c r="F86" s="10">
        <v>15717000</v>
      </c>
      <c r="G86" s="10">
        <v>10864000</v>
      </c>
      <c r="H86" s="10">
        <v>11103000</v>
      </c>
      <c r="I86" s="10">
        <v>21964000</v>
      </c>
      <c r="J86" s="10">
        <v>5646000</v>
      </c>
      <c r="K86" s="47">
        <f>SUM(L86:W86)</f>
        <v>45499790</v>
      </c>
      <c r="L86" s="36">
        <f>(20400000-$J$86)/3*1.05</f>
        <v>5163900</v>
      </c>
      <c r="M86" s="36">
        <f t="shared" ref="M86:N86" si="42">(20400000-$J$86)/3*1.05</f>
        <v>5163900</v>
      </c>
      <c r="N86" s="36">
        <f t="shared" si="42"/>
        <v>5163900</v>
      </c>
      <c r="O86" s="36">
        <f>N86</f>
        <v>5163900</v>
      </c>
      <c r="P86" s="36">
        <f>IF(Auxiliary!E3=3,5163900*3*0.7,IF(Auxiliary!E3=2,5163900*3*0.4,IF(Auxiliary!E3&gt;=4,5163900*3*0.9)))</f>
        <v>10844190</v>
      </c>
      <c r="Q86" s="36">
        <f>IF(Auxiliary!E4=2,9000000,IF(Auxiliary!E4=1,5000000,IF(Auxiliary!E4=3,14000000,IF(Auxiliary!E4&gt;=4,20000000))))</f>
        <v>9000000</v>
      </c>
      <c r="R86" s="36">
        <f>IF(Auxiliary!E5=1,5000000,IF(Auxiliary!E5=0,0,IF(Auxiliary!E5=2,9000000,IF(Auxiliary!E5=3,14000000,IF(Auxiliary!E5&gt;=4,20000000)))))</f>
        <v>5000000</v>
      </c>
      <c r="S86" s="36">
        <f>IF(Auxiliary!E6=1,5000000,IF(Auxiliary!E6=0,0,IF(Auxiliary!E6=2,9000000,IF(Auxiliary!E6=3,14000000,IF(Auxiliary!E6&gt;=4,20000000)))))</f>
        <v>0</v>
      </c>
      <c r="T86" s="36">
        <f>IF(Auxiliary!E7=1,5000000,IF(Auxiliary!E7=0,0,IF(Auxiliary!E7=2,9000000,IF(Auxiliary!E7=3,14000000,IF(Auxiliary!E7&gt;=4,20000000)))))</f>
        <v>0</v>
      </c>
      <c r="U86" s="36">
        <f>IF(Auxiliary!E8=1,5000000,IF(Auxiliary!E8=0,0,IF(Auxiliary!E8=2,9000000,IF(Auxiliary!E8=3,14000000,IF(Auxiliary!E8&gt;=4,20000000)))))</f>
        <v>0</v>
      </c>
      <c r="V86" s="36">
        <f>IF(Auxiliary!E9=1,5000000,IF(Auxiliary!E9=0,0,IF(Auxiliary!E9=2,9000000,IF(Auxiliary!E9=3,14000000,IF(Auxiliary!E9&gt;=4,20000000)))))</f>
        <v>0</v>
      </c>
      <c r="W86" s="36">
        <f>IF(Auxiliary!F9=1,5000000,IF(Auxiliary!F9=0,0,IF(Auxiliary!F9=2,9000000,IF(Auxiliary!F9=3,14000000,IF(Auxiliary!F9&gt;=4,20000000)))))</f>
        <v>0</v>
      </c>
      <c r="X86" s="35"/>
    </row>
    <row r="87" spans="2:24" x14ac:dyDescent="0.25">
      <c r="B87" t="s">
        <v>153</v>
      </c>
      <c r="C87" t="s">
        <v>44</v>
      </c>
      <c r="K87" s="47">
        <f>SUM(L87:X87)</f>
        <v>2509200</v>
      </c>
      <c r="L87" s="35"/>
      <c r="M87" s="35"/>
      <c r="N87" s="35"/>
      <c r="O87" s="35"/>
      <c r="P87" s="36" t="str">
        <f t="shared" ref="P87:W87" si="43">IF(AND(P30=0,O30&gt;0),2091000*1.2,"")</f>
        <v/>
      </c>
      <c r="Q87" s="36" t="str">
        <f t="shared" si="43"/>
        <v/>
      </c>
      <c r="R87" s="36" t="str">
        <f t="shared" si="43"/>
        <v/>
      </c>
      <c r="S87" s="36">
        <f t="shared" si="43"/>
        <v>2509200</v>
      </c>
      <c r="T87" s="36" t="str">
        <f t="shared" si="43"/>
        <v/>
      </c>
      <c r="U87" s="36" t="str">
        <f t="shared" si="43"/>
        <v/>
      </c>
      <c r="V87" s="36" t="str">
        <f t="shared" si="43"/>
        <v/>
      </c>
      <c r="W87" s="36" t="str">
        <f t="shared" si="43"/>
        <v/>
      </c>
      <c r="X87" s="35"/>
    </row>
    <row r="88" spans="2:24" x14ac:dyDescent="0.25">
      <c r="B88" t="s">
        <v>95</v>
      </c>
      <c r="C88" t="s">
        <v>20</v>
      </c>
      <c r="E88" s="14">
        <f>(E73-E71+SUM(E86:E87)+SUM(E76:E78))/(E51+E52*E15/E14)</f>
        <v>21.461626753670846</v>
      </c>
      <c r="F88" s="14">
        <f t="shared" ref="F88:J88" si="44">(F73-F71+SUM(F86:F87)+SUM(F76:F78))/(F51+F52*F15/F14)</f>
        <v>24.505613004680207</v>
      </c>
      <c r="G88" s="14">
        <f t="shared" si="44"/>
        <v>21.101068684877816</v>
      </c>
      <c r="H88" s="14">
        <f t="shared" si="44"/>
        <v>16.104619129202096</v>
      </c>
      <c r="I88" s="14">
        <f t="shared" si="44"/>
        <v>17.974664793950669</v>
      </c>
      <c r="J88" s="14">
        <f t="shared" si="44"/>
        <v>18.253995939875189</v>
      </c>
      <c r="K88" s="45">
        <f>AVERAGE(L88:X88)</f>
        <v>21.852917866872325</v>
      </c>
      <c r="L88" s="41">
        <f>IF(OR(L51&gt;0,L52&gt;0),(L73-L71+SUM(L86:L87)+SUM(L76:L78))/(L51+L52*L15/L14),"")</f>
        <v>22.35631888670563</v>
      </c>
      <c r="M88" s="41">
        <f t="shared" ref="M88:W88" si="45">IF(OR(M51&gt;0,M52&gt;0),(M73-M71+SUM(M86:M87)+SUM(M76:M78))/(M51+M52*M15/M14),"")</f>
        <v>22.555938099577801</v>
      </c>
      <c r="N88" s="41">
        <f t="shared" si="45"/>
        <v>22.92297301098402</v>
      </c>
      <c r="O88" s="41">
        <f t="shared" si="45"/>
        <v>22.176952886761757</v>
      </c>
      <c r="P88" s="41">
        <f t="shared" si="45"/>
        <v>20.975077618185271</v>
      </c>
      <c r="Q88" s="41">
        <f t="shared" si="45"/>
        <v>19.181312017895284</v>
      </c>
      <c r="R88" s="41">
        <f t="shared" si="45"/>
        <v>22.801852547996496</v>
      </c>
      <c r="S88" s="41" t="str">
        <f t="shared" si="45"/>
        <v/>
      </c>
      <c r="T88" s="41" t="str">
        <f t="shared" si="45"/>
        <v/>
      </c>
      <c r="U88" s="41" t="str">
        <f t="shared" si="45"/>
        <v/>
      </c>
      <c r="V88" s="41" t="str">
        <f t="shared" si="45"/>
        <v/>
      </c>
      <c r="W88" s="41" t="str">
        <f t="shared" si="45"/>
        <v/>
      </c>
      <c r="X88" s="35"/>
    </row>
    <row r="89" spans="2:24" x14ac:dyDescent="0.25">
      <c r="E89" s="28"/>
      <c r="F89" s="28"/>
      <c r="G89" s="28"/>
      <c r="H89" s="28"/>
      <c r="I89" s="28"/>
      <c r="J89" s="28"/>
      <c r="K89" s="54"/>
      <c r="L89" s="35"/>
      <c r="M89" s="35"/>
      <c r="N89" s="35"/>
      <c r="O89" s="35"/>
      <c r="P89" s="35"/>
      <c r="Q89" s="35"/>
      <c r="R89" s="35"/>
      <c r="S89" s="35"/>
      <c r="T89" s="35"/>
      <c r="U89" s="35"/>
      <c r="V89" s="35"/>
      <c r="W89" s="35"/>
      <c r="X89" s="35"/>
    </row>
    <row r="90" spans="2:24" ht="15.75" thickBot="1" x14ac:dyDescent="0.3">
      <c r="B90" s="7" t="s">
        <v>48</v>
      </c>
      <c r="K90" s="49"/>
      <c r="L90" s="35"/>
      <c r="M90" s="35"/>
      <c r="N90" s="35"/>
      <c r="O90" s="35"/>
      <c r="P90" s="35"/>
      <c r="Q90" s="35"/>
      <c r="R90" s="35"/>
      <c r="S90" s="35"/>
      <c r="T90" s="35"/>
      <c r="U90" s="35"/>
      <c r="V90" s="35"/>
      <c r="W90" s="35"/>
      <c r="X90" s="35"/>
    </row>
    <row r="91" spans="2:24" x14ac:dyDescent="0.25">
      <c r="B91" s="22" t="s">
        <v>48</v>
      </c>
      <c r="C91" s="22" t="s">
        <v>44</v>
      </c>
      <c r="D91" s="22"/>
      <c r="E91" s="10">
        <f t="shared" ref="E91:J91" si="46">E83+E71-SUM(E86:E87)</f>
        <v>-8628000</v>
      </c>
      <c r="F91" s="10">
        <f t="shared" si="46"/>
        <v>-13063000</v>
      </c>
      <c r="G91" s="10">
        <f t="shared" si="46"/>
        <v>-13931000</v>
      </c>
      <c r="H91" s="10">
        <f t="shared" si="46"/>
        <v>29136000</v>
      </c>
      <c r="I91" s="10">
        <f t="shared" si="46"/>
        <v>7753000</v>
      </c>
      <c r="J91" s="10">
        <f t="shared" si="46"/>
        <v>8786000</v>
      </c>
      <c r="K91" s="47">
        <f>SUM(L91:X91)</f>
        <v>45835660.502240278</v>
      </c>
      <c r="L91" s="36">
        <f t="shared" ref="L91:W91" si="47">L83+L71-SUM(L86:L87)</f>
        <v>-484855.5950989509</v>
      </c>
      <c r="M91" s="36">
        <f t="shared" si="47"/>
        <v>-737233.60410308652</v>
      </c>
      <c r="N91" s="36">
        <f t="shared" si="47"/>
        <v>-84683.53183903452</v>
      </c>
      <c r="O91" s="36">
        <f t="shared" si="47"/>
        <v>2573128.4976129029</v>
      </c>
      <c r="P91" s="36">
        <f t="shared" si="47"/>
        <v>12815336.911754511</v>
      </c>
      <c r="Q91" s="36">
        <f t="shared" si="47"/>
        <v>25948173.601166204</v>
      </c>
      <c r="R91" s="36">
        <f t="shared" si="47"/>
        <v>8314994.2227477375</v>
      </c>
      <c r="S91" s="36">
        <f t="shared" si="47"/>
        <v>-2509200</v>
      </c>
      <c r="T91" s="36">
        <f t="shared" si="47"/>
        <v>0</v>
      </c>
      <c r="U91" s="36">
        <f t="shared" si="47"/>
        <v>0</v>
      </c>
      <c r="V91" s="36">
        <f t="shared" si="47"/>
        <v>0</v>
      </c>
      <c r="W91" s="36">
        <f t="shared" si="47"/>
        <v>0</v>
      </c>
      <c r="X91" s="35"/>
    </row>
    <row r="92" spans="2:24" x14ac:dyDescent="0.25">
      <c r="B92" s="3" t="s">
        <v>50</v>
      </c>
      <c r="C92" s="3" t="s">
        <v>44</v>
      </c>
      <c r="D92" s="34"/>
      <c r="K92" s="47">
        <f>SUM(L92:X92)</f>
        <v>38738095.789828621</v>
      </c>
      <c r="L92" s="47">
        <f>L91</f>
        <v>-484855.5950989509</v>
      </c>
      <c r="M92" s="47">
        <f>M91/(1+$D$4)^(0.25)</f>
        <v>-719873.48515986977</v>
      </c>
      <c r="N92" s="47">
        <f>N91/(1+$D$4)^(0.5)</f>
        <v>-80742.291813046977</v>
      </c>
      <c r="O92" s="47">
        <f>O91/(1+$D$4)^(0.75)</f>
        <v>2395601.847987623</v>
      </c>
      <c r="P92" s="47">
        <f>P91/(1+$D$4)^(1)</f>
        <v>11650223.253421703</v>
      </c>
      <c r="Q92" s="47">
        <f>Q91/(1+$D$4)^(2)</f>
        <v>21444465.904937766</v>
      </c>
      <c r="R92" s="47">
        <f>R91/(1+$D$4)^(3)</f>
        <v>6247044.6617970234</v>
      </c>
      <c r="S92" s="47">
        <f>S91/(1+$D$4)^(4)</f>
        <v>-1713768.5062436308</v>
      </c>
      <c r="T92" s="47">
        <f>T91/(1+$D$4)^(5)</f>
        <v>0</v>
      </c>
      <c r="U92" s="47">
        <f>U91/(1+$D$4)^(6)</f>
        <v>0</v>
      </c>
      <c r="V92" s="47">
        <f>V91/(1+$D$4)^(7)</f>
        <v>0</v>
      </c>
      <c r="W92" s="47">
        <f>W91/(1+$D$4)^(7)</f>
        <v>0</v>
      </c>
      <c r="X92" s="35"/>
    </row>
  </sheetData>
  <dataValidations disablePrompts="1" count="1">
    <dataValidation type="list" allowBlank="1" showInputMessage="1" showErrorMessage="1" sqref="M10 G10" xr:uid="{CEF678B5-642A-4242-994B-D5021E99CDDB}">
      <formula1>"Bear case, Base case, Bull case"</formula1>
    </dataValidation>
  </dataValidations>
  <pageMargins left="0.7" right="0.7" top="0.75" bottom="0.75" header="0.3" footer="0.3"/>
  <pageSetup orientation="portrait" r:id="rId1"/>
  <ignoredErrors>
    <ignoredError sqref="U30:U32 Q31 R32 P29 K35:K36 K59 K57 K73 K82 K91 U64" formula="1"/>
    <ignoredError sqref="L68"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0851-7E9C-4E4E-B98E-540685B40EEB}">
  <dimension ref="A1:Z96"/>
  <sheetViews>
    <sheetView showGridLines="0" topLeftCell="A10" zoomScale="87" zoomScaleNormal="87" workbookViewId="0">
      <selection activeCell="L76" sqref="L76"/>
    </sheetView>
  </sheetViews>
  <sheetFormatPr baseColWidth="10" defaultColWidth="9.140625" defaultRowHeight="15" x14ac:dyDescent="0.25"/>
  <cols>
    <col min="1" max="1" width="9.7109375" customWidth="1"/>
    <col min="2" max="2" width="39.85546875" bestFit="1" customWidth="1"/>
    <col min="4" max="4" width="10.5703125" bestFit="1" customWidth="1"/>
    <col min="5" max="5" width="11.85546875" bestFit="1" customWidth="1"/>
    <col min="6" max="6" width="16" bestFit="1" customWidth="1"/>
    <col min="7" max="7" width="15.28515625" bestFit="1" customWidth="1"/>
    <col min="8" max="8" width="19.5703125" bestFit="1" customWidth="1"/>
    <col min="9" max="9" width="18.5703125" bestFit="1" customWidth="1"/>
    <col min="10" max="10" width="17.28515625" bestFit="1" customWidth="1"/>
    <col min="11" max="11" width="14.7109375" bestFit="1" customWidth="1"/>
    <col min="12" max="12" width="12.7109375" bestFit="1" customWidth="1"/>
    <col min="13" max="13" width="11.140625" bestFit="1" customWidth="1"/>
    <col min="14" max="14" width="16" bestFit="1" customWidth="1"/>
    <col min="15" max="15" width="15.28515625" bestFit="1" customWidth="1"/>
    <col min="16" max="16" width="19.5703125" bestFit="1" customWidth="1"/>
    <col min="17" max="17" width="18.5703125" bestFit="1" customWidth="1"/>
    <col min="18" max="18" width="11.140625" bestFit="1" customWidth="1"/>
    <col min="19" max="19" width="12.7109375" bestFit="1" customWidth="1"/>
    <col min="20" max="20" width="11.140625" bestFit="1" customWidth="1"/>
    <col min="21" max="21" width="16" bestFit="1" customWidth="1"/>
    <col min="22" max="22" width="15.28515625" bestFit="1" customWidth="1"/>
    <col min="23" max="23" width="19.5703125" bestFit="1" customWidth="1"/>
    <col min="24" max="24" width="18.5703125" bestFit="1" customWidth="1"/>
    <col min="25" max="26" width="8.7109375" customWidth="1"/>
  </cols>
  <sheetData>
    <row r="1" spans="1:26" ht="23.25" x14ac:dyDescent="0.35">
      <c r="A1" s="1" t="s">
        <v>111</v>
      </c>
      <c r="B1" s="2"/>
      <c r="C1" s="2"/>
      <c r="D1" s="2"/>
      <c r="E1" s="2"/>
      <c r="F1" s="2"/>
      <c r="G1" s="2"/>
      <c r="H1" s="2"/>
      <c r="I1" s="2"/>
      <c r="J1" s="2"/>
      <c r="K1" s="2"/>
      <c r="L1" s="2"/>
      <c r="M1" s="2"/>
      <c r="N1" s="2"/>
      <c r="O1" s="2"/>
      <c r="P1" s="2"/>
      <c r="Q1" s="2"/>
      <c r="R1" s="2"/>
      <c r="S1" s="2"/>
      <c r="T1" s="2"/>
      <c r="U1" s="2"/>
      <c r="V1" s="2"/>
      <c r="W1" s="2"/>
      <c r="X1" s="2"/>
      <c r="Y1" s="2"/>
      <c r="Z1" s="2"/>
    </row>
    <row r="2" spans="1:26" x14ac:dyDescent="0.25">
      <c r="A2" s="3" t="s">
        <v>0</v>
      </c>
    </row>
    <row r="3" spans="1:26" x14ac:dyDescent="0.25">
      <c r="A3" t="s">
        <v>108</v>
      </c>
    </row>
    <row r="4" spans="1:26" x14ac:dyDescent="0.25">
      <c r="A4" t="s">
        <v>1</v>
      </c>
      <c r="C4" s="3" t="s">
        <v>2</v>
      </c>
      <c r="D4" s="31">
        <f>WACC!C22</f>
        <v>0.1000078395914526</v>
      </c>
    </row>
    <row r="5" spans="1:26" x14ac:dyDescent="0.25">
      <c r="J5" s="19"/>
      <c r="K5" s="19"/>
      <c r="L5" s="17"/>
    </row>
    <row r="6" spans="1:26" x14ac:dyDescent="0.25">
      <c r="B6" s="3" t="s">
        <v>64</v>
      </c>
      <c r="E6" s="3" t="s">
        <v>68</v>
      </c>
      <c r="F6" s="3" t="s">
        <v>24</v>
      </c>
      <c r="G6" s="3" t="s">
        <v>69</v>
      </c>
      <c r="H6" s="3" t="s">
        <v>70</v>
      </c>
      <c r="I6" s="3" t="s">
        <v>71</v>
      </c>
      <c r="J6" s="3" t="s">
        <v>72</v>
      </c>
      <c r="K6" s="17"/>
      <c r="L6" s="3" t="s">
        <v>68</v>
      </c>
      <c r="M6" s="3" t="s">
        <v>24</v>
      </c>
      <c r="N6" s="3" t="s">
        <v>69</v>
      </c>
      <c r="O6" s="3" t="s">
        <v>70</v>
      </c>
      <c r="P6" s="3" t="s">
        <v>71</v>
      </c>
      <c r="Q6" s="3" t="s">
        <v>72</v>
      </c>
      <c r="S6" s="3" t="s">
        <v>68</v>
      </c>
      <c r="T6" s="3" t="s">
        <v>24</v>
      </c>
      <c r="U6" s="3" t="s">
        <v>69</v>
      </c>
      <c r="V6" s="3" t="s">
        <v>70</v>
      </c>
      <c r="W6" s="3" t="s">
        <v>71</v>
      </c>
      <c r="X6" s="3" t="s">
        <v>72</v>
      </c>
    </row>
    <row r="7" spans="1:26" x14ac:dyDescent="0.25">
      <c r="B7" t="s">
        <v>65</v>
      </c>
      <c r="C7" s="9">
        <v>1</v>
      </c>
      <c r="E7" t="s">
        <v>25</v>
      </c>
      <c r="F7" s="10">
        <f>14106</f>
        <v>14106</v>
      </c>
      <c r="G7">
        <f>33</f>
        <v>33</v>
      </c>
      <c r="H7">
        <f>2.74</f>
        <v>2.74</v>
      </c>
      <c r="I7" s="10">
        <f>F7*G7/Auxiliary!$C$4</f>
        <v>14966.108226203189</v>
      </c>
      <c r="J7" s="10">
        <f>F7*H7/Auxiliary!$C$4</f>
        <v>1242.6405012059618</v>
      </c>
      <c r="K7" s="17"/>
      <c r="L7" s="18" t="s">
        <v>28</v>
      </c>
      <c r="M7" s="10">
        <f>58000</f>
        <v>58000</v>
      </c>
      <c r="N7" s="10">
        <f>99</f>
        <v>99</v>
      </c>
      <c r="O7">
        <f>2.73</f>
        <v>2.73</v>
      </c>
      <c r="P7" s="10">
        <f>M7*N7/Auxiliary!$C$4</f>
        <v>184609.58679706187</v>
      </c>
      <c r="Q7" s="10">
        <f>M7*O7/Auxiliary!$C$4</f>
        <v>5090.7492116765543</v>
      </c>
      <c r="S7" t="s">
        <v>30</v>
      </c>
      <c r="T7" s="10">
        <f>974000</f>
        <v>974000</v>
      </c>
      <c r="U7">
        <f>112</f>
        <v>112</v>
      </c>
      <c r="V7">
        <f>2.23</f>
        <v>2.23</v>
      </c>
      <c r="W7" s="10">
        <f>T7*U7/Auxiliary!$C$4</f>
        <v>3507260.6416784893</v>
      </c>
      <c r="X7" s="10">
        <f>T7*V7/Auxiliary!$C$4</f>
        <v>69832.064561991341</v>
      </c>
    </row>
    <row r="8" spans="1:26" x14ac:dyDescent="0.25">
      <c r="B8" t="s">
        <v>66</v>
      </c>
      <c r="C8" s="9">
        <v>0.8</v>
      </c>
      <c r="E8" t="s">
        <v>26</v>
      </c>
      <c r="F8" s="11">
        <f>394000</f>
        <v>394000</v>
      </c>
      <c r="G8" s="5">
        <f>65</f>
        <v>65</v>
      </c>
      <c r="H8" s="5">
        <f>2.08</f>
        <v>2.08</v>
      </c>
      <c r="I8" s="11">
        <f>F8*G8/Auxiliary!$C$4</f>
        <v>823380.61962256255</v>
      </c>
      <c r="J8" s="11">
        <f>F8*H8/Auxiliary!$C$4</f>
        <v>26348.179827922002</v>
      </c>
      <c r="K8" s="17"/>
      <c r="L8" s="17" t="s">
        <v>29</v>
      </c>
      <c r="M8" s="11">
        <f>759000</f>
        <v>759000</v>
      </c>
      <c r="N8" s="11">
        <f>135</f>
        <v>135</v>
      </c>
      <c r="O8" s="12">
        <f>2.03</f>
        <v>2.0299999999999998</v>
      </c>
      <c r="P8" s="11">
        <f>M8*N8/Auxiliary!$C$4</f>
        <v>3294326.2471544659</v>
      </c>
      <c r="Q8" s="11">
        <f>M8*O8/Auxiliary!$C$4</f>
        <v>49536.90579054493</v>
      </c>
    </row>
    <row r="9" spans="1:26" x14ac:dyDescent="0.25">
      <c r="B9" t="s">
        <v>67</v>
      </c>
      <c r="C9" s="9">
        <v>0</v>
      </c>
      <c r="E9" t="s">
        <v>27</v>
      </c>
      <c r="F9" s="10">
        <f>SUM(F7:F8)</f>
        <v>408106</v>
      </c>
      <c r="G9" s="13">
        <f>(G7*F7+G8*F8)/F9</f>
        <v>63.893934418998988</v>
      </c>
      <c r="H9" s="14">
        <f>(F7*H7+F8*H8)/F9</f>
        <v>2.1028126026081457</v>
      </c>
      <c r="I9" s="10">
        <f>SUM(I7:I8)</f>
        <v>838346.72784876579</v>
      </c>
      <c r="J9" s="10">
        <f>SUM(J7:J8)</f>
        <v>27590.820329127964</v>
      </c>
      <c r="L9" s="20" t="s">
        <v>27</v>
      </c>
      <c r="M9" s="10">
        <f>SUM(M7:M8)</f>
        <v>817000</v>
      </c>
      <c r="N9" s="21">
        <f>(N7*M7+N8*M8)/M9</f>
        <v>132.44430844553244</v>
      </c>
      <c r="O9" s="14">
        <f>(O7*M7+O8*M8)/M9</f>
        <v>2.07969400244798</v>
      </c>
      <c r="P9" s="10">
        <f>SUM(P7:P8)</f>
        <v>3478935.8339515277</v>
      </c>
      <c r="Q9" s="10">
        <f>SUM(Q7:Q8)</f>
        <v>54627.655002221487</v>
      </c>
    </row>
    <row r="10" spans="1:26" x14ac:dyDescent="0.25">
      <c r="B10" s="19"/>
      <c r="C10" s="17"/>
      <c r="D10" s="17"/>
    </row>
    <row r="11" spans="1:26" x14ac:dyDescent="0.25">
      <c r="B11" s="6" t="s">
        <v>7</v>
      </c>
      <c r="C11" s="6" t="s">
        <v>8</v>
      </c>
      <c r="D11" s="6"/>
      <c r="E11" s="6" t="s">
        <v>63</v>
      </c>
      <c r="F11" s="6" t="s">
        <v>10</v>
      </c>
      <c r="G11" s="6" t="s">
        <v>11</v>
      </c>
      <c r="H11" s="6" t="s">
        <v>12</v>
      </c>
      <c r="I11" s="6" t="s">
        <v>13</v>
      </c>
      <c r="J11" s="6" t="s">
        <v>55</v>
      </c>
      <c r="K11" s="6" t="s">
        <v>9</v>
      </c>
      <c r="L11" s="6" t="s">
        <v>56</v>
      </c>
      <c r="M11" s="6" t="s">
        <v>60</v>
      </c>
      <c r="N11" s="6" t="s">
        <v>61</v>
      </c>
      <c r="O11" s="6" t="s">
        <v>62</v>
      </c>
      <c r="P11" s="6" t="s">
        <v>57</v>
      </c>
      <c r="Q11" s="6" t="s">
        <v>14</v>
      </c>
      <c r="R11" s="6" t="s">
        <v>15</v>
      </c>
      <c r="S11" s="6" t="s">
        <v>16</v>
      </c>
      <c r="T11" s="6" t="s">
        <v>17</v>
      </c>
      <c r="U11" s="6" t="s">
        <v>18</v>
      </c>
      <c r="V11" s="6" t="s">
        <v>58</v>
      </c>
      <c r="W11" s="6" t="s">
        <v>59</v>
      </c>
      <c r="X11" s="6"/>
      <c r="Y11" s="6"/>
      <c r="Z11" s="6"/>
    </row>
    <row r="12" spans="1:26" x14ac:dyDescent="0.25">
      <c r="K12" s="35"/>
      <c r="L12" s="35"/>
      <c r="M12" s="35"/>
      <c r="N12" s="35"/>
      <c r="O12" s="35"/>
      <c r="P12" s="35"/>
      <c r="Q12" s="35"/>
      <c r="R12" s="35"/>
      <c r="S12" s="35"/>
      <c r="T12" s="35"/>
      <c r="U12" s="35"/>
      <c r="V12" s="35"/>
      <c r="W12" s="35"/>
    </row>
    <row r="13" spans="1:26" ht="15.75" thickBot="1" x14ac:dyDescent="0.3">
      <c r="B13" s="7" t="s">
        <v>19</v>
      </c>
      <c r="K13" s="35"/>
      <c r="L13" s="35"/>
      <c r="M13" s="35"/>
      <c r="N13" s="35"/>
      <c r="O13" s="35"/>
      <c r="P13" s="35"/>
      <c r="Q13" s="35"/>
      <c r="R13" s="35"/>
      <c r="S13" s="35"/>
      <c r="T13" s="35"/>
      <c r="U13" s="35"/>
      <c r="V13" s="35"/>
      <c r="W13" s="35"/>
    </row>
    <row r="14" spans="1:26" x14ac:dyDescent="0.25">
      <c r="B14" t="s">
        <v>53</v>
      </c>
      <c r="C14" t="s">
        <v>20</v>
      </c>
      <c r="E14">
        <v>17.239999999999998</v>
      </c>
      <c r="F14">
        <v>15.65</v>
      </c>
      <c r="G14">
        <v>16.29</v>
      </c>
      <c r="H14" s="14">
        <v>21.6</v>
      </c>
      <c r="I14">
        <v>25.22</v>
      </c>
      <c r="J14">
        <v>24.38</v>
      </c>
      <c r="K14" s="45">
        <f>AVERAGE(L14:V14)</f>
        <v>24.272727272727273</v>
      </c>
      <c r="L14" s="35">
        <f>'Central sheet '!J3</f>
        <v>22</v>
      </c>
      <c r="M14" s="35">
        <f>'Central sheet '!K3</f>
        <v>22</v>
      </c>
      <c r="N14" s="35">
        <f>'Central sheet '!L3</f>
        <v>23</v>
      </c>
      <c r="O14" s="35">
        <f>'Central sheet '!M3</f>
        <v>25</v>
      </c>
      <c r="P14" s="35">
        <f>'Central sheet '!N3</f>
        <v>25</v>
      </c>
      <c r="Q14" s="35">
        <f>'Central sheet '!O3</f>
        <v>25</v>
      </c>
      <c r="R14" s="35">
        <f>'Central sheet '!P3</f>
        <v>25</v>
      </c>
      <c r="S14" s="35">
        <f>'Central sheet '!Q3</f>
        <v>25</v>
      </c>
      <c r="T14" s="35">
        <f>'Central sheet '!R3</f>
        <v>25</v>
      </c>
      <c r="U14" s="35">
        <f>'Central sheet '!S3</f>
        <v>25</v>
      </c>
      <c r="V14" s="35">
        <f>'Central sheet '!T3</f>
        <v>25</v>
      </c>
      <c r="W14" s="35"/>
    </row>
    <row r="15" spans="1:26" x14ac:dyDescent="0.25">
      <c r="B15" t="s">
        <v>54</v>
      </c>
      <c r="C15" t="s">
        <v>20</v>
      </c>
      <c r="E15" s="10">
        <v>1285</v>
      </c>
      <c r="F15" s="10">
        <v>1267</v>
      </c>
      <c r="G15" s="10">
        <v>1422</v>
      </c>
      <c r="H15" s="10">
        <v>1846</v>
      </c>
      <c r="I15" s="10">
        <v>1790</v>
      </c>
      <c r="J15" s="10">
        <v>1970</v>
      </c>
      <c r="K15" s="47">
        <f>AVERAGE(L15:V15)</f>
        <v>1774.5454545454545</v>
      </c>
      <c r="L15" s="36">
        <f>'Central sheet '!J4</f>
        <v>1870</v>
      </c>
      <c r="M15" s="36">
        <f>'Central sheet '!K4</f>
        <v>1850</v>
      </c>
      <c r="N15" s="36">
        <f>'Central sheet '!L4</f>
        <v>1800</v>
      </c>
      <c r="O15" s="36">
        <f>'Central sheet '!M4</f>
        <v>1750</v>
      </c>
      <c r="P15" s="36">
        <f>'Central sheet '!N4</f>
        <v>1750</v>
      </c>
      <c r="Q15" s="36">
        <f>'Central sheet '!O4</f>
        <v>1750</v>
      </c>
      <c r="R15" s="36">
        <f>'Central sheet '!P4</f>
        <v>1750</v>
      </c>
      <c r="S15" s="36">
        <f>'Central sheet '!Q4</f>
        <v>1750</v>
      </c>
      <c r="T15" s="36">
        <f>'Central sheet '!R4</f>
        <v>1750</v>
      </c>
      <c r="U15" s="36">
        <f>'Central sheet '!S4</f>
        <v>1750</v>
      </c>
      <c r="V15" s="36">
        <f>'Central sheet '!T4</f>
        <v>1750</v>
      </c>
      <c r="W15" s="35"/>
    </row>
    <row r="16" spans="1:26" x14ac:dyDescent="0.25">
      <c r="K16" s="49"/>
      <c r="L16" s="35"/>
      <c r="M16" s="35"/>
      <c r="N16" s="35"/>
      <c r="O16" s="35"/>
      <c r="P16" s="35"/>
      <c r="Q16" s="35"/>
      <c r="R16" s="35"/>
      <c r="S16" s="35"/>
      <c r="T16" s="35"/>
      <c r="U16" s="35"/>
      <c r="V16" s="35"/>
      <c r="W16" s="35"/>
    </row>
    <row r="17" spans="2:23" ht="15.75" thickBot="1" x14ac:dyDescent="0.3">
      <c r="B17" s="7" t="s">
        <v>74</v>
      </c>
      <c r="K17" s="49"/>
      <c r="L17" s="35"/>
      <c r="M17" s="35"/>
      <c r="N17" s="35"/>
      <c r="O17" s="35"/>
      <c r="P17" s="35"/>
      <c r="Q17" s="35"/>
      <c r="R17" s="35"/>
      <c r="S17" s="35"/>
      <c r="T17" s="35"/>
      <c r="U17" s="35"/>
      <c r="V17" s="35"/>
      <c r="W17" s="35"/>
    </row>
    <row r="18" spans="2:23" x14ac:dyDescent="0.25">
      <c r="B18" t="s">
        <v>25</v>
      </c>
      <c r="C18" t="s">
        <v>35</v>
      </c>
      <c r="E18" s="10"/>
      <c r="F18" s="10"/>
      <c r="G18" s="10"/>
      <c r="H18" s="10"/>
      <c r="I18" s="10"/>
      <c r="J18" s="10">
        <v>119000</v>
      </c>
      <c r="K18" s="47">
        <f>F7</f>
        <v>14106</v>
      </c>
      <c r="L18" s="36">
        <f>IF(J18-J30&gt;=0,J18-J30,0)</f>
        <v>14106</v>
      </c>
      <c r="M18" s="36">
        <f>IF(L18-L29*91&gt;=0,L18-L29*91,0)</f>
        <v>0</v>
      </c>
      <c r="N18" s="36">
        <f>IF(M18-M29*92&gt;=0,M18-M29*92,0)</f>
        <v>0</v>
      </c>
      <c r="O18" s="36">
        <f>IF(N18-N29*92&gt;=0,N18-N29*92,0)</f>
        <v>0</v>
      </c>
      <c r="P18" s="36">
        <f>IF(O18-O29*90&gt;=0,O18-O29*90,0)</f>
        <v>0</v>
      </c>
      <c r="Q18" s="36">
        <f>IF(P18-P29*275&gt;=0,P18-P29*275,0)</f>
        <v>0</v>
      </c>
      <c r="R18" s="36">
        <f>IF(Q18-Q29*366&gt;=0,Q18-Q29*366,0)</f>
        <v>0</v>
      </c>
      <c r="S18" s="36">
        <f>IF(R18-R29*365&gt;=0,R18-R29*365,0)</f>
        <v>0</v>
      </c>
      <c r="T18" s="36">
        <f t="shared" ref="T18:V18" si="0">IF(S18-S29*365&gt;=0,S18-S29*365,0)</f>
        <v>0</v>
      </c>
      <c r="U18" s="36">
        <f t="shared" si="0"/>
        <v>0</v>
      </c>
      <c r="V18" s="36">
        <f t="shared" si="0"/>
        <v>0</v>
      </c>
      <c r="W18" s="36"/>
    </row>
    <row r="19" spans="2:23" x14ac:dyDescent="0.25">
      <c r="B19" t="s">
        <v>26</v>
      </c>
      <c r="C19" t="s">
        <v>35</v>
      </c>
      <c r="E19" s="10"/>
      <c r="F19" s="10"/>
      <c r="G19" s="10"/>
      <c r="H19" s="10"/>
      <c r="I19" s="10"/>
      <c r="J19" s="10">
        <f>F8</f>
        <v>394000</v>
      </c>
      <c r="K19" s="47">
        <f>F8</f>
        <v>394000</v>
      </c>
      <c r="L19" s="36">
        <f>IF(J18-J30&gt;=0,J19,IF(J19+J18-J29*90&gt;=0,J19+J18-J29*90,0))</f>
        <v>394000</v>
      </c>
      <c r="M19" s="36">
        <f>IF(L18-L29*91&gt;=0,L19,IF(L19+L18-L29*91&gt;=0,L19+L18-L29*91,0))</f>
        <v>309826</v>
      </c>
      <c r="N19" s="36">
        <f>IF(M18-M29*92&gt;=0,M19,IF(M19+M18-M29*92&gt;=0,M19+M18-M29*92,0))</f>
        <v>210466</v>
      </c>
      <c r="O19" s="36">
        <f>IF(N18-N29*92=0,N19,IF(N19+N18-N29*92&gt;=0,N19+N18-N29*92,0))</f>
        <v>111106</v>
      </c>
      <c r="P19" s="36">
        <f>IF(O18-O29*90&gt;=0,O19,IF(O19+O18-O29*90&gt;=0,O19+O18-O29*90,0))</f>
        <v>13906</v>
      </c>
      <c r="Q19" s="36">
        <f>IF(P18-P29*275&gt;=0,P19,IF(P19+P18-P29*275&gt;=0,P19+P18-P29*275,0))</f>
        <v>0</v>
      </c>
      <c r="R19" s="36">
        <f>IF(Q18-Q29*366&gt;=0,Q19,IF(Q19+Q18-Q29*366&gt;=0,Q19+Q18-Q29*366,0))</f>
        <v>0</v>
      </c>
      <c r="S19" s="36">
        <f>IF(R18-R29*365&gt;=0,R19,IF(R19+R18-R29*365&gt;=0,R19+R18-R29*365,0))</f>
        <v>0</v>
      </c>
      <c r="T19" s="36">
        <f>IF(S18-S29*365&gt;=0,S19,IF(S19+S18-S29*365&gt;=0,S19+S18-S29*365,0))</f>
        <v>0</v>
      </c>
      <c r="U19" s="36">
        <f>IF(T18-T29*365&gt;=0,T19,IF(T19+T18-T29*365&gt;=0,T19+T18-T29*365,0))</f>
        <v>0</v>
      </c>
      <c r="V19" s="36">
        <f>IF(U18-U29*365&gt;=0,U19,IF(U19+U18-U29*365&gt;=0,U19+U18-U29*365,0))</f>
        <v>0</v>
      </c>
      <c r="W19" s="36"/>
    </row>
    <row r="20" spans="2:23" x14ac:dyDescent="0.25">
      <c r="K20" s="49"/>
      <c r="L20" s="35"/>
      <c r="M20" s="36"/>
      <c r="N20" s="36"/>
      <c r="O20" s="36"/>
      <c r="P20" s="36"/>
      <c r="Q20" s="36"/>
      <c r="R20" s="36"/>
      <c r="S20" s="36"/>
      <c r="T20" s="36"/>
      <c r="U20" s="36"/>
      <c r="V20" s="36"/>
      <c r="W20" s="35"/>
    </row>
    <row r="21" spans="2:23" ht="15.75" thickBot="1" x14ac:dyDescent="0.3">
      <c r="B21" s="7" t="s">
        <v>75</v>
      </c>
      <c r="K21" s="49"/>
      <c r="L21" s="35"/>
      <c r="M21" s="36"/>
      <c r="N21" s="36"/>
      <c r="O21" s="36"/>
      <c r="P21" s="36"/>
      <c r="Q21" s="36"/>
      <c r="R21" s="36"/>
      <c r="S21" s="36"/>
      <c r="T21" s="36"/>
      <c r="U21" s="36"/>
      <c r="V21" s="36"/>
      <c r="W21" s="35"/>
    </row>
    <row r="22" spans="2:23" x14ac:dyDescent="0.25">
      <c r="B22" s="23" t="s">
        <v>28</v>
      </c>
      <c r="C22" t="s">
        <v>35</v>
      </c>
      <c r="E22" s="10"/>
      <c r="F22" s="10"/>
      <c r="G22" s="10"/>
      <c r="H22" s="10"/>
      <c r="I22" s="10"/>
      <c r="J22" s="10">
        <f>M7*C7</f>
        <v>58000</v>
      </c>
      <c r="K22" s="47">
        <f>M7</f>
        <v>58000</v>
      </c>
      <c r="L22" s="36">
        <f>J22</f>
        <v>58000</v>
      </c>
      <c r="M22" s="36">
        <f>IF(SUM(L18:L19)-L29*91&gt;=0,L22,IF(SUM(L18:L19)+L22-L29*91&gt;=0,SUM(L18:L19)+L22-L29*91,0))</f>
        <v>58000</v>
      </c>
      <c r="N22" s="36">
        <f>IF(SUM(M18:M19)-M29*92&gt;=0,M22,IF(SUM(M18:M19)+M22-M29*92&gt;=0,SUM(M18:M19)+M22-M29*92,0))</f>
        <v>58000</v>
      </c>
      <c r="O22" s="36">
        <f>IF(SUM(N18:N19)-N29*92&gt;=0,N22,IF(SUM(N18:N19)+N22-N29*92&gt;=0,SUM(N18:N19)+N22-N29*92,0))</f>
        <v>58000</v>
      </c>
      <c r="P22" s="36">
        <f>IF(SUM(O18:O19)-O29*90&gt;=0,O22,IF(SUM(O18:O19)+O22-O29*90&gt;=0,SUM(O18:O19)+O22-O29*90,0))</f>
        <v>58000</v>
      </c>
      <c r="Q22" s="36">
        <f>IF(SUM(P18:P19)-P29*275&gt;=0,P22,IF(SUM(P18:P19)+P22-P29*275&gt;=0,SUM(P18:P19)+P22-P29*275,0))</f>
        <v>0</v>
      </c>
      <c r="R22" s="36">
        <f>IF(SUM(Q18:Q19)-Q29*366&gt;=0,Q22,IF(SUM(Q18:Q19)+Q22-Q29*366&gt;=0,SUM(Q18:Q19)+Q22-Q29*366,0))</f>
        <v>0</v>
      </c>
      <c r="S22" s="36">
        <f>IF(SUM(R18:R19)-R29*365&gt;=0,R22,IF(SUM(R18:R19)+R22-R29*365&gt;=0,SUM(R18:R19)+R22-R29*365,0))</f>
        <v>0</v>
      </c>
      <c r="T22" s="36">
        <f>IF(SUM(S18:S19)-S29*365&gt;=0,S22,IF(SUM(S18:S19)+S22-S29*365&gt;=0,SUM(S18:S19)+S22-S29*365,0))</f>
        <v>0</v>
      </c>
      <c r="U22" s="36">
        <f>IF(SUM(T18:T19)-T29*365&gt;=0,T22,IF(SUM(T18:T19)+T22-T29*365&gt;=0,SUM(T18:T19)+T22-T29*365,0))</f>
        <v>0</v>
      </c>
      <c r="V22" s="36">
        <f>IF(SUM(U18:U19)-U29*365&gt;=0,U22,IF(SUM(U18:U19)+U22-U29*365&gt;=0,SUM(U18:U19)+U22-U29*365,0))</f>
        <v>0</v>
      </c>
      <c r="W22" s="36"/>
    </row>
    <row r="23" spans="2:23" x14ac:dyDescent="0.25">
      <c r="B23" s="24" t="s">
        <v>29</v>
      </c>
      <c r="C23" t="s">
        <v>35</v>
      </c>
      <c r="E23" s="10"/>
      <c r="F23" s="10"/>
      <c r="G23" s="10"/>
      <c r="H23" s="10"/>
      <c r="I23" s="10"/>
      <c r="J23" s="10">
        <f>M8*C8</f>
        <v>607200</v>
      </c>
      <c r="K23" s="47">
        <f>M8</f>
        <v>759000</v>
      </c>
      <c r="L23" s="36">
        <f>J23</f>
        <v>607200</v>
      </c>
      <c r="M23" s="37">
        <f>IF(SUM(L18:L19)+L22-L29*91&gt;=0,L23,IF(SUM(L18:L19)+SUM(L22:L23)-L29*91&gt;=0,SUM(L18:L19)+SUM(L22:L23)-L29*91,0))</f>
        <v>607200</v>
      </c>
      <c r="N23" s="37">
        <f>IF(SUM(M18:M19)+M22-M29*92&gt;=0,M23,IF(SUM(M18:M19)+SUM(M22:M23)-M29*92&gt;=0,SUM(M18:M19)+SUM(M22:M23)-M29*92,0))</f>
        <v>607200</v>
      </c>
      <c r="O23" s="37">
        <f>IF(SUM(N18:N19)+N22-N29*92&gt;=0,N23,IF(SUM(N18:N19)+SUM(N22:N23)-N29*92&gt;=0,SUM(N18:N19)+SUM(N22:N23)-N29*92,0))</f>
        <v>607200</v>
      </c>
      <c r="P23" s="37">
        <f>IF(SUM(O18:O19)+O22-O29*90&gt;=0,O23,IF(SUM(O18:O19)+SUM(O22:O23)-O29*90&gt;=0,SUM(O18:O19)+SUM(O22:O23)-O29*90,0))</f>
        <v>607200</v>
      </c>
      <c r="Q23" s="37">
        <f>IF(SUM(P18:P19)+P22-P29*275&gt;=0,P23,IF(SUM(P18:P19)+SUM(P22:P23)-P29*275&gt;=0,SUM(P18:P19)+SUM(P22:P23)-P29*275,0))</f>
        <v>382106</v>
      </c>
      <c r="R23" s="37">
        <f>IF(SUM(Q18:Q19)+Q22-Q29*366&gt;=0,Q23,IF(SUM(Q18:Q19)+SUM(Q22:Q23)-Q29*366&gt;=0,SUM(Q18:Q19)+SUM(Q22:Q23)-Q29*366,0))</f>
        <v>0</v>
      </c>
      <c r="S23" s="37">
        <f>IF(SUM(R18:R19)+R22-R29*365&gt;=0,R23,IF(SUM(R18:R19)+SUM(R22:R23)-R29*365&gt;=0,SUM(R18:R19)+SUM(R22:R23)-R29*365,0))</f>
        <v>0</v>
      </c>
      <c r="T23" s="37">
        <f>IF(SUM(S18:S19)+S22-S29*365&gt;=0,S23,IF(SUM(S18:S19)+SUM(S22:S23)-S29*365&gt;=0,SUM(S18:S19)+SUM(S22:S23)-S29*365,0))</f>
        <v>0</v>
      </c>
      <c r="U23" s="37">
        <f>IF(SUM(T18:T19)+T22-T29*365&gt;=0,T23,IF(SUM(T18:T19)+SUM(T22:T23)-T29*365&gt;=0,SUM(T18:T19)+SUM(T22:T23)-T29*365,0))</f>
        <v>0</v>
      </c>
      <c r="V23" s="37">
        <f>IF(SUM(U18:U19)+U22-U29*365&gt;=0,U23,IF(SUM(U18:U19)+SUM(U22:U23)-U29*365&gt;=0,SUM(U18:U19)+SUM(U22:U23)-U29*365,0))</f>
        <v>0</v>
      </c>
      <c r="W23" s="36"/>
    </row>
    <row r="24" spans="2:23" x14ac:dyDescent="0.25">
      <c r="B24" s="24"/>
      <c r="K24" s="49"/>
      <c r="L24" s="35"/>
      <c r="M24" s="38"/>
      <c r="N24" s="38"/>
      <c r="O24" s="38"/>
      <c r="P24" s="38"/>
      <c r="Q24" s="38"/>
      <c r="R24" s="35"/>
      <c r="S24" s="35"/>
      <c r="T24" s="35"/>
      <c r="U24" s="35"/>
      <c r="V24" s="35"/>
      <c r="W24" s="35"/>
    </row>
    <row r="25" spans="2:23" ht="15.75" thickBot="1" x14ac:dyDescent="0.3">
      <c r="B25" s="7" t="s">
        <v>76</v>
      </c>
      <c r="G25" s="10"/>
      <c r="K25" s="49"/>
      <c r="L25" s="35"/>
      <c r="M25" s="38"/>
      <c r="N25" s="38"/>
      <c r="O25" s="38"/>
      <c r="P25" s="38"/>
      <c r="Q25" s="38"/>
      <c r="R25" s="35"/>
      <c r="S25" s="35"/>
      <c r="T25" s="35"/>
      <c r="U25" s="35"/>
      <c r="V25" s="35"/>
      <c r="W25" s="35"/>
    </row>
    <row r="26" spans="2:23" x14ac:dyDescent="0.25">
      <c r="B26" s="24" t="s">
        <v>77</v>
      </c>
      <c r="C26" t="s">
        <v>35</v>
      </c>
      <c r="H26" s="15"/>
      <c r="I26" s="15">
        <f>AVERAGE(E40:J40)</f>
        <v>0.86900000000000011</v>
      </c>
      <c r="J26" s="10">
        <f>T7*C9</f>
        <v>0</v>
      </c>
      <c r="K26" s="47">
        <f>T7</f>
        <v>974000</v>
      </c>
      <c r="L26" s="36">
        <f>J26</f>
        <v>0</v>
      </c>
      <c r="M26" s="37">
        <f>IF(SUM(L18:L19)+SUM(L22:L23)-L29*91&gt;=0,L26,IF(SUM(L18:L19)+SUM(L22:L23)+L26-L29*91&gt;=0,SUM(L18:L19)+SUM(L22:L23)+L26-L29*91,0))</f>
        <v>0</v>
      </c>
      <c r="N26" s="37">
        <f>IF(SUM(M18:M19)+SUM(M22:M23)-M29*92&gt;=0,M26,IF(SUM(M18:M19)+SUM(M22:M23)+M26-M29*92&gt;=0,SUM(M18:M19)+SUM(M22:M23)+M26-M29*92,0))</f>
        <v>0</v>
      </c>
      <c r="O26" s="37">
        <f>IF(SUM(N18:N19)+SUM(N22:N23)-N29*92&gt;=0,N26,IF(SUM(N18:N19)+SUM(N22:N23)+N26-N29*92&gt;=0,SUM(N18:N19)+SUM(N22:N23)+N26-N29*92,0))</f>
        <v>0</v>
      </c>
      <c r="P26" s="37">
        <f>IF(SUM(O18:O19)+SUM(O22:O23)-O29*90&gt;=0,O26,IF(SUM(O18:O19)+SUM(O22:O23)+O26-O29*90&gt;=0,SUM(O18:O19)+SUM(O22:O23)+O26-O29*90,0))</f>
        <v>0</v>
      </c>
      <c r="Q26" s="37">
        <f>IF(SUM(P18:P19)+SUM(P22:P23)-P29*275&gt;=0,P26,IF(SUM(P18:P19)+SUM(P22:P23)+P26-P29*275&gt;=0,SUM(P18:P19)+SUM(P22:P23)+P26-P29*275,0))</f>
        <v>0</v>
      </c>
      <c r="R26" s="37">
        <f>IF(SUM(Q18:Q19)+SUM(Q22:Q23)-Q29*366&gt;=0,Q26,IF(SUM(Q18:Q19)+SUM(Q22:Q23)+Q26-Q29*366&gt;=0,SUM(Q18:Q19)+SUM(Q22:Q23)+Q26-Q29*366,0))</f>
        <v>0</v>
      </c>
      <c r="S26" s="37">
        <f>IF(SUM(R18:R19)+SUM(R22:R23)-R29*365&gt;=0,R26,IF(SUM(R18:R19)+SUM(R22:R23)+R26-R29*365&gt;=0,SUM(R18:R19)+SUM(R22:R23)+R26-R29*365,0))</f>
        <v>0</v>
      </c>
      <c r="T26" s="37">
        <f>IF(SUM(S18:S19)+SUM(S22:S23)-S29*365&gt;=0,S26,IF(SUM(S18:S19)+SUM(S22:S23)+S26-S29*365&gt;=0,SUM(S18:S19)+SUM(S22:S23)+S26-S29*365,0))</f>
        <v>0</v>
      </c>
      <c r="U26" s="37">
        <f>IF(SUM(T18:T19)+SUM(T22:T23)-T29*365&gt;=0,T26,IF(SUM(T18:T19)+SUM(T22:T23)+T26-T29*365&gt;=0,SUM(T18:T19)+SUM(T22:T23)+T26-T29*365,0))</f>
        <v>0</v>
      </c>
      <c r="V26" s="37">
        <f>IF(SUM(U18:U19)+SUM(U22:U23)-U29*365&gt;=0,U26,IF(SUM(U18:U19)+SUM(U22:U23)+U26-U29*365&gt;=0,SUM(U18:U19)+SUM(U22:U23)+U26-U29*365,0))</f>
        <v>0</v>
      </c>
      <c r="W26" s="35"/>
    </row>
    <row r="27" spans="2:23" x14ac:dyDescent="0.25">
      <c r="B27" s="24"/>
      <c r="K27" s="49"/>
      <c r="L27" s="35"/>
      <c r="M27" s="35"/>
      <c r="N27" s="35"/>
      <c r="O27" s="35"/>
      <c r="P27" s="35"/>
      <c r="Q27" s="35"/>
      <c r="R27" s="35"/>
      <c r="S27" s="35"/>
      <c r="T27" s="35"/>
      <c r="U27" s="35"/>
      <c r="V27" s="35"/>
      <c r="W27" s="35"/>
    </row>
    <row r="28" spans="2:23" ht="15.75" thickBot="1" x14ac:dyDescent="0.3">
      <c r="B28" s="7" t="s">
        <v>31</v>
      </c>
      <c r="K28" s="49"/>
      <c r="L28" s="35"/>
      <c r="M28" s="35"/>
      <c r="N28" s="35"/>
      <c r="O28" s="35"/>
      <c r="P28" s="35"/>
      <c r="Q28" s="35"/>
      <c r="R28" s="35"/>
      <c r="S28" s="35"/>
      <c r="T28" s="35"/>
      <c r="U28" s="35"/>
      <c r="V28" s="35"/>
      <c r="W28" s="35"/>
    </row>
    <row r="29" spans="2:23" x14ac:dyDescent="0.25">
      <c r="B29" t="s">
        <v>32</v>
      </c>
      <c r="C29" t="s">
        <v>33</v>
      </c>
      <c r="E29" s="10">
        <f>1224</f>
        <v>1224</v>
      </c>
      <c r="F29" s="10">
        <f>1203</f>
        <v>1203</v>
      </c>
      <c r="G29" s="10">
        <f>G30/365</f>
        <v>867.69315068493154</v>
      </c>
      <c r="H29" s="10">
        <f>H30/366</f>
        <v>904.84699453551912</v>
      </c>
      <c r="I29" s="10">
        <f>I30/365</f>
        <v>1146.6136986301369</v>
      </c>
      <c r="J29" s="10">
        <f>J30/90</f>
        <v>1165.4888888888888</v>
      </c>
      <c r="K29" s="47">
        <f>AVERAGE(L29:V29)</f>
        <v>1080</v>
      </c>
      <c r="L29" s="36">
        <v>1080</v>
      </c>
      <c r="M29" s="36">
        <v>1080</v>
      </c>
      <c r="N29" s="36">
        <v>1080</v>
      </c>
      <c r="O29" s="36">
        <v>1080</v>
      </c>
      <c r="P29" s="36">
        <f>1080</f>
        <v>1080</v>
      </c>
      <c r="Q29" s="36">
        <f>P29</f>
        <v>1080</v>
      </c>
      <c r="R29" s="36">
        <f t="shared" ref="R29:V29" si="1">Q29</f>
        <v>1080</v>
      </c>
      <c r="S29" s="36">
        <f t="shared" si="1"/>
        <v>1080</v>
      </c>
      <c r="T29" s="36">
        <f t="shared" si="1"/>
        <v>1080</v>
      </c>
      <c r="U29" s="36">
        <f t="shared" si="1"/>
        <v>1080</v>
      </c>
      <c r="V29" s="36">
        <f t="shared" si="1"/>
        <v>1080</v>
      </c>
      <c r="W29" s="36"/>
    </row>
    <row r="30" spans="2:23" x14ac:dyDescent="0.25">
      <c r="B30" t="s">
        <v>34</v>
      </c>
      <c r="C30" t="s">
        <v>35</v>
      </c>
      <c r="E30" s="10">
        <v>446924</v>
      </c>
      <c r="F30" s="10">
        <v>439005</v>
      </c>
      <c r="G30" s="10">
        <v>316708</v>
      </c>
      <c r="H30" s="10">
        <v>331174</v>
      </c>
      <c r="I30" s="10">
        <v>418514</v>
      </c>
      <c r="J30" s="10">
        <v>104894</v>
      </c>
      <c r="K30" s="47">
        <f>SUM(L30:V30)</f>
        <v>1073306</v>
      </c>
      <c r="L30" s="36">
        <f>L29*91</f>
        <v>98280</v>
      </c>
      <c r="M30" s="36">
        <f>M29*92</f>
        <v>99360</v>
      </c>
      <c r="N30" s="36">
        <f>N29*92</f>
        <v>99360</v>
      </c>
      <c r="O30" s="36">
        <f>O29*90</f>
        <v>97200</v>
      </c>
      <c r="P30" s="36">
        <f>IF(P29*275&gt;=P26+SUM(P22:P23)+SUM(P18:P19),P26+SUM(P22:P23)+SUM(P18:P19),P29*275)</f>
        <v>297000</v>
      </c>
      <c r="Q30" s="36">
        <f>IF(Q29*366&gt;=Q26+SUM(Q22:Q23)+SUM(Q18:Q19),Q26+SUM(Q22:Q23)+SUM(Q18:Q19),Q29*366)</f>
        <v>382106</v>
      </c>
      <c r="R30" s="36">
        <f>IF(R29*365&gt;=R26+SUM(R22:R23)+SUM(R18:R19),R26+SUM(R22:R23)+SUM(R18:R19),R29*365)</f>
        <v>0</v>
      </c>
      <c r="S30" s="36">
        <f t="shared" ref="S30:T30" si="2">IF(S29*365&gt;=S26+SUM(S22:S23)+SUM(S18:S19),S26+SUM(S22:S23)+SUM(S18:S19),S29*365)</f>
        <v>0</v>
      </c>
      <c r="T30" s="36">
        <f t="shared" si="2"/>
        <v>0</v>
      </c>
      <c r="U30" s="36">
        <f>IF(U29*366&gt;=U26+SUM(U22:U23)+SUM(U18:U19),U26+SUM(U22:U23)+SUM(U18:U19),U29*366)</f>
        <v>0</v>
      </c>
      <c r="V30" s="36">
        <f>IF(V29*366&gt;=V26+SUM(V22:V23)+SUM(V18:V19),V26+SUM(V22:V23)+SUM(V18:V19),V29*366)</f>
        <v>0</v>
      </c>
      <c r="W30" s="36"/>
    </row>
    <row r="31" spans="2:23" x14ac:dyDescent="0.25">
      <c r="B31" t="s">
        <v>36</v>
      </c>
      <c r="C31" t="s">
        <v>37</v>
      </c>
      <c r="E31">
        <v>80</v>
      </c>
      <c r="F31">
        <v>86</v>
      </c>
      <c r="G31">
        <v>73</v>
      </c>
      <c r="H31">
        <v>40</v>
      </c>
      <c r="I31">
        <v>42</v>
      </c>
      <c r="J31">
        <v>61</v>
      </c>
      <c r="K31" s="46">
        <f>AVERAGEIF(L31:V31,"&gt;0")</f>
        <v>78.115364758698092</v>
      </c>
      <c r="L31" s="35">
        <v>48</v>
      </c>
      <c r="M31" s="35">
        <v>48</v>
      </c>
      <c r="N31" s="35">
        <v>48</v>
      </c>
      <c r="O31" s="35">
        <f>IF(O19&gt;=O29*90,G8,IF(O19&lt;O29*90,(O19*G8+(O29*90-O19)*N7)/(O29*90)))</f>
        <v>65</v>
      </c>
      <c r="P31" s="40">
        <f>IF(P18&gt;=P29*275,$G$7,IF(AND(P18=0,P19&gt;=P29*275),$G$8,IF(AND(P18+P19=0,P22&gt;=P29*275),$N$7,IF(AND(SUM(P18:P19)+P22=0,P23&gt;=P29*275),$N$8,IF(AND(SUM(P18:P19)+SUM(P22:P23)=0,P26&gt;=P29*275),$U$7,IF(SUM(P18:P19)+SUM(P22:P23)+P26=0,0,IF(AND(P29*275&gt;SUM(P18:P19),SUM(P18:P19)+P22&gt;=P29*275),(P18*$G$7+P19*$G$8+(P22-Q22)*$N$7)/(P29*275),IF(AND(P29*275&gt;P19+P22,P19+SUM(P22:P23)&gt;=P29*275),(P19*$G$8+P22*$N$7+(P23-Q23)*$N$8)/(P29*275),IF(AND(P29*275&gt;SUM(P22:P23),SUM(P22:P23)+P26&gt;=P29*275),(P22*$N$7+P23*$N$8+(P26-Q26)*$U$7)/(P29*275),IF(AND(P29*275&gt;P18,P18+P19&gt;=P29*275),(P18*$G$7+(P19-Q19)*$G$8)/(P29*275),IF(AND(P29*275&gt;P19,P19+P22&gt;=P29*275),(P19*$G$8+(P22-Q22)*$N$7)/(P29*275),IF(AND(P29*275&gt;P22,SUM(P22:P23)&gt;=P29*275),(P22*$N$7+(P23-Q23)*$N$8)/(P29*275),IF(AND(P29*275&gt;P23,P23+P26&gt;=P29*275),(P23*$N$8+(P26-Q26)*$U$7)/(P29*275),IF(AND(P18&gt;0,P19&gt;0,P29*275&gt;SUM(P18:P19)),(P18*$G$7+P19*$G$8)/SUM(P18:P19),IF(AND(P19&gt;0,P22&gt;0,P29*275&gt;SUM(P19:P22)),(P19*$G$8+P22*$N$7)/SUM(P19:P22),IF(AND(P22&gt;0,P23&gt;0,P29*275&gt;SUM(P22:P23)),(P22*$N$7+P23*$N$8)/SUM(P22:P23),IF(AND(P23&gt;0,P26&gt;0,P29*275&gt;SUM(P23:P26)),(P23*$N$8+P26*$U$7)/SUM(P23:P26),IF(AND(P19&gt;0,P29*275&gt;P19),$G$8,IF(AND(P22&gt;0,P29*275&gt;P22),$N$7,IF(AND(P23&gt;0,P29*275&gt;P23),$N$8,IF(AND(P26&gt;0,P29*275&gt;P26),$U$7)))))))))))))))))))))</f>
        <v>124.69218855218855</v>
      </c>
      <c r="Q31" s="40">
        <f>IF(Q18&gt;=Q29*366,$G$7,IF(AND(Q18=0,Q19&gt;=Q29*366),$G$8,IF(AND(Q18+Q19=0,Q22&gt;=Q29*366),$N$7,IF(AND(SUM(Q18:Q19)+Q22=0,Q23&gt;=Q29*366),$N$8,IF(AND(SUM(Q18:Q19)+SUM(Q22:Q23)=0,Q26&gt;=Q29*366),$U$7,IF(SUM(Q18:Q19)+SUM(Q22:Q23)+Q26=0,0,IF(AND(Q29*366&gt;SUM(Q18:Q19),SUM(Q18:Q19)+Q22&gt;=Q29*366),(Q18*$G$7+Q19*$G$8+(Q22-R22)*$N$7)/(Q29*366),IF(AND(Q29*366&gt;Q19+Q22,Q19+SUM(Q22:Q23)&gt;=Q29*366),(Q19*$G$8+Q22*$N$7+(Q23-R23)*$N$8)/(Q29*366),IF(AND(Q29*366&gt;SUM(Q22:Q23),SUM(Q22:Q23)+Q26&gt;=Q29*366),(Q22*$N$7+Q23*$N$8+(Q26-R26)*$U$7)/(Q29*366),IF(AND(Q29*366&gt;Q18,Q18+Q19&gt;=Q29*366),(Q18*$G$7+(Q19-R19)*$G$8)/(Q29*366),IF(AND(Q29*366&gt;Q19,Q19+Q22&gt;=Q29*366),(Q19*$G$8+(Q22-R22)*$N$7)/(Q29*366),IF(AND(Q29*366&gt;Q22,SUM(Q22:Q23)&gt;=Q29*366),(Q22*$N$7+(Q23-R23)*$N$8)/(Q29*366),IF(AND(Q29*366&gt;Q23,Q23+Q26&gt;=Q29*366),(Q23*$N$8+(Q26-R26)*$U$7)/(Q29*366),IF(AND(Q18&gt;0,Q19&gt;0,Q29*366&gt;SUM(Q18:Q19)),(Q18*$G$7+Q19*$G$8)/SUM(Q18:Q19),IF(AND(Q19&gt;0,Q22&gt;0,Q29*366&gt;SUM(Q19:Q22)),(Q19*$G$8+Q22*$N$7)/SUM(Q19:Q22),IF(AND(Q22&gt;0,Q23&gt;0,Q29*366&gt;SUM(Q22:Q23)),(Q22*$N$7+Q23*$N$8)/SUM(Q22:Q23),IF(AND(Q23&gt;0,Q26&gt;0,Q29*366&gt;SUM(Q23:Q26)),(Q23*$N$8+Q26*$U$7)/SUM(Q23:Q26),IF(AND(Q19&gt;0,Q29*366&gt;Q19),$G$8,IF(AND(Q22&gt;0,Q29*366&gt;Q22),$N$7,IF(AND(Q23&gt;0,Q29*366&gt;Q23),$N$8,IF(AND(Q26&gt;0,Q29*366&gt;Q26),$U$7)))))))))))))))))))))</f>
        <v>135</v>
      </c>
      <c r="R31" s="40">
        <f>IF(R18&gt;=R29*365,$G$7,IF(AND(R18=0,R19&gt;=R29*365),$G$8,IF(AND(R18+R19=0,R22&gt;=R29*365),$N$7,IF(AND(SUM(R18:R19)+R22=0,R23&gt;=R29*365),$N$8,IF(AND(SUM(R18:R19)+SUM(R22:R23)=0,R26&gt;=R29*365),$U$7,IF(SUM(R18:R19)+SUM(R22:R23)+R26=0,0,IF(AND(R29*365&gt;SUM(R18:R19),SUM(R18:R19)+R22&gt;=R29*365),(R18*$G$7+R19*$G$8+(R22-S22)*$N$7)/(R29*365),IF(AND(R29*365&gt;R19+R22,R19+SUM(R22:R23)&gt;=R29*365),(R19*$G$8+R22*$N$7+(R23-S23)*$N$8)/(R29*365),IF(AND(R29*365&gt;SUM(R22:R23),SUM(R22:R23)+R26&gt;=R29*365),(R22*$N$7+R23*$N$8+(R26-S26)*$U$7)/(R29*365),IF(AND(R29*365&gt;R18,R18+R19&gt;=R29*365),(R18*$G$7+(R19-S19)*$G$8)/(R29*365),IF(AND(R29*365&gt;R19,R19+R22&gt;=R29*365),(R19*$G$8+(R22-S22)*$N$7)/(R29*365),IF(AND(R29*365&gt;R22,SUM(R22:R23)&gt;=R29*365),(R22*$N$7+(R23-S23)*$N$8)/(R29*365),IF(AND(R29*365&gt;R23,R23+R26&gt;=R29*365),(R23*$N$8+(R26-S26)*$U$7)/(R29*365),IF(AND(R18&gt;0,R19&gt;0,R29*365&gt;SUM(R18:R19)),(R18*$G$7+R19*$G$8)/SUM(R18:R19),IF(AND(R19&gt;0,R22&gt;0,R29*365&gt;SUM(R19:R22)),(R19*$G$8+R22*$N$7)/SUM(R19:R22),IF(AND(R22&gt;0,R23&gt;0,R29*365&gt;SUM(R22:R23)),(R22*$N$7+R23*$N$8)/SUM(R22:R23),IF(AND(R23&gt;0,R26&gt;0,R29*365&gt;SUM(R23:R26)),(R23*$N$8+R26*$U$7)/SUM(R23:R26),IF(AND(R19&gt;0,R29*365&gt;R19),$G$8,IF(AND(R22&gt;0,R29*365&gt;R22),$N$7,IF(AND(R23&gt;0,R29*365&gt;R23),$N$8,IF(AND(R26&gt;0,R29*365&gt;R26),$U$7)))))))))))))))))))))</f>
        <v>0</v>
      </c>
      <c r="S31" s="40">
        <f>IF(S18&gt;=S29*365,$G$7,IF(AND(S18=0,S19&gt;=S29*365),$G$8,IF(AND(S18+S19=0,S22&gt;=S29*365),$N$7,IF(AND(SUM(S18:S19)+S22=0,S23&gt;=S29*365),$N$8,IF(AND(SUM(S18:S19)+SUM(S22:S23)=0,S26&gt;=S29*365),$U$7,IF(SUM(S18:S19)+SUM(S22:S23)+S26=0,0,IF(AND(S29*365&gt;SUM(S18:S19),SUM(S18:S19)+S22&gt;=S29*365),(S18*$G$7+S19*$G$8+(S22-T22)*$N$7)/(S29*365),IF(AND(S29*365&gt;S19+S22,S19+SUM(S22:S23)&gt;=S29*365),(S19*$G$8+S22*$N$7+(S23-T23)*$N$8)/(S29*365),IF(AND(S29*365&gt;SUM(S22:S23),SUM(S22:S23)+S26&gt;=S29*365),(S22*$N$7+S23*$N$8+(S26-T26)*$U$7)/(S29*365),IF(AND(S29*365&gt;S18,S18+S19&gt;=S29*365),(S18*$G$7+(S19-T19)*$G$8)/(S29*365),IF(AND(S29*365&gt;S19,S19+S22&gt;=S29*365),(S19*$G$8+(S22-T22)*$N$7)/(S29*365),IF(AND(S29*365&gt;S22,SUM(S22:S23)&gt;=S29*365),(S22*$N$7+(S23-T23)*$N$8)/(S29*365),IF(AND(S29*365&gt;S23,S23+S26&gt;=S29*365),(S23*$N$8+(S26-T26)*$U$7)/(S29*365),IF(AND(S18&gt;0,S19&gt;0,S29*365&gt;SUM(S18:S19)),(S18*$G$7+S19*$G$8)/SUM(S18:S19),IF(AND(S19&gt;0,S22&gt;0,S29*365&gt;SUM(S19:S22)),(S19*$G$8+S22*$N$7)/SUM(S19:S22),IF(AND(S22&gt;0,S23&gt;0,S29*365&gt;SUM(S22:S23)),(S22*$N$7+S23*$N$8)/SUM(S22:S23),IF(AND(S23&gt;0,S26&gt;0,S29*365&gt;SUM(S23:S26)),(S23*$N$8+S26*$U$7)/SUM(S23:S26),IF(AND(S19&gt;0,S29*365&gt;S19),$G$8,IF(AND(S22&gt;0,S29*365&gt;S22),$N$7,IF(AND(S23&gt;0,S29*365&gt;S23),$N$8,IF(AND(S26&gt;0,S29*365&gt;S26),$U$7)))))))))))))))))))))</f>
        <v>0</v>
      </c>
      <c r="T31" s="40">
        <f>IF(T18&gt;=T29*365,$G$7,IF(AND(T18=0,T19&gt;=T29*365),$G$8,IF(AND(T18+T19=0,T22&gt;=T29*365),$N$7,IF(AND(SUM(T18:T19)+T22=0,T23&gt;=T29*365),$N$8,IF(AND(SUM(T18:T19)+SUM(T22:T23)=0,T26&gt;=T29*365),$U$7,IF(SUM(T18:T19)+SUM(T22:T23)+T26=0,0,IF(AND(T29*365&gt;SUM(T18:T19),SUM(T18:T19)+T22&gt;=T29*365),(T18*$G$7+T19*$G$8+(T22-U22)*$N$7)/(T29*365),IF(AND(T29*365&gt;T19+T22,T19+SUM(T22:T23)&gt;=T29*365),(T19*$G$8+T22*$N$7+(T23-U23)*$N$8)/(T29*365),IF(AND(T29*365&gt;SUM(T22:T23),SUM(T22:T23)+T26&gt;=T29*365),(T22*$N$7+T23*$N$8+(T26-U26)*$U$7)/(T29*365),IF(AND(T29*365&gt;T18,T18+T19&gt;=T29*365),(T18*$G$7+(T19-U19)*$G$8)/(T29*365),IF(AND(T29*365&gt;T19,T19+T22&gt;=T29*365),(T19*$G$8+(T22-U22)*$N$7)/(T29*365),IF(AND(T29*365&gt;T22,SUM(T22:T23)&gt;=T29*365),(T22*$N$7+(T23-U23)*$N$8)/(T29*365),IF(AND(T29*365&gt;T23,T23+T26&gt;=T29*365),(T23*$N$8+(T26-U26)*$U$7)/(T29*365),IF(AND(T18&gt;0,T19&gt;0,T29*365&gt;SUM(T18:T19)),(T18*$G$7+T19*$G$8)/SUM(T18:T19),IF(AND(T19&gt;0,T22&gt;0,T29*365&gt;SUM(T19:T22)),(T19*$G$8+T22*$N$7)/SUM(T19:T22),IF(AND(T22&gt;0,T23&gt;0,T29*365&gt;SUM(T22:T23)),(T22*$N$7+T23*$N$8)/SUM(T22:T23),IF(AND(T23&gt;0,T26&gt;0,T29*365&gt;SUM(T23:T26)),(T23*$N$8+T26*$U$7)/SUM(T23:T26),IF(AND(T19&gt;0,T29*365&gt;T19),$G$8,IF(AND(T22&gt;0,T29*365&gt;T22),$N$7,IF(AND(T23&gt;0,T29*365&gt;T23),$N$8,IF(AND(T26&gt;0,T29*365&gt;T26),$U$7)))))))))))))))))))))</f>
        <v>0</v>
      </c>
      <c r="U31" s="40">
        <f>IF(U18&gt;=U29*366,$G$7,IF(AND(U18=0,U19&gt;=U29*366),$G$8,IF(AND(U18+U19=0,U22&gt;=U29*366),$N$7,IF(AND(SUM(U18:U19)+U22=0,U23&gt;=U29*366),$N$8,IF(AND(SUM(U18:U19)+SUM(U22:U23)=0,U26&gt;=U29*366),$U$7,IF(SUM(U18:U19)+SUM(U22:U23)+U26=0,0,IF(AND(U29*366&gt;SUM(U18:U19),SUM(U18:U19)+U22&gt;=U29*366),(U18*$G$7+U19*$G$8+(U22-V22)*$N$7)/(U29*366),IF(AND(U29*366&gt;U19+U22,U19+SUM(U22:U23)&gt;=U29*366),(U19*$G$8+U22*$N$7+(U23-V23)*$N$8)/(U29*366),IF(AND(U29*366&gt;SUM(U22:U23),SUM(U22:U23)+U26&gt;=U29*366),(U22*$N$7+U23*$N$8+(U26-V26)*$U$7)/(U29*366),IF(AND(U29*366&gt;U18,U18+U19&gt;=U29*366),(U18*$G$7+(U19-V19)*$G$8)/(U29*366),IF(AND(U29*366&gt;U19,U19+U22&gt;=U29*366),(U19*$G$8+(U22-V22)*$N$7)/(U29*366),IF(AND(U29*366&gt;U22,SUM(U22:U23)&gt;=U29*366),(U22*$N$7+(U23-V23)*$N$8)/(U29*366),IF(AND(U29*366&gt;U23,U23+U26&gt;=U29*366),(U23*$N$8+(U26-V26)*$U$7)/(U29*366),IF(AND(U18&gt;0,U19&gt;0,U29*366&gt;SUM(U18:U19)),(U18*$G$7+U19*$G$8)/SUM(U18:U19),IF(AND(U19&gt;0,U22&gt;0,U29*366&gt;SUM(U19:U22)),(U19*$G$8+U22*$N$7)/SUM(U19:U22),IF(AND(U22&gt;0,U23&gt;0,U29*366&gt;SUM(U22:U23)),(U22*$N$7+U23*$N$8)/SUM(U22:U23),IF(AND(U23&gt;0,U26&gt;0,U29*366&gt;SUM(U23:U26)),(U23*$N$8+U26*$U$7)/SUM(U23:U26),IF(AND(U19&gt;0,U29*366&gt;U19),$G$8,IF(AND(U22&gt;0,U29*366&gt;U22),$N$7,IF(AND(U23&gt;0,U29*366&gt;U23),$N$8,IF(AND(U26&gt;0,U29*366&gt;U26),$U$7)))))))))))))))))))))</f>
        <v>0</v>
      </c>
      <c r="V31" s="40">
        <f>IF(V18&gt;=V29*366,$G$7,IF(AND(V18=0,V19&gt;=V29*366),$G$8,IF(AND(V18+V19=0,V22&gt;=V29*366),$N$7,IF(AND(SUM(V18:V19)+V22=0,V23&gt;=V29*366),$N$8,IF(AND(SUM(V18:V19)+SUM(V22:V23)=0,V26&gt;=V29*366),$U$7,IF(SUM(V18:V19)+SUM(V22:V23)+V26=0,0,IF(AND(V29*366&gt;SUM(V18:V19),SUM(V18:V19)+V22&gt;=V29*366),(V18*$G$7+V19*$G$8+(V22-W22)*$N$7)/(V29*366),IF(AND(V29*366&gt;V19+V22,V19+SUM(V22:V23)&gt;=V29*366),(V19*$G$8+V22*$N$7+(V23-W23)*$N$8)/(V29*366),IF(AND(V29*366&gt;SUM(V22:V23),SUM(V22:V23)+V26&gt;=V29*366),(V22*$N$7+V23*$N$8+(V26-W26)*$U$7)/(V29*366),IF(AND(V29*366&gt;V18,V18+V19&gt;=V29*366),(V18*$G$7+(V19-W19)*$G$8)/(V29*366),IF(AND(V29*366&gt;V19,V19+V22&gt;=V29*366),(V19*$G$8+(V22-W22)*$N$7)/(V29*366),IF(AND(V29*366&gt;V22,SUM(V22:V23)&gt;=V29*366),(V22*$N$7+(V23-W23)*$N$8)/(V29*366),IF(AND(V29*366&gt;V23,V23+V26&gt;=V29*366),(V23*$N$8+(V26-W26)*$U$7)/(V29*366),IF(AND(V18&gt;0,V19&gt;0,V29*366&gt;SUM(V18:V19)),(V18*$G$7+V19*$G$8)/SUM(V18:V19),IF(AND(V19&gt;0,V22&gt;0,V29*366&gt;SUM(V19:V22)),(V19*$G$8+V22*$N$7)/SUM(V19:V22),IF(AND(V22&gt;0,V23&gt;0,V29*366&gt;SUM(V22:V23)),(V22*$N$7+V23*$N$8)/SUM(V22:V23),IF(AND(V23&gt;0,V26&gt;0,V29*366&gt;SUM(V23:V26)),(V23*$N$8+V26*$U$7)/SUM(V23:V26),IF(AND(V19&gt;0,V29*366&gt;V19),$G$8,IF(AND(V22&gt;0,V29*366&gt;V22),$N$7,IF(AND(V23&gt;0,V29*366&gt;V23),$N$8,IF(AND(V26&gt;0,V29*366&gt;V26),$U$7)))))))))))))))))))))</f>
        <v>0</v>
      </c>
      <c r="W31" s="35"/>
    </row>
    <row r="32" spans="2:23" x14ac:dyDescent="0.25">
      <c r="B32" t="s">
        <v>38</v>
      </c>
      <c r="C32" t="s">
        <v>37</v>
      </c>
      <c r="E32">
        <v>2.2400000000000002</v>
      </c>
      <c r="F32">
        <v>1.79</v>
      </c>
      <c r="G32">
        <v>1.69</v>
      </c>
      <c r="H32">
        <v>2.02</v>
      </c>
      <c r="I32">
        <v>2.02</v>
      </c>
      <c r="J32">
        <v>1.73</v>
      </c>
      <c r="K32" s="45">
        <f>AVERAGEIF(L32:V32,"&gt;0")</f>
        <v>2.0722950586450586</v>
      </c>
      <c r="L32" s="41">
        <f>(L18*H7+(L30-L18)*H8)/L30-0.14</f>
        <v>2.0347289377289379</v>
      </c>
      <c r="M32" s="35">
        <v>2.04</v>
      </c>
      <c r="N32" s="35">
        <v>2.08</v>
      </c>
      <c r="O32" s="35">
        <f>IF(O19&gt;=O29*90,H8,IF(O19&lt;O29*90,(O19*H8+(O29*90-O19)*O7)/(O289*90)))</f>
        <v>2.08</v>
      </c>
      <c r="P32" s="41">
        <f>IF(P18&gt;=P29*275,$H$7,IF(AND(P18=0,P19&gt;=P29*275),$H$8,IF(AND(P18+P19=0,P22&gt;=P29*275),$O$7,IF(AND(SUM(P18:P19)+P22=0,P23&gt;=P29*275),$O$8,IF(AND(SUM(P18:P19)+SUM(P22:P23)=0,P26&gt;=P29*275),$V$7,IF(SUM(P18:P19)+SUM(P22:P23)+P26=0,0,IF(AND(P29*275&gt;SUM(P18:P19),SUM(P18:P19)+P22&gt;=P29*275),(P18*$G$7+P19*$H$8+(P22-Q22)*$O$7)/(P29*275),IF(AND(P29*275&gt;P19+P22,P19+SUM(P22:P23)&gt;=P29*275),(P19*$H$8+P22*$O$7+(P23-Q23)*$O$8)/(P29*275),IF(AND(P29*275&gt;SUM(P22:P23),SUM(P22:P23)+P26&gt;=P29*275),(P22*$O$7+P23*$O$8+(P26-Q26)*$V$7)/(P29*275),IF(AND(P29*275&gt;P18,P18+P19&gt;=P29*275),(P18*$G$7+(P19-Q19)*$H$8)/(P29*275),IF(AND(P29*275&gt;P19,P19+P22&gt;=P29*275),(P19*$H$8+(P22-Q22)*$O$7)/(P29*275),IF(AND(P29*275&gt;P22,SUM(P22:P23)&gt;=P29*275),(P22*$O$7+(P23-Q23)*$O$8)/(P29*275),IF(AND(P29*275&gt;P23,P23+P26&gt;=P29*275),(P23*$O$8+(P26-Q26)*$V$7)/(P29*275),IF(AND(P18&gt;0,P19&gt;0,P29*275&gt;SUM(P18:P19)),(P18*$H$7+P19*$H$8)/SUM(P18:P19),IF(AND(P19&gt;0,P22&gt;0,P29*275&gt;SUM(P19:P22)),(P19*$H$8+P22*$O$7)/SUM(P19:P22),IF(AND(P22&gt;0,P23&gt;0,P29*275&gt;SUM(P22:P23)),(P22*$O$7+P23*$O$8)/SUM(P22:P23),IF(AND(P23&gt;0,P26&gt;0,P29*275&gt;SUM(P23:P26)),(P23*$O$8+P26*$V$7)/SUM(P23:P26),IF(AND(P19&gt;0,P29*275&gt;P19),$H$8,IF(AND(P22&gt;0,P29*275&gt;P22),$O$7,IF(AND(P23&gt;0,P29*275&gt;P23),$O$8,IF(AND(P26&gt;0,P29*275&gt;P26),$V$7)))))))))))))))))))))</f>
        <v>2.169041414141414</v>
      </c>
      <c r="Q32" s="41">
        <f>IF(Q18&gt;=Q29*366,$H$7,IF(AND(Q18=0,Q19&gt;=Q29*366),$H$8,IF(AND(Q18+Q19=0,Q22&gt;=Q29*366),$O$7,IF(AND(SUM(Q18:Q19)+Q22=0,Q23&gt;=Q29*366),$O$8,IF(AND(SUM(Q18:Q19)+SUM(Q22:Q23)=0,Q26&gt;=Q29*366),$V$7,IF(SUM(Q18:Q19)+SUM(Q22:Q23)+Q26=0,0,IF(AND(Q29*366&gt;SUM(Q18:Q19),SUM(Q18:Q19)+Q22&gt;=Q29*366),(Q18*$G$7+Q19*$H$8+(Q22-R22)*$O$7)/(Q29*366),IF(AND(Q29*366&gt;Q19+Q22,Q19+SUM(Q22:Q23)&gt;=Q29*366),(Q19*$H$8+Q22*$O$7+(Q23-R23)*$O$8)/(Q29*366),IF(AND(Q29*366&gt;SUM(Q22:Q23),SUM(Q22:Q23)+Q26&gt;=Q29*366),(Q22*$O$7+Q23*$O$8+(Q26-R26)*$V$7)/(Q29*366),IF(AND(Q29*366&gt;Q18,Q18+Q19&gt;=Q29*366),(Q18*$G$7+(Q19-R19)*$H$8)/(Q29*366),IF(AND(Q29*366&gt;Q19,Q19+Q22&gt;=Q29*366),(Q19*$H$8+(Q22-R22)*$O$7)/(Q29*366),IF(AND(Q29*366&gt;Q22,SUM(Q22:Q23)&gt;=Q29*366),(Q22*$O$7+(Q23-R23)*$O$8)/(Q29*366),IF(AND(Q29*366&gt;Q23,Q23+Q26&gt;=Q29*366),(Q23*$O$8+(Q26-R26)*$V$7)/(Q29*366),IF(AND(Q18&gt;0,Q19&gt;0,Q29*366&gt;SUM(Q18:Q19)),(Q18*$H$7+Q19*$H$8)/SUM(Q18:Q19),IF(AND(Q19&gt;0,Q22&gt;0,Q29*366&gt;SUM(Q19:Q22)),(Q19*$H$8+Q22*$O$7)/SUM(Q19:Q22),IF(AND(Q22&gt;0,Q23&gt;0,Q29*366&gt;SUM(Q22:Q23)),(Q22*$O$7+Q23*$O$8)/SUM(Q22:Q23),IF(AND(Q23&gt;0,Q26&gt;0,Q29*366&gt;SUM(Q23:Q26)),(Q23*$O$8+Q26*$V$7)/SUM(Q23:Q26),IF(AND(Q19&gt;0,Q29*366&gt;Q19),$H$8,IF(AND(Q22&gt;0,Q29*366&gt;Q22),$O$7,IF(AND(Q23&gt;0,Q29*366&gt;Q23),$O$8,IF(AND(Q26&gt;0,Q29*366&gt;Q26),$V$7)))))))))))))))))))))</f>
        <v>2.0299999999999998</v>
      </c>
      <c r="R32" s="41">
        <f>IF(R18&gt;=R29*365,$H$7,IF(AND(R18=0,R19&gt;=R29*365),$H$8,IF(AND(R18+R19=0,R22&gt;=R29*365),$O$7,IF(AND(SUM(R18:R19)+R22=0,R23&gt;=R29*365),$O$8,IF(AND(SUM(R18:R19)+SUM(R22:R23)=0,R26&gt;=R29*365),$V$7,IF(SUM(R18:R19)+SUM(R22:R23)+R26=0,0,IF(AND(R29*365&gt;SUM(R18:R19),SUM(R18:R19)+R22&gt;=R29*365),(R18*$G$7+R19*$H$8+(R22-S22)*$O$7)/(R29*365),IF(AND(R29*365&gt;R19+R22,R19+SUM(R22:R23)&gt;=R29*365),(R19*$H$8+R22*$O$7+(R23-S23)*$O$8)/(R29*365),IF(AND(R29*365&gt;SUM(R22:R23),SUM(R22:R23)+R26&gt;=R29*365),(R22*$O$7+R23*$O$8+(R26-S26)*$V$7)/(R29*365),IF(AND(R29*365&gt;R18,R18+R19&gt;=R29*365),(R18*$G$7+(R19-S19)*$H$8)/(R29*365),IF(AND(R29*365&gt;R19,R19+R22&gt;=R29*365),(R19*$H$8+(R22-S22)*$O$7)/(R29*365),IF(AND(R29*365&gt;R22,SUM(R22:R23)&gt;=R29*365),(R22*$O$7+(R23-S23)*$O$8)/(R29*365),IF(AND(R29*365&gt;R23,R23+R26&gt;=R29*365),(R23*$O$8+(R26-S26)*$V$7)/(R29*365),IF(AND(R18&gt;0,R19&gt;0,R29*365&gt;SUM(R18:R19)),(R18*$H$7+R19*$H$8)/SUM(R18:R19),IF(AND(R19&gt;0,R22&gt;0,R29*365&gt;SUM(R19:R22)),(R19*$H$8+R22*$O$7)/SUM(R19:R22),IF(AND(R22&gt;0,R23&gt;0,R29*365&gt;SUM(R22:R23)),(R22*$O$7+R23*$O$8)/SUM(R22:R23),IF(AND(R23&gt;0,R26&gt;0,R29*365&gt;SUM(R23:R26)),(R23*$O$8+R26*$V$7)/SUM(R23:R26),IF(AND(R19&gt;0,R29*365&gt;R19),$H$8,IF(AND(R22&gt;0,R29*365&gt;R22),$O$7,IF(AND(R23&gt;0,R29*365&gt;R23),$O$8,IF(AND(R26&gt;0,R29*365&gt;R26),$V$7)))))))))))))))))))))</f>
        <v>0</v>
      </c>
      <c r="S32" s="41">
        <f>IF(S18&gt;=S29*365,$H$7,IF(AND(S18=0,S19&gt;=S29*365),$H$8,IF(AND(S18+S19=0,S22&gt;=S29*365),$O$7,IF(AND(SUM(S18:S19)+S22=0,S23&gt;=S29*365),$O$8,IF(AND(SUM(S18:S19)+SUM(S22:S23)=0,S26&gt;=S29*365),$V$7,IF(SUM(S18:S19)+SUM(S22:S23)+S26=0,0,IF(AND(S29*365&gt;SUM(S18:S19),SUM(S18:S19)+S22&gt;=S29*365),(S18*$G$7+S19*$H$8+(S22-T22)*$O$7)/(S29*365),IF(AND(S29*365&gt;S19+S22,S19+SUM(S22:S23)&gt;=S29*365),(S19*$H$8+S22*$O$7+(S23-T23)*$O$8)/(S29*365),IF(AND(S29*365&gt;SUM(S22:S23),SUM(S22:S23)+S26&gt;=S29*365),(S22*$O$7+S23*$O$8+(S26-T26)*$V$7)/(S29*365),IF(AND(S29*365&gt;S18,S18+S19&gt;=S29*365),(S18*$G$7+(S19-T19)*$H$8)/(S29*365),IF(AND(S29*365&gt;S19,S19+S22&gt;=S29*365),(S19*$H$8+(S22-T22)*$O$7)/(S29*365),IF(AND(S29*365&gt;S22,SUM(S22:S23)&gt;=S29*365),(S22*$O$7+(S23-T23)*$O$8)/(S29*365),IF(AND(S29*365&gt;S23,S23+S26&gt;=S29*365),(S23*$O$8+(S26-T26)*$V$7)/(S29*365),IF(AND(S18&gt;0,S19&gt;0,S29*365&gt;SUM(S18:S19)),(S18*$H$7+S19*$H$8)/SUM(S18:S19),IF(AND(S19&gt;0,S22&gt;0,S29*365&gt;SUM(S19:S22)),(S19*$H$8+S22*$O$7)/SUM(S19:S22),IF(AND(S22&gt;0,S23&gt;0,S29*365&gt;SUM(S22:S23)),(S22*$O$7+S23*$O$8)/SUM(S22:S23),IF(AND(S23&gt;0,S26&gt;0,S29*365&gt;SUM(S23:S26)),(S23*$O$8+S26*$V$7)/SUM(S23:S26),IF(AND(S19&gt;0,S29*365&gt;S19),$H$8,IF(AND(S22&gt;0,S29*365&gt;S22),$O$7,IF(AND(S23&gt;0,S29*365&gt;S23),$O$8,IF(AND(S26&gt;0,S29*365&gt;S26),$V$7)))))))))))))))))))))</f>
        <v>0</v>
      </c>
      <c r="T32" s="41">
        <f>IF(T18&gt;=T29*365,$H$7,IF(AND(T18=0,T19&gt;=T29*365),$H$8,IF(AND(T18+T19=0,T22&gt;=T29*365),$O$7,IF(AND(SUM(T18:T19)+T22=0,T23&gt;=T29*365),$O$8,IF(AND(SUM(T18:T19)+SUM(T22:T23)=0,T26&gt;=T29*365),$V$7,IF(SUM(T18:T19)+SUM(T22:T23)+T26=0,0,IF(AND(T29*365&gt;SUM(T18:T19),SUM(T18:T19)+T22&gt;=T29*365),(T18*$G$7+T19*$H$8+(T22-U22)*$O$7)/(T29*365),IF(AND(T29*365&gt;T19+T22,T19+SUM(T22:T23)&gt;=T29*365),(T19*$H$8+T22*$O$7+(T23-U23)*$O$8)/(T29*365),IF(AND(T29*365&gt;SUM(T22:T23),SUM(T22:T23)+T26&gt;=T29*365),(T22*$O$7+T23*$O$8+(T26-U26)*$V$7)/(T29*365),IF(AND(T29*365&gt;T18,T18+T19&gt;=T29*365),(T18*$G$7+(T19-U19)*$H$8)/(T29*365),IF(AND(T29*365&gt;T19,T19+T22&gt;=T29*365),(T19*$H$8+(T22-U22)*$O$7)/(T29*365),IF(AND(T29*365&gt;T22,SUM(T22:T23)&gt;=T29*365),(T22*$O$7+(T23-U23)*$O$8)/(T29*365),IF(AND(T29*365&gt;T23,T23+T26&gt;=T29*365),(T23*$O$8+(T26-U26)*$V$7)/(T29*365),IF(AND(T18&gt;0,T19&gt;0,T29*365&gt;SUM(T18:T19)),(T18*$H$7+T19*$H$8)/SUM(T18:T19),IF(AND(T19&gt;0,T22&gt;0,T29*365&gt;SUM(T19:T22)),(T19*$H$8+T22*$O$7)/SUM(T19:T22),IF(AND(T22&gt;0,T23&gt;0,T29*365&gt;SUM(T22:T23)),(T22*$O$7+T23*$O$8)/SUM(T22:T23),IF(AND(T23&gt;0,T26&gt;0,T29*365&gt;SUM(T23:T26)),(T23*$O$8+T26*$V$7)/SUM(T23:T26),IF(AND(T19&gt;0,T29*365&gt;T19),$H$8,IF(AND(T22&gt;0,T29*365&gt;T22),$O$7,IF(AND(T23&gt;0,T29*365&gt;T23),$O$8,IF(AND(T26&gt;0,T29*365&gt;T26),$V$7)))))))))))))))))))))</f>
        <v>0</v>
      </c>
      <c r="U32" s="41">
        <f>IF(U18&gt;=U29*366,$H$7,IF(AND(U18=0,U19&gt;=U29*366),$H$8,IF(AND(U18+U19=0,U22&gt;=U29*366),$O$7,IF(AND(SUM(U18:U19)+U22=0,U23&gt;=U29*366),$O$8,IF(AND(SUM(U18:U19)+SUM(U22:U23)=0,U26&gt;=U29*366),$V$7,IF(SUM(U18:U19)+SUM(U22:U23)+U26=0,0,IF(AND(U29*366&gt;SUM(U18:U19),SUM(U18:U19)+U22&gt;=U29*366),(U18*$G$7+U19*$H$8+(U22-V22)*$O$7)/(U29*366),IF(AND(U29*366&gt;U19+U22,U19+SUM(U22:U23)&gt;=U29*366),(U19*$H$8+U22*$O$7+(U23-V23)*$O$8)/(U29*366),IF(AND(U29*366&gt;SUM(U22:U23),SUM(U22:U23)+U26&gt;=U29*366),(U22*$O$7+U23*$O$8+(U26-V26)*$V$7)/(U29*366),IF(AND(U29*366&gt;U18,U18+U19&gt;=U29*366),(U18*$G$7+(U19-V19)*$H$8)/(U29*366),IF(AND(U29*366&gt;U19,U19+U22&gt;=U29*366),(U19*$H$8+(U22-V22)*$O$7)/(U29*366),IF(AND(U29*366&gt;U22,SUM(U22:U23)&gt;=U29*366),(U22*$O$7+(U23-V23)*$O$8)/(U29*366),IF(AND(U29*366&gt;U23,U23+U26&gt;=U29*366),(U23*$O$8+(U26-V26)*$V$7)/(U29*366),IF(AND(U18&gt;0,U19&gt;0,U29*366&gt;SUM(U18:U19)),(U18*$H$7+U19*$H$8)/SUM(U18:U19),IF(AND(U19&gt;0,U22&gt;0,U29*366&gt;SUM(U19:U22)),(U19*$H$8+U22*$O$7)/SUM(U19:U22),IF(AND(U22&gt;0,U23&gt;0,U29*366&gt;SUM(U22:U23)),(U22*$O$7+U23*$O$8)/SUM(U22:U23),IF(AND(U23&gt;0,U26&gt;0,U29*366&gt;SUM(U23:U26)),(U23*$O$8+U26*$V$7)/SUM(U23:U26),IF(AND(U19&gt;0,U29*366&gt;U19),$H$8,IF(AND(U22&gt;0,U29*366&gt;U22),$O$7,IF(AND(U23&gt;0,U29*366&gt;U23),$O$8,IF(AND(U26&gt;0,U29*366&gt;U26),$V$7)))))))))))))))))))))</f>
        <v>0</v>
      </c>
      <c r="V32" s="41">
        <f>IF(V18&gt;=V29*366,$H$7,IF(AND(V18=0,V19&gt;=V29*366),$H$8,IF(AND(V18+V19=0,V22&gt;=V29*366),$O$7,IF(AND(SUM(V18:V19)+V22=0,V23&gt;=V29*366),$O$8,IF(AND(SUM(V18:V19)+SUM(V22:V23)=0,V26&gt;=V29*366),$V$7,IF(SUM(V18:V19)+SUM(V22:V23)+V26=0,0,IF(AND(V29*366&gt;SUM(V18:V19),SUM(V18:V19)+V22&gt;=V29*366),(V18*$G$7+V19*$H$8+(V22-W22)*$O$7)/(V29*366),IF(AND(V29*366&gt;V19+V22,V19+SUM(V22:V23)&gt;=V29*366),(V19*$H$8+V22*$O$7+(V23-W23)*$O$8)/(V29*366),IF(AND(V29*366&gt;SUM(V22:V23),SUM(V22:V23)+V26&gt;=V29*366),(V22*$O$7+V23*$O$8+(V26-W26)*$V$7)/(V29*366),IF(AND(V29*366&gt;V18,V18+V19&gt;=V29*366),(V18*$G$7+(V19-W19)*$H$8)/(V29*366),IF(AND(V29*366&gt;V19,V19+V22&gt;=V29*366),(V19*$H$8+(V22-W22)*$O$7)/(V29*366),IF(AND(V29*366&gt;V22,SUM(V22:V23)&gt;=V29*366),(V22*$O$7+(V23-W23)*$O$8)/(V29*366),IF(AND(V29*366&gt;V23,V23+V26&gt;=V29*366),(V23*$O$8+(V26-W26)*$V$7)/(V29*366),IF(AND(V18&gt;0,V19&gt;0,V29*366&gt;SUM(V18:V19)),(V18*$H$7+V19*$H$8)/SUM(V18:V19),IF(AND(V19&gt;0,V22&gt;0,V29*366&gt;SUM(V19:V22)),(V19*$H$8+V22*$O$7)/SUM(V19:V22),IF(AND(V22&gt;0,V23&gt;0,V29*366&gt;SUM(V22:V23)),(V22*$O$7+V23*$O$8)/SUM(V22:V23),IF(AND(V23&gt;0,V26&gt;0,V29*366&gt;SUM(V23:V26)),(V23*$O$8+V26*$V$7)/SUM(V23:V26),IF(AND(V19&gt;0,V29*366&gt;V19),$H$8,IF(AND(V22&gt;0,V29*366&gt;V22),$O$7,IF(AND(V23&gt;0,V29*366&gt;V23),$O$8,IF(AND(V26&gt;0,V29*366&gt;V26),$V$7)))))))))))))))))))))</f>
        <v>0</v>
      </c>
      <c r="W32" s="35"/>
    </row>
    <row r="33" spans="2:23" x14ac:dyDescent="0.25">
      <c r="K33" s="49"/>
      <c r="L33" s="35"/>
      <c r="M33" s="35"/>
      <c r="N33" s="35"/>
      <c r="O33" s="35"/>
      <c r="P33" s="35"/>
      <c r="Q33" s="35"/>
      <c r="R33" s="35"/>
      <c r="S33" s="35"/>
      <c r="T33" s="35"/>
      <c r="U33" s="35"/>
      <c r="V33" s="35"/>
      <c r="W33" s="35"/>
    </row>
    <row r="34" spans="2:23" ht="15.75" thickBot="1" x14ac:dyDescent="0.3">
      <c r="B34" s="7" t="s">
        <v>39</v>
      </c>
      <c r="K34" s="49"/>
      <c r="L34" s="35"/>
      <c r="M34" s="35"/>
      <c r="N34" s="35"/>
      <c r="O34" s="35"/>
      <c r="P34" s="35"/>
      <c r="Q34" s="35"/>
      <c r="R34" s="35"/>
      <c r="S34" s="35"/>
      <c r="T34" s="35"/>
      <c r="U34" s="35"/>
      <c r="V34" s="35"/>
      <c r="W34" s="35"/>
    </row>
    <row r="35" spans="2:23" x14ac:dyDescent="0.25">
      <c r="B35" t="s">
        <v>21</v>
      </c>
      <c r="C35" t="s">
        <v>40</v>
      </c>
      <c r="E35" s="10">
        <f>E30*E31/Auxiliary!$C$4</f>
        <v>1149515.2207549994</v>
      </c>
      <c r="F35" s="10">
        <f>F30*F31/Auxiliary!$C$4</f>
        <v>1213833.1107730053</v>
      </c>
      <c r="G35" s="10">
        <f>G30*G31/Auxiliary!$C$4</f>
        <v>743315.10103076324</v>
      </c>
      <c r="H35" s="10">
        <f>H30*H31/Auxiliary!$C$4</f>
        <v>425899.65376475215</v>
      </c>
      <c r="I35" s="10">
        <f>I30*I31/Auxiliary!$C$4</f>
        <v>565132.57707575639</v>
      </c>
      <c r="J35" s="10">
        <f>J30*J31/Auxiliary!$C$4</f>
        <v>205717.64504474946</v>
      </c>
      <c r="K35" s="47">
        <f>SUM(L35:V35)</f>
        <v>3510600.7827395042</v>
      </c>
      <c r="L35" s="36">
        <f>L30*L31/Auxiliary!$C$4</f>
        <v>151669.21789270837</v>
      </c>
      <c r="M35" s="36">
        <f>M30*M31/Auxiliary!$C$4</f>
        <v>153335.91259482605</v>
      </c>
      <c r="N35" s="36">
        <f>N30*N31/Auxiliary!$C$4</f>
        <v>153335.91259482605</v>
      </c>
      <c r="O35" s="36">
        <f>O30*O31/Auxiliary!$C$4</f>
        <v>203128.41682059158</v>
      </c>
      <c r="P35" s="36">
        <f>P30*P31/Auxiliary!$C$4</f>
        <v>1190657.2451090098</v>
      </c>
      <c r="Q35" s="36">
        <f>Q30*Q31/Auxiliary!$C$4</f>
        <v>1658474.077727542</v>
      </c>
      <c r="R35" s="36">
        <f>R30*R31/Auxiliary!$C$4</f>
        <v>0</v>
      </c>
      <c r="S35" s="36">
        <f>S30*S31/Auxiliary!$C$4</f>
        <v>0</v>
      </c>
      <c r="T35" s="36">
        <f>T30*T31/Auxiliary!$C$4</f>
        <v>0</v>
      </c>
      <c r="U35" s="36">
        <f>U30*U31/Auxiliary!$C$4</f>
        <v>0</v>
      </c>
      <c r="V35" s="36">
        <f>V30*V31/Auxiliary!$C$4</f>
        <v>0</v>
      </c>
      <c r="W35" s="35"/>
    </row>
    <row r="36" spans="2:23" x14ac:dyDescent="0.25">
      <c r="B36" t="s">
        <v>23</v>
      </c>
      <c r="C36" t="s">
        <v>40</v>
      </c>
      <c r="E36" s="10">
        <f>E30*E32/Auxiliary!$C$4</f>
        <v>32186.426181139985</v>
      </c>
      <c r="F36" s="10">
        <f>F30*F32/Auxiliary!$C$4</f>
        <v>25264.665910275344</v>
      </c>
      <c r="G36" s="10">
        <f>G30*G32/Auxiliary!$C$4</f>
        <v>17208.253708794382</v>
      </c>
      <c r="H36" s="10">
        <f>H30*H32/Auxiliary!$C$4</f>
        <v>21507.932515119981</v>
      </c>
      <c r="I36" s="10">
        <f>I30*I32/Auxiliary!$C$4</f>
        <v>27180.185849833997</v>
      </c>
      <c r="J36" s="10">
        <f>J30*J32/Auxiliary!$C$4</f>
        <v>5834.2873102855174</v>
      </c>
      <c r="K36" s="47">
        <f>SUM(L36:V36)</f>
        <v>71740.945693891044</v>
      </c>
      <c r="L36" s="36">
        <f>L30*L32/Auxiliary!$C$4</f>
        <v>6429.2863876876954</v>
      </c>
      <c r="M36" s="36">
        <f>M30*M32/Auxiliary!$C$4</f>
        <v>6516.776285280107</v>
      </c>
      <c r="N36" s="36">
        <f>N30*N32/Auxiliary!$C$4</f>
        <v>6644.5562124424632</v>
      </c>
      <c r="O36" s="36">
        <f>O30*O32/Auxiliary!$C$4</f>
        <v>6500.1093382589306</v>
      </c>
      <c r="P36" s="36">
        <f>P30*P32/Auxiliary!$C$4</f>
        <v>20711.681338466959</v>
      </c>
      <c r="Q36" s="36">
        <f>Q30*Q32/Auxiliary!$C$4</f>
        <v>24938.536131754889</v>
      </c>
      <c r="R36" s="36">
        <f>R30*R32/Auxiliary!$C$4</f>
        <v>0</v>
      </c>
      <c r="S36" s="36">
        <f>S30*S32/Auxiliary!$C$4</f>
        <v>0</v>
      </c>
      <c r="T36" s="36">
        <f>T30*T32/Auxiliary!$C$4</f>
        <v>0</v>
      </c>
      <c r="U36" s="36">
        <f>U30*U32/Auxiliary!$C$4</f>
        <v>0</v>
      </c>
      <c r="V36" s="36">
        <f>V30*V32/Auxiliary!$C$4</f>
        <v>0</v>
      </c>
      <c r="W36" s="35"/>
    </row>
    <row r="37" spans="2:23" x14ac:dyDescent="0.25">
      <c r="J37" s="15"/>
      <c r="K37" s="51"/>
      <c r="L37" s="42"/>
      <c r="M37" s="35"/>
      <c r="N37" s="35"/>
      <c r="O37" s="35"/>
      <c r="P37" s="35"/>
      <c r="Q37" s="35"/>
      <c r="R37" s="35"/>
      <c r="S37" s="35"/>
      <c r="T37" s="35"/>
      <c r="U37" s="35"/>
      <c r="V37" s="35"/>
      <c r="W37" s="35"/>
    </row>
    <row r="38" spans="2:23" ht="15.75" thickBot="1" x14ac:dyDescent="0.3">
      <c r="B38" s="7" t="s">
        <v>41</v>
      </c>
      <c r="K38" s="49"/>
      <c r="L38" s="35"/>
      <c r="M38" s="35"/>
      <c r="N38" s="35"/>
      <c r="O38" s="35"/>
      <c r="P38" s="35"/>
      <c r="Q38" s="35"/>
      <c r="R38" s="35"/>
      <c r="S38" s="35"/>
      <c r="T38" s="35"/>
      <c r="U38" s="35"/>
      <c r="V38" s="35"/>
      <c r="W38" s="35"/>
    </row>
    <row r="39" spans="2:23" x14ac:dyDescent="0.25">
      <c r="B39" t="s">
        <v>21</v>
      </c>
      <c r="C39" t="s">
        <v>22</v>
      </c>
      <c r="E39" s="15">
        <v>0.81299999999999994</v>
      </c>
      <c r="F39" s="15">
        <v>0.80400000000000005</v>
      </c>
      <c r="G39" s="15">
        <v>0.84099999999999997</v>
      </c>
      <c r="H39" s="15">
        <v>0.83</v>
      </c>
      <c r="I39" s="15">
        <v>0.87</v>
      </c>
      <c r="J39" s="15">
        <v>0.88</v>
      </c>
      <c r="K39" s="51">
        <f>AVERAGE(L39:V39)</f>
        <v>0.86272727272727279</v>
      </c>
      <c r="L39" s="42">
        <f>87%</f>
        <v>0.87</v>
      </c>
      <c r="M39" s="42">
        <f>87%</f>
        <v>0.87</v>
      </c>
      <c r="N39" s="42">
        <f>87%</f>
        <v>0.87</v>
      </c>
      <c r="O39" s="42">
        <v>0.86</v>
      </c>
      <c r="P39" s="42">
        <v>0.86</v>
      </c>
      <c r="Q39" s="42">
        <v>0.86</v>
      </c>
      <c r="R39" s="42">
        <v>0.86</v>
      </c>
      <c r="S39" s="42">
        <v>0.86</v>
      </c>
      <c r="T39" s="42">
        <v>0.86</v>
      </c>
      <c r="U39" s="42">
        <v>0.86</v>
      </c>
      <c r="V39" s="42">
        <v>0.86</v>
      </c>
      <c r="W39" s="35"/>
    </row>
    <row r="40" spans="2:23" x14ac:dyDescent="0.25">
      <c r="B40" t="s">
        <v>23</v>
      </c>
      <c r="C40" t="s">
        <v>22</v>
      </c>
      <c r="E40" s="15">
        <v>0.83599999999999997</v>
      </c>
      <c r="F40" s="15">
        <v>0.83599999999999997</v>
      </c>
      <c r="G40" s="15">
        <v>0.85899999999999999</v>
      </c>
      <c r="H40" s="15">
        <v>0.88200000000000001</v>
      </c>
      <c r="I40" s="15">
        <v>0.90700000000000003</v>
      </c>
      <c r="J40" s="15">
        <v>0.89400000000000002</v>
      </c>
      <c r="K40" s="51">
        <f>AVERAGE(L40:V40)</f>
        <v>0.88899999999999979</v>
      </c>
      <c r="L40" s="42">
        <v>0.89700000000000002</v>
      </c>
      <c r="M40" s="42">
        <v>0.89700000000000002</v>
      </c>
      <c r="N40" s="42">
        <v>0.89700000000000002</v>
      </c>
      <c r="O40" s="42">
        <v>0.88600000000000001</v>
      </c>
      <c r="P40" s="42">
        <v>0.88600000000000001</v>
      </c>
      <c r="Q40" s="42">
        <v>0.88600000000000001</v>
      </c>
      <c r="R40" s="42">
        <v>0.88600000000000001</v>
      </c>
      <c r="S40" s="42">
        <v>0.88600000000000001</v>
      </c>
      <c r="T40" s="42">
        <v>0.88600000000000001</v>
      </c>
      <c r="U40" s="42">
        <v>0.88600000000000001</v>
      </c>
      <c r="V40" s="42">
        <v>0.88600000000000001</v>
      </c>
      <c r="W40" s="35"/>
    </row>
    <row r="41" spans="2:23" x14ac:dyDescent="0.25">
      <c r="K41" s="49"/>
      <c r="L41" s="35"/>
      <c r="M41" s="35"/>
      <c r="N41" s="35"/>
      <c r="O41" s="35"/>
      <c r="P41" s="35"/>
      <c r="Q41" s="35"/>
      <c r="R41" s="35"/>
      <c r="S41" s="35"/>
      <c r="T41" s="35"/>
      <c r="U41" s="35"/>
      <c r="V41" s="35"/>
      <c r="W41" s="35"/>
    </row>
    <row r="42" spans="2:23" ht="15.75" thickBot="1" x14ac:dyDescent="0.3">
      <c r="B42" s="7" t="s">
        <v>42</v>
      </c>
      <c r="K42" s="49"/>
      <c r="L42" s="35"/>
      <c r="M42" s="35"/>
      <c r="N42" s="35"/>
      <c r="O42" s="35"/>
      <c r="P42" s="35"/>
      <c r="Q42" s="35"/>
      <c r="R42" s="35"/>
      <c r="S42" s="35"/>
      <c r="T42" s="35"/>
      <c r="U42" s="35"/>
      <c r="V42" s="35"/>
      <c r="W42" s="35"/>
    </row>
    <row r="43" spans="2:23" x14ac:dyDescent="0.25">
      <c r="B43" t="s">
        <v>21</v>
      </c>
      <c r="C43" t="s">
        <v>40</v>
      </c>
      <c r="E43" s="10">
        <v>934238</v>
      </c>
      <c r="F43" s="10">
        <v>975555</v>
      </c>
      <c r="G43" s="10">
        <v>624942</v>
      </c>
      <c r="H43" s="10">
        <v>353318</v>
      </c>
      <c r="I43" s="10">
        <v>491412</v>
      </c>
      <c r="J43" s="10">
        <v>181105</v>
      </c>
      <c r="K43" s="47">
        <f>SUM(L43:V43)</f>
        <v>3023700.0835867971</v>
      </c>
      <c r="L43" s="36">
        <f>L35*L39</f>
        <v>131952.21956665628</v>
      </c>
      <c r="M43" s="36">
        <f t="shared" ref="M43:V43" si="3">M35*M39</f>
        <v>133402.24395749866</v>
      </c>
      <c r="N43" s="36">
        <f t="shared" si="3"/>
        <v>133402.24395749866</v>
      </c>
      <c r="O43" s="36">
        <f t="shared" si="3"/>
        <v>174690.43846570875</v>
      </c>
      <c r="P43" s="36">
        <f t="shared" si="3"/>
        <v>1023965.2307937484</v>
      </c>
      <c r="Q43" s="36">
        <f t="shared" si="3"/>
        <v>1426287.7068456861</v>
      </c>
      <c r="R43" s="36">
        <f t="shared" si="3"/>
        <v>0</v>
      </c>
      <c r="S43" s="36">
        <f t="shared" si="3"/>
        <v>0</v>
      </c>
      <c r="T43" s="36">
        <f t="shared" si="3"/>
        <v>0</v>
      </c>
      <c r="U43" s="36">
        <f t="shared" si="3"/>
        <v>0</v>
      </c>
      <c r="V43" s="36">
        <f t="shared" si="3"/>
        <v>0</v>
      </c>
      <c r="W43" s="35"/>
    </row>
    <row r="44" spans="2:23" x14ac:dyDescent="0.25">
      <c r="B44" t="s">
        <v>23</v>
      </c>
      <c r="C44" t="s">
        <v>40</v>
      </c>
      <c r="E44" s="10">
        <v>26910</v>
      </c>
      <c r="F44" s="10">
        <v>21127</v>
      </c>
      <c r="G44" s="10">
        <v>14779</v>
      </c>
      <c r="H44" s="10">
        <v>18963</v>
      </c>
      <c r="I44" s="10">
        <v>24652</v>
      </c>
      <c r="J44" s="10">
        <v>5218</v>
      </c>
      <c r="K44" s="47">
        <f>SUM(L44:V44)</f>
        <v>63777.974692526979</v>
      </c>
      <c r="L44" s="36">
        <f>L36*L40</f>
        <v>5767.0698897558632</v>
      </c>
      <c r="M44" s="36">
        <f>M36*M40</f>
        <v>5845.5483278962565</v>
      </c>
      <c r="N44" s="36">
        <f>N36*N40</f>
        <v>5960.1669225608894</v>
      </c>
      <c r="O44" s="36">
        <f t="shared" ref="O44:V44" si="4">O36*O40</f>
        <v>5759.0968736974128</v>
      </c>
      <c r="P44" s="36">
        <f t="shared" si="4"/>
        <v>18350.549665881725</v>
      </c>
      <c r="Q44" s="36">
        <f t="shared" si="4"/>
        <v>22095.54301273483</v>
      </c>
      <c r="R44" s="36">
        <f t="shared" si="4"/>
        <v>0</v>
      </c>
      <c r="S44" s="36">
        <f t="shared" si="4"/>
        <v>0</v>
      </c>
      <c r="T44" s="36">
        <f t="shared" si="4"/>
        <v>0</v>
      </c>
      <c r="U44" s="36">
        <f t="shared" si="4"/>
        <v>0</v>
      </c>
      <c r="V44" s="36">
        <f t="shared" si="4"/>
        <v>0</v>
      </c>
      <c r="W44" s="35"/>
    </row>
    <row r="45" spans="2:23" x14ac:dyDescent="0.25">
      <c r="J45" s="15"/>
      <c r="K45" s="51"/>
      <c r="L45" s="35"/>
      <c r="M45" s="35"/>
      <c r="N45" s="35"/>
      <c r="O45" s="35"/>
      <c r="P45" s="35"/>
      <c r="Q45" s="35"/>
      <c r="R45" s="35"/>
      <c r="S45" s="35"/>
      <c r="T45" s="35"/>
      <c r="U45" s="35"/>
      <c r="V45" s="35"/>
      <c r="W45" s="35"/>
    </row>
    <row r="46" spans="2:23" ht="15.75" thickBot="1" x14ac:dyDescent="0.3">
      <c r="B46" s="7" t="s">
        <v>91</v>
      </c>
      <c r="K46" s="49"/>
      <c r="L46" s="35"/>
      <c r="M46" s="35"/>
      <c r="N46" s="35"/>
      <c r="O46" s="35"/>
      <c r="P46" s="35"/>
      <c r="Q46" s="35"/>
      <c r="R46" s="35"/>
      <c r="S46" s="35"/>
      <c r="T46" s="35"/>
      <c r="U46" s="35"/>
      <c r="V46" s="35"/>
      <c r="W46" s="35"/>
    </row>
    <row r="47" spans="2:23" x14ac:dyDescent="0.25">
      <c r="B47" t="s">
        <v>21</v>
      </c>
      <c r="C47" t="s">
        <v>22</v>
      </c>
      <c r="E47" s="16">
        <f>E51/E43</f>
        <v>0.96000055660334949</v>
      </c>
      <c r="F47" s="16">
        <f t="shared" ref="F47:J47" si="5">F51/F43</f>
        <v>0.97072435690453129</v>
      </c>
      <c r="G47" s="16">
        <f t="shared" si="5"/>
        <v>0.96633447583935794</v>
      </c>
      <c r="H47" s="16">
        <f t="shared" si="5"/>
        <v>0.94332301213071512</v>
      </c>
      <c r="I47" s="16">
        <f t="shared" si="5"/>
        <v>0.94157244837325915</v>
      </c>
      <c r="J47" s="16">
        <f t="shared" si="5"/>
        <v>0.95575494878661549</v>
      </c>
      <c r="K47" s="52">
        <f>AVERAGE(L47:V47)</f>
        <v>0.9562849664396379</v>
      </c>
      <c r="L47" s="42">
        <f>AVERAGE($E$47:$J$47)</f>
        <v>0.9562849664396379</v>
      </c>
      <c r="M47" s="42">
        <f t="shared" ref="M47:V47" si="6">AVERAGE($E$47:$J$47)</f>
        <v>0.9562849664396379</v>
      </c>
      <c r="N47" s="42">
        <f t="shared" si="6"/>
        <v>0.9562849664396379</v>
      </c>
      <c r="O47" s="42">
        <f t="shared" si="6"/>
        <v>0.9562849664396379</v>
      </c>
      <c r="P47" s="42">
        <f t="shared" si="6"/>
        <v>0.9562849664396379</v>
      </c>
      <c r="Q47" s="42">
        <f t="shared" si="6"/>
        <v>0.9562849664396379</v>
      </c>
      <c r="R47" s="42">
        <f t="shared" si="6"/>
        <v>0.9562849664396379</v>
      </c>
      <c r="S47" s="42">
        <f t="shared" si="6"/>
        <v>0.9562849664396379</v>
      </c>
      <c r="T47" s="42">
        <f t="shared" si="6"/>
        <v>0.9562849664396379</v>
      </c>
      <c r="U47" s="42">
        <f t="shared" si="6"/>
        <v>0.9562849664396379</v>
      </c>
      <c r="V47" s="42">
        <f t="shared" si="6"/>
        <v>0.9562849664396379</v>
      </c>
      <c r="W47" s="35"/>
    </row>
    <row r="48" spans="2:23" x14ac:dyDescent="0.25">
      <c r="B48" t="s">
        <v>23</v>
      </c>
      <c r="C48" t="s">
        <v>22</v>
      </c>
      <c r="E48" s="16">
        <f>E52/E44</f>
        <v>0.97502787068004459</v>
      </c>
      <c r="F48" s="16">
        <f t="shared" ref="F48:J48" si="7">F52/F44</f>
        <v>0.97604960477114588</v>
      </c>
      <c r="G48" s="16">
        <f t="shared" si="7"/>
        <v>0.97300223289803101</v>
      </c>
      <c r="H48" s="16">
        <f t="shared" si="7"/>
        <v>0.97183989875019772</v>
      </c>
      <c r="I48" s="16">
        <f t="shared" si="7"/>
        <v>0.97237546649359075</v>
      </c>
      <c r="J48" s="16">
        <f t="shared" si="7"/>
        <v>0.97393637408968958</v>
      </c>
      <c r="K48" s="52">
        <f>AVERAGE(L48:V48)</f>
        <v>0.97370524128045011</v>
      </c>
      <c r="L48" s="42">
        <f>AVERAGE($E$48:$J$48)</f>
        <v>0.97370524128045</v>
      </c>
      <c r="M48" s="42">
        <f t="shared" ref="M48:V48" si="8">AVERAGE($E$48:$J$48)</f>
        <v>0.97370524128045</v>
      </c>
      <c r="N48" s="42">
        <f t="shared" si="8"/>
        <v>0.97370524128045</v>
      </c>
      <c r="O48" s="42">
        <f t="shared" si="8"/>
        <v>0.97370524128045</v>
      </c>
      <c r="P48" s="42">
        <f t="shared" si="8"/>
        <v>0.97370524128045</v>
      </c>
      <c r="Q48" s="42">
        <f t="shared" si="8"/>
        <v>0.97370524128045</v>
      </c>
      <c r="R48" s="42">
        <f t="shared" si="8"/>
        <v>0.97370524128045</v>
      </c>
      <c r="S48" s="42">
        <f t="shared" si="8"/>
        <v>0.97370524128045</v>
      </c>
      <c r="T48" s="42">
        <f t="shared" si="8"/>
        <v>0.97370524128045</v>
      </c>
      <c r="U48" s="42">
        <f t="shared" si="8"/>
        <v>0.97370524128045</v>
      </c>
      <c r="V48" s="42">
        <f t="shared" si="8"/>
        <v>0.97370524128045</v>
      </c>
      <c r="W48" s="35"/>
    </row>
    <row r="49" spans="2:23" x14ac:dyDescent="0.25">
      <c r="K49" s="49"/>
      <c r="L49" s="35"/>
      <c r="M49" s="35"/>
      <c r="N49" s="35"/>
      <c r="O49" s="35"/>
      <c r="P49" s="35"/>
      <c r="Q49" s="35"/>
      <c r="R49" s="35"/>
      <c r="S49" s="35"/>
      <c r="T49" s="35"/>
      <c r="U49" s="35"/>
      <c r="V49" s="35"/>
      <c r="W49" s="35"/>
    </row>
    <row r="50" spans="2:23" ht="15.75" thickBot="1" x14ac:dyDescent="0.3">
      <c r="B50" s="7" t="s">
        <v>90</v>
      </c>
      <c r="K50" s="49"/>
      <c r="L50" s="35"/>
      <c r="M50" s="35"/>
      <c r="N50" s="35"/>
      <c r="O50" s="35"/>
      <c r="P50" s="35"/>
      <c r="Q50" s="35"/>
      <c r="R50" s="35"/>
      <c r="S50" s="35"/>
      <c r="T50" s="35"/>
      <c r="U50" s="35"/>
      <c r="V50" s="35"/>
      <c r="W50" s="35"/>
    </row>
    <row r="51" spans="2:23" x14ac:dyDescent="0.25">
      <c r="B51" s="23" t="s">
        <v>21</v>
      </c>
      <c r="C51" t="s">
        <v>40</v>
      </c>
      <c r="E51" s="10">
        <v>896869</v>
      </c>
      <c r="F51" s="10">
        <v>946995</v>
      </c>
      <c r="G51" s="10">
        <v>603903</v>
      </c>
      <c r="H51" s="10">
        <v>333293</v>
      </c>
      <c r="I51" s="10">
        <v>462700</v>
      </c>
      <c r="J51" s="10">
        <v>173092</v>
      </c>
      <c r="K51" s="47">
        <f>SUM(L51:V51)</f>
        <v>2891518.9329563305</v>
      </c>
      <c r="L51" s="36">
        <f>L43*L47</f>
        <v>126183.92385993563</v>
      </c>
      <c r="M51" s="36">
        <f t="shared" ref="M51:U51" si="9">M43*M47</f>
        <v>127570.560385869</v>
      </c>
      <c r="N51" s="36">
        <f t="shared" si="9"/>
        <v>127570.560385869</v>
      </c>
      <c r="O51" s="36">
        <f t="shared" si="9"/>
        <v>167053.84008550592</v>
      </c>
      <c r="P51" s="36">
        <f t="shared" si="9"/>
        <v>979202.55636495573</v>
      </c>
      <c r="Q51" s="36">
        <f t="shared" si="9"/>
        <v>1363937.4918741949</v>
      </c>
      <c r="R51" s="36">
        <f t="shared" si="9"/>
        <v>0</v>
      </c>
      <c r="S51" s="36">
        <f t="shared" si="9"/>
        <v>0</v>
      </c>
      <c r="T51" s="36">
        <f t="shared" si="9"/>
        <v>0</v>
      </c>
      <c r="U51" s="36">
        <f t="shared" si="9"/>
        <v>0</v>
      </c>
      <c r="V51" s="36">
        <f t="shared" ref="V51" si="10">V43*V47</f>
        <v>0</v>
      </c>
      <c r="W51" s="35"/>
    </row>
    <row r="52" spans="2:23" x14ac:dyDescent="0.25">
      <c r="B52" s="24" t="s">
        <v>23</v>
      </c>
      <c r="C52" t="s">
        <v>40</v>
      </c>
      <c r="E52" s="10">
        <v>26238</v>
      </c>
      <c r="F52" s="10">
        <v>20621</v>
      </c>
      <c r="G52" s="10">
        <v>14380</v>
      </c>
      <c r="H52" s="10">
        <v>18429</v>
      </c>
      <c r="I52" s="10">
        <v>23971</v>
      </c>
      <c r="J52" s="10">
        <v>5082</v>
      </c>
      <c r="K52" s="47">
        <f>SUM(L52:V52)</f>
        <v>62100.94823636541</v>
      </c>
      <c r="L52" s="36">
        <f>L44*L48</f>
        <v>5615.4261784859509</v>
      </c>
      <c r="M52" s="36">
        <f t="shared" ref="M52:U52" si="11">M44*M48</f>
        <v>5691.8410450307556</v>
      </c>
      <c r="N52" s="36">
        <f t="shared" si="11"/>
        <v>5803.4457714039081</v>
      </c>
      <c r="O52" s="36">
        <f t="shared" si="11"/>
        <v>5607.6628109610247</v>
      </c>
      <c r="P52" s="36">
        <f t="shared" si="11"/>
        <v>17868.026390046245</v>
      </c>
      <c r="Q52" s="36">
        <f t="shared" si="11"/>
        <v>21514.54604043753</v>
      </c>
      <c r="R52" s="36">
        <f t="shared" si="11"/>
        <v>0</v>
      </c>
      <c r="S52" s="36">
        <f t="shared" si="11"/>
        <v>0</v>
      </c>
      <c r="T52" s="36">
        <f t="shared" si="11"/>
        <v>0</v>
      </c>
      <c r="U52" s="36">
        <f t="shared" si="11"/>
        <v>0</v>
      </c>
      <c r="V52" s="36">
        <f t="shared" ref="V52" si="12">V44*V48</f>
        <v>0</v>
      </c>
      <c r="W52" s="35"/>
    </row>
    <row r="53" spans="2:23" x14ac:dyDescent="0.25">
      <c r="K53" s="49"/>
      <c r="L53" s="35"/>
      <c r="M53" s="35"/>
      <c r="N53" s="35"/>
      <c r="O53" s="35"/>
      <c r="P53" s="35"/>
      <c r="Q53" s="35"/>
      <c r="R53" s="35"/>
      <c r="S53" s="35"/>
      <c r="T53" s="35"/>
      <c r="U53" s="35"/>
      <c r="V53" s="35"/>
      <c r="W53" s="35"/>
    </row>
    <row r="54" spans="2:23" ht="15.75" thickBot="1" x14ac:dyDescent="0.3">
      <c r="B54" s="7" t="s">
        <v>43</v>
      </c>
      <c r="K54" s="49"/>
      <c r="L54" s="35"/>
      <c r="M54" s="35"/>
      <c r="N54" s="35"/>
      <c r="O54" s="35"/>
      <c r="P54" s="35"/>
      <c r="Q54" s="35"/>
      <c r="R54" s="35"/>
      <c r="S54" s="35"/>
      <c r="T54" s="35"/>
      <c r="U54" s="35"/>
      <c r="V54" s="35"/>
      <c r="W54" s="35"/>
    </row>
    <row r="55" spans="2:23" x14ac:dyDescent="0.25">
      <c r="B55" t="s">
        <v>21</v>
      </c>
      <c r="C55" t="s">
        <v>44</v>
      </c>
      <c r="E55" s="10">
        <v>15265000</v>
      </c>
      <c r="F55" s="10">
        <v>14310000</v>
      </c>
      <c r="G55" s="10">
        <v>10707000</v>
      </c>
      <c r="H55" s="10">
        <v>7471000</v>
      </c>
      <c r="I55" s="10">
        <v>10149000</v>
      </c>
      <c r="J55" s="10">
        <v>4257000</v>
      </c>
      <c r="K55" s="47">
        <f>SUM(L55:V55)</f>
        <v>71271568.750399113</v>
      </c>
      <c r="L55" s="36">
        <f>L51*L14</f>
        <v>2776046.324918584</v>
      </c>
      <c r="M55" s="36">
        <f t="shared" ref="M55:U55" si="13">M51*M14</f>
        <v>2806552.3284891183</v>
      </c>
      <c r="N55" s="36">
        <f t="shared" si="13"/>
        <v>2934122.8888749871</v>
      </c>
      <c r="O55" s="36">
        <f t="shared" si="13"/>
        <v>4176346.0021376479</v>
      </c>
      <c r="P55" s="36">
        <f t="shared" si="13"/>
        <v>24480063.909123894</v>
      </c>
      <c r="Q55" s="36">
        <f t="shared" si="13"/>
        <v>34098437.296854876</v>
      </c>
      <c r="R55" s="36">
        <f t="shared" si="13"/>
        <v>0</v>
      </c>
      <c r="S55" s="36">
        <f t="shared" si="13"/>
        <v>0</v>
      </c>
      <c r="T55" s="36">
        <f t="shared" si="13"/>
        <v>0</v>
      </c>
      <c r="U55" s="36">
        <f t="shared" si="13"/>
        <v>0</v>
      </c>
      <c r="V55" s="36">
        <f t="shared" ref="V55" si="14">V51*V14</f>
        <v>0</v>
      </c>
      <c r="W55" s="35"/>
    </row>
    <row r="56" spans="2:23" x14ac:dyDescent="0.25">
      <c r="B56" s="5" t="s">
        <v>23</v>
      </c>
      <c r="C56" t="s">
        <v>44</v>
      </c>
      <c r="E56" s="10">
        <v>33154000</v>
      </c>
      <c r="F56" s="10">
        <v>25495000</v>
      </c>
      <c r="G56" s="10">
        <v>21703000</v>
      </c>
      <c r="H56" s="10">
        <v>33970000</v>
      </c>
      <c r="I56" s="10">
        <v>38645000</v>
      </c>
      <c r="J56" s="10">
        <v>11488000</v>
      </c>
      <c r="K56" s="47">
        <f t="shared" ref="K56:K57" si="15">SUM(L56:V56)</f>
        <v>110209866.94813105</v>
      </c>
      <c r="L56" s="36">
        <f>L52*L15</f>
        <v>10500846.953768728</v>
      </c>
      <c r="M56" s="36">
        <f t="shared" ref="M56:U56" si="16">M52*M15</f>
        <v>10529905.933306897</v>
      </c>
      <c r="N56" s="36">
        <f t="shared" si="16"/>
        <v>10446202.388527034</v>
      </c>
      <c r="O56" s="36">
        <f t="shared" si="16"/>
        <v>9813409.9191817939</v>
      </c>
      <c r="P56" s="36">
        <f t="shared" si="16"/>
        <v>31269046.182580929</v>
      </c>
      <c r="Q56" s="36">
        <f t="shared" si="16"/>
        <v>37650455.570765674</v>
      </c>
      <c r="R56" s="36">
        <f t="shared" si="16"/>
        <v>0</v>
      </c>
      <c r="S56" s="36">
        <f t="shared" si="16"/>
        <v>0</v>
      </c>
      <c r="T56" s="36">
        <f t="shared" si="16"/>
        <v>0</v>
      </c>
      <c r="U56" s="36">
        <f t="shared" si="16"/>
        <v>0</v>
      </c>
      <c r="V56" s="36">
        <f t="shared" ref="V56" si="17">V52*V15</f>
        <v>0</v>
      </c>
      <c r="W56" s="35"/>
    </row>
    <row r="57" spans="2:23" x14ac:dyDescent="0.25">
      <c r="B57" t="s">
        <v>27</v>
      </c>
      <c r="C57" t="s">
        <v>44</v>
      </c>
      <c r="E57" s="10">
        <f>SUM(E55:E56)</f>
        <v>48419000</v>
      </c>
      <c r="F57" s="10">
        <f t="shared" ref="F57:J57" si="18">SUM(F55:F56)</f>
        <v>39805000</v>
      </c>
      <c r="G57" s="10">
        <f t="shared" si="18"/>
        <v>32410000</v>
      </c>
      <c r="H57" s="10">
        <f t="shared" si="18"/>
        <v>41441000</v>
      </c>
      <c r="I57" s="10">
        <f t="shared" si="18"/>
        <v>48794000</v>
      </c>
      <c r="J57" s="10">
        <f t="shared" si="18"/>
        <v>15745000</v>
      </c>
      <c r="K57" s="47">
        <f t="shared" si="15"/>
        <v>181481435.69853017</v>
      </c>
      <c r="L57" s="36">
        <f>SUM(L55:L56)</f>
        <v>13276893.278687313</v>
      </c>
      <c r="M57" s="36">
        <f t="shared" ref="M57:U57" si="19">SUM(M55:M56)</f>
        <v>13336458.261796016</v>
      </c>
      <c r="N57" s="36">
        <f t="shared" si="19"/>
        <v>13380325.277402021</v>
      </c>
      <c r="O57" s="36">
        <f t="shared" si="19"/>
        <v>13989755.921319442</v>
      </c>
      <c r="P57" s="36">
        <f t="shared" si="19"/>
        <v>55749110.091704823</v>
      </c>
      <c r="Q57" s="36">
        <f t="shared" si="19"/>
        <v>71748892.867620558</v>
      </c>
      <c r="R57" s="36">
        <f t="shared" si="19"/>
        <v>0</v>
      </c>
      <c r="S57" s="36">
        <f t="shared" si="19"/>
        <v>0</v>
      </c>
      <c r="T57" s="36">
        <f t="shared" si="19"/>
        <v>0</v>
      </c>
      <c r="U57" s="36">
        <f t="shared" si="19"/>
        <v>0</v>
      </c>
      <c r="V57" s="36">
        <f t="shared" ref="V57" si="20">SUM(V55:V56)</f>
        <v>0</v>
      </c>
      <c r="W57" s="35"/>
    </row>
    <row r="58" spans="2:23" x14ac:dyDescent="0.25">
      <c r="K58" s="49"/>
      <c r="L58" s="35"/>
      <c r="M58" s="35"/>
      <c r="N58" s="35"/>
      <c r="O58" s="35"/>
      <c r="P58" s="35"/>
      <c r="Q58" s="35"/>
      <c r="R58" s="35"/>
      <c r="S58" s="35"/>
      <c r="T58" s="35"/>
      <c r="U58" s="35"/>
      <c r="V58" s="35"/>
      <c r="W58" s="35"/>
    </row>
    <row r="59" spans="2:23" x14ac:dyDescent="0.25">
      <c r="B59" t="s">
        <v>87</v>
      </c>
      <c r="C59" t="s">
        <v>22</v>
      </c>
      <c r="E59" s="26">
        <f>E55/E57</f>
        <v>0.31526879943823705</v>
      </c>
      <c r="F59" s="26">
        <f t="shared" ref="F59:J59" si="21">F55/F57</f>
        <v>0.35950257505338523</v>
      </c>
      <c r="G59" s="26">
        <f t="shared" si="21"/>
        <v>0.33036099969145327</v>
      </c>
      <c r="H59" s="26">
        <f t="shared" si="21"/>
        <v>0.18028039863902898</v>
      </c>
      <c r="I59" s="26">
        <f t="shared" si="21"/>
        <v>0.20799688486289297</v>
      </c>
      <c r="J59" s="26">
        <f t="shared" si="21"/>
        <v>0.27037154652270562</v>
      </c>
      <c r="K59" s="56">
        <f>AVERAGE(L59:V59)</f>
        <v>0.30861734258993967</v>
      </c>
      <c r="L59" s="44">
        <f>IF(L57&gt;0,L55/L57,"")</f>
        <v>0.20908854704547658</v>
      </c>
      <c r="M59" s="44">
        <f t="shared" ref="M59:V59" si="22">IF(M57&gt;0,M55/M57,"")</f>
        <v>0.21044210339778477</v>
      </c>
      <c r="N59" s="44">
        <f t="shared" si="22"/>
        <v>0.21928636472167204</v>
      </c>
      <c r="O59" s="44">
        <f t="shared" si="22"/>
        <v>0.2985288682394508</v>
      </c>
      <c r="P59" s="44">
        <f t="shared" si="22"/>
        <v>0.43911129467098703</v>
      </c>
      <c r="Q59" s="44">
        <f t="shared" si="22"/>
        <v>0.47524687746426686</v>
      </c>
      <c r="R59" s="44" t="str">
        <f t="shared" si="22"/>
        <v/>
      </c>
      <c r="S59" s="44" t="str">
        <f t="shared" si="22"/>
        <v/>
      </c>
      <c r="T59" s="44" t="str">
        <f t="shared" si="22"/>
        <v/>
      </c>
      <c r="U59" s="44" t="str">
        <f t="shared" si="22"/>
        <v/>
      </c>
      <c r="V59" s="44" t="str">
        <f t="shared" si="22"/>
        <v/>
      </c>
      <c r="W59" s="35"/>
    </row>
    <row r="60" spans="2:23" x14ac:dyDescent="0.25">
      <c r="K60" s="49"/>
      <c r="L60" s="35"/>
      <c r="M60" s="35"/>
      <c r="N60" s="35"/>
      <c r="O60" s="35"/>
      <c r="P60" s="35"/>
      <c r="Q60" s="35"/>
      <c r="R60" s="35"/>
      <c r="S60" s="35"/>
      <c r="T60" s="35"/>
      <c r="U60" s="35"/>
      <c r="V60" s="35"/>
      <c r="W60" s="35"/>
    </row>
    <row r="61" spans="2:23" ht="15.75" thickBot="1" x14ac:dyDescent="0.3">
      <c r="B61" s="7" t="s">
        <v>45</v>
      </c>
      <c r="K61" s="49"/>
      <c r="L61" s="35"/>
      <c r="M61" s="35"/>
      <c r="N61" s="35"/>
      <c r="O61" s="35"/>
      <c r="P61" s="35"/>
      <c r="Q61" s="35"/>
      <c r="R61" s="35"/>
      <c r="S61" s="35"/>
      <c r="T61" s="35"/>
      <c r="U61" s="35"/>
      <c r="V61" s="35"/>
      <c r="W61" s="35"/>
    </row>
    <row r="62" spans="2:23" x14ac:dyDescent="0.25">
      <c r="B62" s="3"/>
      <c r="K62" s="49"/>
      <c r="L62" s="35"/>
      <c r="M62" s="35"/>
      <c r="N62" s="35"/>
      <c r="O62" s="35"/>
      <c r="P62" s="35"/>
      <c r="Q62" s="35"/>
      <c r="R62" s="35"/>
      <c r="S62" s="35"/>
      <c r="T62" s="35"/>
      <c r="U62" s="35"/>
      <c r="V62" s="35"/>
      <c r="W62" s="35"/>
    </row>
    <row r="63" spans="2:23" x14ac:dyDescent="0.25">
      <c r="B63" s="3" t="s">
        <v>3</v>
      </c>
      <c r="K63" s="49"/>
      <c r="L63" s="35"/>
      <c r="M63" s="35"/>
      <c r="N63" s="35"/>
      <c r="O63" s="35"/>
      <c r="P63" s="35"/>
      <c r="Q63" s="35"/>
      <c r="R63" s="35"/>
      <c r="S63" s="35"/>
      <c r="T63" s="35"/>
      <c r="U63" s="35"/>
      <c r="V63" s="35"/>
      <c r="W63" s="35"/>
    </row>
    <row r="64" spans="2:23" x14ac:dyDescent="0.25">
      <c r="B64" t="s">
        <v>80</v>
      </c>
      <c r="C64" t="s">
        <v>79</v>
      </c>
      <c r="E64" s="13">
        <f>E65/E30</f>
        <v>65.06251622199747</v>
      </c>
      <c r="F64" s="13">
        <f t="shared" ref="F64:J64" si="23">F65/F30</f>
        <v>62.361476520768555</v>
      </c>
      <c r="G64" s="13">
        <f t="shared" si="23"/>
        <v>77.310961516602049</v>
      </c>
      <c r="H64" s="13">
        <f t="shared" si="23"/>
        <v>70.114199786215096</v>
      </c>
      <c r="I64" s="13">
        <f t="shared" si="23"/>
        <v>79.371299406949348</v>
      </c>
      <c r="J64" s="13">
        <f t="shared" si="23"/>
        <v>91.797433599633919</v>
      </c>
      <c r="K64" s="46">
        <f>AVERAGEIF(L64:V64,"&gt;0")</f>
        <v>99.046015989475094</v>
      </c>
      <c r="L64" s="40">
        <f>J64*1.02</f>
        <v>93.633382271626601</v>
      </c>
      <c r="M64" s="40">
        <f>L64*1.02</f>
        <v>95.50604991705913</v>
      </c>
      <c r="N64" s="40">
        <f>M64*1.01</f>
        <v>96.461110416229715</v>
      </c>
      <c r="O64" s="40">
        <f>N64</f>
        <v>96.461110416229715</v>
      </c>
      <c r="P64" s="40">
        <f>IF(AND(P29*275&lt;=SUM(P18:P26),P30&gt;0),$O$64,IF(AND(P29*275&gt;SUM(P18:P26),P30&gt;0),$O$64*1.2,IF(P30=0,0)))</f>
        <v>96.461110416229715</v>
      </c>
      <c r="Q64" s="40">
        <f>IF(AND(Q29*366&lt;=SUM(Q18:Q26),Q30&gt;0),$O$64,IF(AND(Q29*366&gt;SUM(Q18:Q26),Q30&gt;0),$O$64*1.2,IF(Q30=0,0)))</f>
        <v>115.75333249947565</v>
      </c>
      <c r="R64" s="40">
        <f>IF(AND(R29*365&lt;=SUM(R18:R26),R30&gt;0),$O$64,IF(AND(R29*365&gt;SUM(R18:R26),R30&gt;0),$O$64*1.2,IF(R30=0,0)))</f>
        <v>0</v>
      </c>
      <c r="S64" s="40">
        <f>IF(AND(S29*365&lt;=SUM(S18:S26),S30&gt;0),$O$64,IF(AND(S29*365&gt;SUM(S18:S26),S30&gt;0),$O$64*1.2,IF(S30=0,0)))</f>
        <v>0</v>
      </c>
      <c r="T64" s="40">
        <f>IF(AND(T29*365&lt;=SUM(T18:T26),T30&gt;0),$O$64,IF(AND(T29*365&gt;SUM(T18:T26),T30&gt;0),$O$64*1.2,IF(T30=0,0)))</f>
        <v>0</v>
      </c>
      <c r="U64" s="40">
        <f>IF(AND(U29*366&lt;=SUM(U18:U26),U30&gt;0),$O$64,IF(AND(U29*366&gt;SUM(U18:U26),U30&gt;0),$O$64*1.2,IF(U30=0,0)))</f>
        <v>0</v>
      </c>
      <c r="V64" s="40">
        <f>IF(AND(V29*366&lt;=SUM(V18:V26),V30&gt;0),$O$64,IF(AND(V29*366&gt;SUM(V18:V26),V30&gt;0),$O$64*1.2,IF(V30=0,0)))</f>
        <v>0</v>
      </c>
      <c r="W64" s="35"/>
    </row>
    <row r="65" spans="2:23" x14ac:dyDescent="0.25">
      <c r="B65" t="s">
        <v>81</v>
      </c>
      <c r="C65" t="s">
        <v>44</v>
      </c>
      <c r="E65" s="10">
        <v>29078000</v>
      </c>
      <c r="F65" s="10">
        <v>27377000</v>
      </c>
      <c r="G65" s="10">
        <v>24485000</v>
      </c>
      <c r="H65" s="10">
        <v>23220000</v>
      </c>
      <c r="I65" s="10">
        <v>33218000</v>
      </c>
      <c r="J65" s="10">
        <v>9629000</v>
      </c>
      <c r="K65" s="47">
        <f>SUM(L65:V65)</f>
        <v>110531158.45449345</v>
      </c>
      <c r="L65" s="36">
        <f>L64*L30</f>
        <v>9202288.8096554615</v>
      </c>
      <c r="M65" s="36">
        <f t="shared" ref="M65:V65" si="24">M64*M30</f>
        <v>9489481.1197589952</v>
      </c>
      <c r="N65" s="36">
        <f t="shared" si="24"/>
        <v>9584375.9309565853</v>
      </c>
      <c r="O65" s="36">
        <f t="shared" si="24"/>
        <v>9376019.932457529</v>
      </c>
      <c r="P65" s="36">
        <f t="shared" si="24"/>
        <v>28648949.793620225</v>
      </c>
      <c r="Q65" s="36">
        <f t="shared" si="24"/>
        <v>44230042.868044645</v>
      </c>
      <c r="R65" s="36">
        <f t="shared" si="24"/>
        <v>0</v>
      </c>
      <c r="S65" s="36">
        <f t="shared" si="24"/>
        <v>0</v>
      </c>
      <c r="T65" s="36">
        <f t="shared" si="24"/>
        <v>0</v>
      </c>
      <c r="U65" s="36">
        <f t="shared" si="24"/>
        <v>0</v>
      </c>
      <c r="V65" s="36">
        <f t="shared" si="24"/>
        <v>0</v>
      </c>
      <c r="W65" s="35"/>
    </row>
    <row r="66" spans="2:23" x14ac:dyDescent="0.25">
      <c r="B66" s="22" t="s">
        <v>82</v>
      </c>
      <c r="C66" t="s">
        <v>20</v>
      </c>
      <c r="E66" s="14">
        <f>E65/(E51+E52*E15/E14)</f>
        <v>10.193709243039569</v>
      </c>
      <c r="F66" s="14">
        <f t="shared" ref="F66:J66" si="25">F65/(F51+F52*F15/F14)</f>
        <v>10.4634560117136</v>
      </c>
      <c r="G66" s="14">
        <f t="shared" si="25"/>
        <v>13.16982902667303</v>
      </c>
      <c r="H66" s="14">
        <f t="shared" si="25"/>
        <v>12.167962246827214</v>
      </c>
      <c r="I66" s="14">
        <f t="shared" si="25"/>
        <v>15.34991050505462</v>
      </c>
      <c r="J66" s="14">
        <f t="shared" si="25"/>
        <v>16.495425026528576</v>
      </c>
      <c r="K66" s="45">
        <f>AVERAGE(L66:V66)</f>
        <v>15.398517506650819</v>
      </c>
      <c r="L66" s="41">
        <f>IF(OR(L51&gt;0,L52&gt;0),L65/(L51+L52*L15/L14),"")</f>
        <v>15.248322748620938</v>
      </c>
      <c r="M66" s="41">
        <f t="shared" ref="M66:V66" si="26">IF(OR(M51&gt;0,M52&gt;0),M65/(M51+M52*M15/M14),"")</f>
        <v>15.65397503119266</v>
      </c>
      <c r="N66" s="41">
        <f t="shared" si="26"/>
        <v>16.47498411599177</v>
      </c>
      <c r="O66" s="41">
        <f t="shared" si="26"/>
        <v>16.755152815370263</v>
      </c>
      <c r="P66" s="41">
        <f t="shared" si="26"/>
        <v>12.847267761984886</v>
      </c>
      <c r="Q66" s="41">
        <f t="shared" si="26"/>
        <v>15.411402566744398</v>
      </c>
      <c r="R66" s="41" t="str">
        <f t="shared" si="26"/>
        <v/>
      </c>
      <c r="S66" s="41" t="str">
        <f t="shared" si="26"/>
        <v/>
      </c>
      <c r="T66" s="41" t="str">
        <f t="shared" si="26"/>
        <v/>
      </c>
      <c r="U66" s="41" t="str">
        <f t="shared" si="26"/>
        <v/>
      </c>
      <c r="V66" s="41" t="str">
        <f t="shared" si="26"/>
        <v/>
      </c>
      <c r="W66" s="35"/>
    </row>
    <row r="67" spans="2:23" x14ac:dyDescent="0.25">
      <c r="B67" s="22"/>
      <c r="K67" s="49"/>
      <c r="L67" s="35"/>
      <c r="M67" s="35"/>
      <c r="N67" s="35"/>
      <c r="O67" s="35"/>
      <c r="P67" s="35"/>
      <c r="Q67" s="35"/>
      <c r="R67" s="35"/>
      <c r="S67" s="35"/>
      <c r="T67" s="35"/>
      <c r="U67" s="35"/>
      <c r="V67" s="35"/>
      <c r="W67" s="35"/>
    </row>
    <row r="68" spans="2:23" x14ac:dyDescent="0.25">
      <c r="B68" s="22" t="s">
        <v>142</v>
      </c>
      <c r="C68" t="s">
        <v>44</v>
      </c>
      <c r="E68" s="10">
        <v>1734000</v>
      </c>
      <c r="F68" s="10">
        <v>1670000</v>
      </c>
      <c r="G68" s="10">
        <v>1776000</v>
      </c>
      <c r="H68" s="10">
        <v>2891000</v>
      </c>
      <c r="I68" s="10">
        <v>2082000</v>
      </c>
      <c r="J68" s="10">
        <v>876000</v>
      </c>
      <c r="K68" s="47">
        <f>SUM(L68:V68)</f>
        <v>7863655.555555556</v>
      </c>
      <c r="L68" s="36">
        <f>IF(L30&gt;0,SUM($H$68:$J$68)/9*1.1,0)</f>
        <v>714877.77777777787</v>
      </c>
      <c r="M68" s="36">
        <f>IF(M30&gt;0,SUM($H$68:$J$68)/9*1.1,0)</f>
        <v>714877.77777777787</v>
      </c>
      <c r="N68" s="36">
        <f>IF(N30&gt;0,SUM($H$68:$J$68)/9*1.1,0)</f>
        <v>714877.77777777787</v>
      </c>
      <c r="O68" s="36">
        <f>IF(O30&gt;0,SUM($H$68:$J$68)/9*1.1,0)</f>
        <v>714877.77777777787</v>
      </c>
      <c r="P68" s="36">
        <f>IF(P30&gt;0,SUM($H$68:$J$68)/9*3*1.1,0)</f>
        <v>2144633.3333333335</v>
      </c>
      <c r="Q68" s="36">
        <f>IF(Q30&gt;0,SUM($H$68:$J$68)/9*1.1*4,0)</f>
        <v>2859511.1111111115</v>
      </c>
      <c r="R68" s="36">
        <f t="shared" ref="R68:V68" si="27">IF(R30&gt;0,SUM($H$68:$J$68)/9*1.1*4,0)</f>
        <v>0</v>
      </c>
      <c r="S68" s="36">
        <f t="shared" si="27"/>
        <v>0</v>
      </c>
      <c r="T68" s="36">
        <f t="shared" si="27"/>
        <v>0</v>
      </c>
      <c r="U68" s="36">
        <f t="shared" si="27"/>
        <v>0</v>
      </c>
      <c r="V68" s="36">
        <f t="shared" si="27"/>
        <v>0</v>
      </c>
      <c r="W68" s="35"/>
    </row>
    <row r="69" spans="2:23" x14ac:dyDescent="0.25">
      <c r="B69" t="s">
        <v>94</v>
      </c>
      <c r="C69" t="s">
        <v>44</v>
      </c>
      <c r="E69" s="10">
        <v>778000</v>
      </c>
      <c r="F69" s="10">
        <v>741000</v>
      </c>
      <c r="G69" s="10">
        <v>820000</v>
      </c>
      <c r="H69" s="10">
        <v>707000</v>
      </c>
      <c r="I69" s="10">
        <v>1216000</v>
      </c>
      <c r="J69" s="10">
        <v>250000</v>
      </c>
      <c r="K69" s="47">
        <f t="shared" ref="K69:K71" si="28">SUM(L69:V69)</f>
        <v>4850000</v>
      </c>
      <c r="L69" s="36">
        <f>(1500000-$J$69)/3</f>
        <v>416666.66666666669</v>
      </c>
      <c r="M69" s="36">
        <f t="shared" ref="M69:N69" si="29">(1500000-$J$69)/3</f>
        <v>416666.66666666669</v>
      </c>
      <c r="N69" s="36">
        <f t="shared" si="29"/>
        <v>416666.66666666669</v>
      </c>
      <c r="O69" s="36">
        <f>1800000/4</f>
        <v>450000</v>
      </c>
      <c r="P69" s="36">
        <f>IF(P30&gt;0,1350000,0)</f>
        <v>1350000</v>
      </c>
      <c r="Q69" s="36">
        <f>IF(Q30&gt;0,1800000,0)</f>
        <v>1800000</v>
      </c>
      <c r="R69" s="36">
        <f t="shared" ref="R69:V69" si="30">IF(R30&gt;0,1800000,0)</f>
        <v>0</v>
      </c>
      <c r="S69" s="36">
        <f t="shared" si="30"/>
        <v>0</v>
      </c>
      <c r="T69" s="36">
        <f t="shared" si="30"/>
        <v>0</v>
      </c>
      <c r="U69" s="36">
        <f>IF(U30&gt;0,1800000,0)</f>
        <v>0</v>
      </c>
      <c r="V69" s="36">
        <f t="shared" si="30"/>
        <v>0</v>
      </c>
      <c r="W69" s="35"/>
    </row>
    <row r="70" spans="2:23" x14ac:dyDescent="0.25">
      <c r="B70" s="22" t="s">
        <v>84</v>
      </c>
      <c r="C70" t="s">
        <v>44</v>
      </c>
      <c r="E70" s="10">
        <v>866000</v>
      </c>
      <c r="F70" s="10">
        <v>557000</v>
      </c>
      <c r="G70" s="10">
        <v>669000</v>
      </c>
      <c r="H70" s="10">
        <v>2982000</v>
      </c>
      <c r="I70" s="10">
        <v>3249000</v>
      </c>
      <c r="J70" s="10">
        <v>954000</v>
      </c>
      <c r="K70" s="47">
        <f t="shared" si="28"/>
        <v>10166666.666666668</v>
      </c>
      <c r="L70" s="36">
        <f>940000</f>
        <v>940000</v>
      </c>
      <c r="M70" s="36">
        <v>900000</v>
      </c>
      <c r="N70" s="36">
        <v>900000</v>
      </c>
      <c r="O70" s="36">
        <f>IF(O30&gt;0,(SUM($H$70:$J$70)/9+130000),0)</f>
        <v>928333.33333333337</v>
      </c>
      <c r="P70" s="36">
        <f>IF(P30&gt;0,(SUM($H$70:$J$70)/9+130000)*3,0)</f>
        <v>2785000</v>
      </c>
      <c r="Q70" s="36">
        <f>IF(Q30&gt;0,(SUM($H$70:$J$70)/9+130000)*4,0)</f>
        <v>3713333.3333333335</v>
      </c>
      <c r="R70" s="36">
        <f>IF(R30&gt;0,(SUM($H$70:$J$70)/9+130000)*4,0)</f>
        <v>0</v>
      </c>
      <c r="S70" s="36">
        <f>IF(S30&gt;0,(SUM($H$70:$J$70)/9+130000)*4,0)</f>
        <v>0</v>
      </c>
      <c r="T70" s="36">
        <f>IF(T30&gt;0,(SUM($H$70:$J$70)/9+130000)*4,0)</f>
        <v>0</v>
      </c>
      <c r="U70" s="36">
        <f t="shared" ref="U70:V70" si="31">IF(U30&gt;0,(SUM($H$70:$J$70)/9+120000)*4,0)</f>
        <v>0</v>
      </c>
      <c r="V70" s="36">
        <f t="shared" si="31"/>
        <v>0</v>
      </c>
      <c r="W70" s="35"/>
    </row>
    <row r="71" spans="2:23" x14ac:dyDescent="0.25">
      <c r="B71" s="22" t="s">
        <v>85</v>
      </c>
      <c r="C71" t="s">
        <v>44</v>
      </c>
      <c r="E71" s="10">
        <v>1894000</v>
      </c>
      <c r="F71" s="10">
        <v>861000</v>
      </c>
      <c r="G71" s="10">
        <v>3631000</v>
      </c>
      <c r="H71" s="10">
        <v>8947000</v>
      </c>
      <c r="I71" s="10">
        <v>13491000</v>
      </c>
      <c r="J71" s="10">
        <v>2396000</v>
      </c>
      <c r="K71" s="47">
        <f t="shared" si="28"/>
        <v>35169491.666666664</v>
      </c>
      <c r="L71" s="36">
        <f>$I$71/4</f>
        <v>3372750</v>
      </c>
      <c r="M71" s="36">
        <f>L71*1.1</f>
        <v>3710025.0000000005</v>
      </c>
      <c r="N71" s="36">
        <f>M71</f>
        <v>3710025.0000000005</v>
      </c>
      <c r="O71" s="36">
        <f>N71</f>
        <v>3710025.0000000005</v>
      </c>
      <c r="P71" s="36">
        <f>IF(Auxiliary!F3=2,10000000,IF(Auxiliary!F3=1,8000000,IF(Auxiliary!F3=3,8000000,IF(Auxiliary!F3=4,9500000*0.76,IF(Auxiliary!F3&gt;=5,14150000*1.1*0.75*0.76,IF(Auxiliary!F3=0,0))))))</f>
        <v>10000000</v>
      </c>
      <c r="Q71" s="36">
        <f>IF(Auxiliary!F4=2,13300000,IF(Auxiliary!F4=1,8000000*4/3,IF(Auxiliary!F4=3,12500000,IF(Auxiliary!F4&gt;=4,13000000*0.85,0))))</f>
        <v>10666666.666666666</v>
      </c>
      <c r="R71" s="36">
        <f>IF(Auxiliary!F5=2,13300000,IF(Auxiliary!F5=1,8000000*4/3,IF(Auxiliary!F5=3,12500000,IF(Auxiliary!F5&gt;=4,13000000*0.85,0))))</f>
        <v>0</v>
      </c>
      <c r="S71" s="36">
        <f>IF(Auxiliary!F6=2,13300000,IF(Auxiliary!F6=1,8000000*4/3,IF(Auxiliary!F6=3,12500000,IF(Auxiliary!F6&gt;=4,13000000*0.85,0))))</f>
        <v>0</v>
      </c>
      <c r="T71" s="36">
        <f>IF(Auxiliary!F7=2,13300000,IF(Auxiliary!F7=1,8000000*4/3,IF(Auxiliary!F7=3,12500000,IF(Auxiliary!F7&gt;=4,13000000*0.85,0))))</f>
        <v>0</v>
      </c>
      <c r="U71" s="36">
        <f>IF(Auxiliary!F8=2,13300000,IF(Auxiliary!F8=1,8000000*4/3,IF(Auxiliary!F8=3,12500000,IF(Auxiliary!F8&gt;=4,13000000*0.85,0))))</f>
        <v>0</v>
      </c>
      <c r="V71" s="36">
        <f>IF(Auxiliary!F9=2,13300000,IF(Auxiliary!F9=1,8000000*4/3,IF(Auxiliary!F9=3,12500000,IF(Auxiliary!F9&gt;=4,13000000*0.85,0))))</f>
        <v>0</v>
      </c>
      <c r="W71" s="35"/>
    </row>
    <row r="72" spans="2:23" x14ac:dyDescent="0.25">
      <c r="E72" s="10"/>
      <c r="F72" s="10"/>
      <c r="G72" s="10"/>
      <c r="H72" s="10"/>
      <c r="I72" s="10"/>
      <c r="J72" s="10"/>
      <c r="K72" s="47"/>
      <c r="L72" s="36"/>
      <c r="M72" s="36"/>
      <c r="N72" s="36"/>
      <c r="O72" s="36"/>
      <c r="P72" s="36"/>
      <c r="Q72" s="36"/>
      <c r="R72" s="36"/>
      <c r="S72" s="36"/>
      <c r="T72" s="36"/>
      <c r="U72" s="36"/>
      <c r="V72" s="36"/>
      <c r="W72" s="35"/>
    </row>
    <row r="73" spans="2:23" x14ac:dyDescent="0.25">
      <c r="B73" s="22" t="s">
        <v>46</v>
      </c>
      <c r="C73" s="22" t="s">
        <v>44</v>
      </c>
      <c r="E73" s="10">
        <f>E65+SUM(E68:E71)</f>
        <v>34350000</v>
      </c>
      <c r="F73" s="10">
        <f t="shared" ref="F73:V73" si="32">F65+SUM(F68:F71)</f>
        <v>31206000</v>
      </c>
      <c r="G73" s="10">
        <f t="shared" si="32"/>
        <v>31381000</v>
      </c>
      <c r="H73" s="10">
        <f t="shared" si="32"/>
        <v>38747000</v>
      </c>
      <c r="I73" s="10">
        <f t="shared" si="32"/>
        <v>53256000</v>
      </c>
      <c r="J73" s="10">
        <f t="shared" si="32"/>
        <v>14105000</v>
      </c>
      <c r="K73" s="47">
        <f>SUM(L73:V73)</f>
        <v>168580972.34338233</v>
      </c>
      <c r="L73" s="36">
        <f t="shared" si="32"/>
        <v>14646583.254099905</v>
      </c>
      <c r="M73" s="36">
        <f t="shared" si="32"/>
        <v>15231050.564203441</v>
      </c>
      <c r="N73" s="36">
        <f t="shared" si="32"/>
        <v>15325945.375401031</v>
      </c>
      <c r="O73" s="36">
        <f t="shared" si="32"/>
        <v>15179256.043568641</v>
      </c>
      <c r="P73" s="36">
        <f t="shared" si="32"/>
        <v>44928583.126953557</v>
      </c>
      <c r="Q73" s="36">
        <f t="shared" si="32"/>
        <v>63269553.979155757</v>
      </c>
      <c r="R73" s="36">
        <f t="shared" si="32"/>
        <v>0</v>
      </c>
      <c r="S73" s="36">
        <f t="shared" si="32"/>
        <v>0</v>
      </c>
      <c r="T73" s="36">
        <f t="shared" si="32"/>
        <v>0</v>
      </c>
      <c r="U73" s="36">
        <f t="shared" si="32"/>
        <v>0</v>
      </c>
      <c r="V73" s="36">
        <f t="shared" si="32"/>
        <v>0</v>
      </c>
      <c r="W73" s="35"/>
    </row>
    <row r="74" spans="2:23" x14ac:dyDescent="0.25">
      <c r="B74" s="3"/>
      <c r="C74" s="3"/>
      <c r="K74" s="49"/>
      <c r="L74" s="35"/>
      <c r="M74" s="35"/>
      <c r="N74" s="35"/>
      <c r="O74" s="35"/>
      <c r="P74" s="35"/>
      <c r="Q74" s="35"/>
      <c r="R74" s="35"/>
      <c r="S74" s="35"/>
      <c r="T74" s="35"/>
      <c r="U74" s="35"/>
      <c r="V74" s="35"/>
      <c r="W74" s="35"/>
    </row>
    <row r="75" spans="2:23" ht="15.75" thickBot="1" x14ac:dyDescent="0.3">
      <c r="B75" s="7" t="s">
        <v>86</v>
      </c>
      <c r="C75" s="3"/>
      <c r="K75" s="49"/>
      <c r="L75" s="35"/>
      <c r="M75" s="35"/>
      <c r="N75" s="35"/>
      <c r="O75" s="35"/>
      <c r="P75" s="35"/>
      <c r="Q75" s="35"/>
      <c r="R75" s="35"/>
      <c r="S75" s="35"/>
      <c r="T75" s="35"/>
      <c r="U75" s="35"/>
      <c r="V75" s="35"/>
      <c r="W75" s="35"/>
    </row>
    <row r="76" spans="2:23" x14ac:dyDescent="0.25">
      <c r="B76" s="24" t="s">
        <v>150</v>
      </c>
      <c r="C76" s="22" t="s">
        <v>44</v>
      </c>
      <c r="E76" s="10">
        <v>943000</v>
      </c>
      <c r="F76" s="10">
        <v>615000</v>
      </c>
      <c r="G76" s="10"/>
      <c r="H76" s="10">
        <v>354000</v>
      </c>
      <c r="I76" s="10">
        <v>53000</v>
      </c>
      <c r="J76" s="10">
        <v>244000</v>
      </c>
      <c r="K76" s="47">
        <f>SUM(L76:V76)</f>
        <v>3605246.6266360879</v>
      </c>
      <c r="L76" s="36">
        <f>7.5%*(L57-L73+L71)</f>
        <v>150229.50184405557</v>
      </c>
      <c r="M76" s="36">
        <f t="shared" ref="M76:V76" si="33">7.5%*(M57-M73+M71)</f>
        <v>136157.45231944317</v>
      </c>
      <c r="N76" s="36">
        <f t="shared" si="33"/>
        <v>132330.36765007427</v>
      </c>
      <c r="O76" s="36">
        <f t="shared" si="33"/>
        <v>189039.3658313101</v>
      </c>
      <c r="P76" s="36">
        <f t="shared" si="33"/>
        <v>1561539.5223563449</v>
      </c>
      <c r="Q76" s="36">
        <f t="shared" si="33"/>
        <v>1435950.4166348598</v>
      </c>
      <c r="R76" s="36">
        <f t="shared" si="33"/>
        <v>0</v>
      </c>
      <c r="S76" s="36">
        <f t="shared" si="33"/>
        <v>0</v>
      </c>
      <c r="T76" s="36">
        <f t="shared" si="33"/>
        <v>0</v>
      </c>
      <c r="U76" s="36">
        <f t="shared" si="33"/>
        <v>0</v>
      </c>
      <c r="V76" s="36">
        <f t="shared" si="33"/>
        <v>0</v>
      </c>
      <c r="W76" s="35"/>
    </row>
    <row r="77" spans="2:23" x14ac:dyDescent="0.25">
      <c r="B77" s="24" t="s">
        <v>151</v>
      </c>
      <c r="C77" s="22" t="s">
        <v>44</v>
      </c>
      <c r="E77" s="10"/>
      <c r="F77" s="10"/>
      <c r="K77" s="47">
        <f>SUM(L77:V77)</f>
        <v>907407.17849265086</v>
      </c>
      <c r="L77" s="36">
        <f>0.5%*L57</f>
        <v>66384.466393436567</v>
      </c>
      <c r="M77" s="36">
        <f t="shared" ref="M77:V77" si="34">0.5%*M57</f>
        <v>66682.291308980086</v>
      </c>
      <c r="N77" s="36">
        <f t="shared" si="34"/>
        <v>66901.62638701011</v>
      </c>
      <c r="O77" s="36">
        <f t="shared" si="34"/>
        <v>69948.779606597207</v>
      </c>
      <c r="P77" s="36">
        <f t="shared" si="34"/>
        <v>278745.55045852414</v>
      </c>
      <c r="Q77" s="36">
        <f t="shared" si="34"/>
        <v>358744.46433810279</v>
      </c>
      <c r="R77" s="36">
        <f t="shared" si="34"/>
        <v>0</v>
      </c>
      <c r="S77" s="36">
        <f t="shared" si="34"/>
        <v>0</v>
      </c>
      <c r="T77" s="36">
        <f t="shared" si="34"/>
        <v>0</v>
      </c>
      <c r="U77" s="36">
        <f t="shared" si="34"/>
        <v>0</v>
      </c>
      <c r="V77" s="36">
        <f t="shared" si="34"/>
        <v>0</v>
      </c>
      <c r="W77" s="35"/>
    </row>
    <row r="78" spans="2:23" x14ac:dyDescent="0.25">
      <c r="B78" s="24"/>
      <c r="C78" s="22"/>
      <c r="K78" s="49"/>
      <c r="L78" s="35"/>
      <c r="M78" s="35"/>
      <c r="N78" s="35"/>
      <c r="O78" s="35"/>
      <c r="P78" s="35"/>
      <c r="Q78" s="35"/>
      <c r="R78" s="35"/>
      <c r="S78" s="35"/>
      <c r="T78" s="35"/>
      <c r="U78" s="35"/>
      <c r="V78" s="35"/>
      <c r="W78" s="35"/>
    </row>
    <row r="79" spans="2:23" ht="15.75" thickBot="1" x14ac:dyDescent="0.3">
      <c r="B79" s="7" t="s">
        <v>88</v>
      </c>
      <c r="C79" s="3"/>
      <c r="K79" s="49"/>
      <c r="L79" s="35"/>
      <c r="M79" s="35"/>
      <c r="N79" s="35"/>
      <c r="O79" s="35"/>
      <c r="P79" s="35"/>
      <c r="Q79" s="35"/>
      <c r="R79" s="35"/>
      <c r="S79" s="35"/>
      <c r="T79" s="35"/>
      <c r="U79" s="35"/>
      <c r="V79" s="35"/>
      <c r="W79" s="35"/>
    </row>
    <row r="80" spans="2:23" x14ac:dyDescent="0.25">
      <c r="B80" s="23" t="s">
        <v>49</v>
      </c>
      <c r="C80" s="22" t="s">
        <v>44</v>
      </c>
      <c r="E80" s="10">
        <v>17537000</v>
      </c>
      <c r="F80" s="10">
        <v>12480000</v>
      </c>
      <c r="G80" s="10">
        <v>2826000</v>
      </c>
      <c r="H80" s="10">
        <v>8168000</v>
      </c>
      <c r="I80" s="10">
        <v>3890000</v>
      </c>
      <c r="J80" s="10">
        <v>3711000</v>
      </c>
      <c r="K80" s="47">
        <f>SUM(L80:V80)</f>
        <v>8387809.5500191022</v>
      </c>
      <c r="L80" s="36">
        <f>L57-L73-SUM(L76:L77)</f>
        <v>-1586303.9436500845</v>
      </c>
      <c r="M80" s="36">
        <f t="shared" ref="M80:V80" si="35">M57-M73-SUM(M76:M77)</f>
        <v>-2097432.0460358481</v>
      </c>
      <c r="N80" s="36">
        <f t="shared" si="35"/>
        <v>-2144852.0920360945</v>
      </c>
      <c r="O80" s="36">
        <f t="shared" si="35"/>
        <v>-1448488.2676871065</v>
      </c>
      <c r="P80" s="36">
        <f t="shared" si="35"/>
        <v>8980241.8919363972</v>
      </c>
      <c r="Q80" s="36">
        <f t="shared" si="35"/>
        <v>6684644.0074918382</v>
      </c>
      <c r="R80" s="36">
        <f t="shared" si="35"/>
        <v>0</v>
      </c>
      <c r="S80" s="36">
        <f t="shared" si="35"/>
        <v>0</v>
      </c>
      <c r="T80" s="36">
        <f t="shared" si="35"/>
        <v>0</v>
      </c>
      <c r="U80" s="36">
        <f t="shared" si="35"/>
        <v>0</v>
      </c>
      <c r="V80" s="36">
        <f t="shared" si="35"/>
        <v>0</v>
      </c>
      <c r="W80" s="35"/>
    </row>
    <row r="81" spans="2:23" x14ac:dyDescent="0.25">
      <c r="B81" s="23" t="s">
        <v>145</v>
      </c>
      <c r="C81" s="22" t="s">
        <v>22</v>
      </c>
      <c r="E81" s="16">
        <f t="shared" ref="E81:F81" si="36">(E80-E82)/E80</f>
        <v>0.14301191765980498</v>
      </c>
      <c r="F81" s="16">
        <f t="shared" si="36"/>
        <v>7.828525641025641E-2</v>
      </c>
      <c r="G81" s="16"/>
      <c r="H81" s="16">
        <f t="shared" ref="H81:I81" si="37">(H80-H82)/H80</f>
        <v>0.20714985308521058</v>
      </c>
      <c r="I81" s="16">
        <f t="shared" si="37"/>
        <v>0.6691516709511568</v>
      </c>
      <c r="J81" s="16">
        <f>(J80-J82)/J80</f>
        <v>0.32363244408515224</v>
      </c>
      <c r="K81" s="52">
        <f>AVERAGE(L81:V81)</f>
        <v>0.29999999999999993</v>
      </c>
      <c r="L81" s="42">
        <v>0.3</v>
      </c>
      <c r="M81" s="42">
        <v>0.3</v>
      </c>
      <c r="N81" s="42">
        <v>0.3</v>
      </c>
      <c r="O81" s="42">
        <v>0.3</v>
      </c>
      <c r="P81" s="42">
        <v>0.3</v>
      </c>
      <c r="Q81" s="42">
        <v>0.3</v>
      </c>
      <c r="R81" s="42">
        <v>0.3</v>
      </c>
      <c r="S81" s="42">
        <v>0.3</v>
      </c>
      <c r="T81" s="42">
        <v>0.3</v>
      </c>
      <c r="U81" s="42">
        <v>0.3</v>
      </c>
      <c r="V81" s="42">
        <v>0.3</v>
      </c>
      <c r="W81" s="35"/>
    </row>
    <row r="82" spans="2:23" x14ac:dyDescent="0.25">
      <c r="B82" s="24" t="s">
        <v>89</v>
      </c>
      <c r="C82" s="22" t="s">
        <v>44</v>
      </c>
      <c r="E82" s="10">
        <v>15029000</v>
      </c>
      <c r="F82" s="10">
        <v>11503000</v>
      </c>
      <c r="G82" s="10">
        <v>4117000</v>
      </c>
      <c r="H82" s="10">
        <v>6476000</v>
      </c>
      <c r="I82" s="10">
        <v>1287000</v>
      </c>
      <c r="J82" s="10">
        <v>2510000</v>
      </c>
      <c r="K82" s="47">
        <f>SUM(L82:V82)</f>
        <v>3688343.7801906308</v>
      </c>
      <c r="L82" s="36">
        <f>IF(L80&gt;=0,L80*(1-L81),L80)</f>
        <v>-1586303.9436500845</v>
      </c>
      <c r="M82" s="36">
        <f t="shared" ref="M82:V82" si="38">IF(M80&gt;=0,M80*(1-M81),M80)</f>
        <v>-2097432.0460358481</v>
      </c>
      <c r="N82" s="36">
        <f t="shared" si="38"/>
        <v>-2144852.0920360945</v>
      </c>
      <c r="O82" s="36">
        <f t="shared" si="38"/>
        <v>-1448488.2676871065</v>
      </c>
      <c r="P82" s="36">
        <f t="shared" si="38"/>
        <v>6286169.3243554775</v>
      </c>
      <c r="Q82" s="36">
        <f t="shared" si="38"/>
        <v>4679250.8052442865</v>
      </c>
      <c r="R82" s="36">
        <f t="shared" si="38"/>
        <v>0</v>
      </c>
      <c r="S82" s="36">
        <f t="shared" si="38"/>
        <v>0</v>
      </c>
      <c r="T82" s="36">
        <f t="shared" si="38"/>
        <v>0</v>
      </c>
      <c r="U82" s="36">
        <f t="shared" si="38"/>
        <v>0</v>
      </c>
      <c r="V82" s="36">
        <f t="shared" si="38"/>
        <v>0</v>
      </c>
      <c r="W82" s="35"/>
    </row>
    <row r="83" spans="2:23" x14ac:dyDescent="0.25">
      <c r="K83" s="49"/>
      <c r="L83" s="35"/>
      <c r="M83" s="35"/>
      <c r="N83" s="35"/>
      <c r="O83" s="35"/>
      <c r="P83" s="35"/>
      <c r="Q83" s="35"/>
      <c r="R83" s="35"/>
      <c r="S83" s="35"/>
      <c r="T83" s="35"/>
      <c r="U83" s="35"/>
      <c r="V83" s="35"/>
      <c r="W83" s="35"/>
    </row>
    <row r="84" spans="2:23" ht="15.75" thickBot="1" x14ac:dyDescent="0.3">
      <c r="B84" s="7" t="s">
        <v>47</v>
      </c>
      <c r="K84" s="49"/>
      <c r="L84" s="35"/>
      <c r="M84" s="35"/>
      <c r="N84" s="35"/>
      <c r="O84" s="35"/>
      <c r="P84" s="35"/>
      <c r="Q84" s="35"/>
      <c r="R84" s="35"/>
      <c r="S84" s="35"/>
      <c r="T84" s="35"/>
      <c r="U84" s="35"/>
      <c r="V84" s="35"/>
      <c r="W84" s="35"/>
    </row>
    <row r="85" spans="2:23" x14ac:dyDescent="0.25">
      <c r="B85" t="s">
        <v>93</v>
      </c>
      <c r="C85" t="s">
        <v>44</v>
      </c>
      <c r="E85" s="10">
        <v>1647000</v>
      </c>
      <c r="F85" s="10">
        <v>3497000</v>
      </c>
      <c r="G85" s="10">
        <v>7798000</v>
      </c>
      <c r="H85" s="10">
        <v>11933000</v>
      </c>
      <c r="I85" s="10">
        <v>14150000</v>
      </c>
      <c r="J85" s="10">
        <v>2426000</v>
      </c>
      <c r="K85" s="47">
        <f>SUM(L85:V85)</f>
        <v>18774000</v>
      </c>
      <c r="L85" s="36">
        <f>(12200000-$J$85)/3</f>
        <v>3258000</v>
      </c>
      <c r="M85" s="36">
        <f t="shared" ref="M85:N85" si="39">(12200000-$J$85)/3</f>
        <v>3258000</v>
      </c>
      <c r="N85" s="36">
        <f t="shared" si="39"/>
        <v>3258000</v>
      </c>
      <c r="O85" s="36">
        <f>IF(Auxiliary!F3&gt;=2,2500000,300000)</f>
        <v>2500000</v>
      </c>
      <c r="P85" s="36">
        <f>IF(Auxiliary!F3=2,5000000,IF(Auxiliary!F3=1,1500000,IF(Auxiliary!F3=3,8000000,IF(Auxiliary!F3=4,9500000,IF(Auxiliary!F3&gt;=5,14150000*1.1*0.75,IF(Auxiliary!F3=0,0))))))</f>
        <v>5000000</v>
      </c>
      <c r="Q85" s="36">
        <f>IF(Auxiliary!F4=2,6700000,IF(Auxiliary!F4=1,1500000,IF(Auxiliary!F4=3,10500000,IF(Auxiliary!F4=4,13000000,IF(Auxiliary!F4&gt;=5,14150000*1.1,IF(Auxiliary!F4=0,0))))))</f>
        <v>1500000</v>
      </c>
      <c r="R85" s="36">
        <f>IF(Auxiliary!F5=2,6700000,IF(Auxiliary!F5=1,1500000,IF(Auxiliary!F5=3,10500000,IF(Auxiliary!F5=4,13000000,IF(Auxiliary!F5&gt;=5,14150000*1.1,IF(Auxiliary!F5=0,0))))))</f>
        <v>0</v>
      </c>
      <c r="S85" s="36">
        <f>IF(Auxiliary!F6=2,6700000,IF(Auxiliary!F6=1,1500000,IF(Auxiliary!F6=3,10500000,IF(Auxiliary!F6=4,13000000,IF(Auxiliary!F6&gt;=5,14150000*1.1,IF(Auxiliary!F6=0,0))))))</f>
        <v>0</v>
      </c>
      <c r="T85" s="36">
        <f>IF(Auxiliary!F7=2,6700000,IF(Auxiliary!F7=1,1500000,IF(Auxiliary!F7=3,10500000,IF(Auxiliary!F7=4,13000000,IF(Auxiliary!F7&gt;=5,14150000*1.1,IF(Auxiliary!F7=0,0))))))</f>
        <v>0</v>
      </c>
      <c r="U85" s="36">
        <f>IF(Auxiliary!F8=2,6700000,IF(Auxiliary!F8=1,1500000,IF(Auxiliary!F8=3,10500000,IF(Auxiliary!F8=4,13000000,IF(Auxiliary!F8&gt;=5,14150000*1.1,IF(Auxiliary!F8=0,0))))))</f>
        <v>0</v>
      </c>
      <c r="V85" s="36">
        <f>IF(Auxiliary!F9=2,6700000,IF(Auxiliary!F9=1,1500000,IF(Auxiliary!F9=3,10500000,IF(Auxiliary!F9=4,13000000,IF(Auxiliary!F9&gt;=5,14150000*1.1,IF(Auxiliary!F9=0,0))))))</f>
        <v>0</v>
      </c>
      <c r="W85" s="35"/>
    </row>
    <row r="86" spans="2:23" x14ac:dyDescent="0.25">
      <c r="B86" t="s">
        <v>153</v>
      </c>
      <c r="C86" t="s">
        <v>44</v>
      </c>
      <c r="K86" s="47">
        <f>SUM(L86:W86)</f>
        <v>2372451.6</v>
      </c>
      <c r="L86" s="35"/>
      <c r="M86" s="35"/>
      <c r="N86" s="35"/>
      <c r="O86" s="35"/>
      <c r="P86" s="36" t="str">
        <f>IF(AND(P30=0,O30&gt;0),1977043*1.2,"")</f>
        <v/>
      </c>
      <c r="Q86" s="36" t="str">
        <f t="shared" ref="Q86:V86" si="40">IF(AND(Q30=0,P30&gt;0),1977043*1.2,"")</f>
        <v/>
      </c>
      <c r="R86" s="36">
        <f t="shared" si="40"/>
        <v>2372451.6</v>
      </c>
      <c r="S86" s="36" t="str">
        <f t="shared" si="40"/>
        <v/>
      </c>
      <c r="T86" s="36" t="str">
        <f t="shared" si="40"/>
        <v/>
      </c>
      <c r="U86" s="36" t="str">
        <f t="shared" si="40"/>
        <v/>
      </c>
      <c r="V86" s="36" t="str">
        <f t="shared" si="40"/>
        <v/>
      </c>
      <c r="W86" s="35"/>
    </row>
    <row r="87" spans="2:23" x14ac:dyDescent="0.25">
      <c r="B87" t="s">
        <v>95</v>
      </c>
      <c r="C87" t="s">
        <v>20</v>
      </c>
      <c r="E87" s="14">
        <f>(E73-E71+SUM(E85:E86)+SUM(E76:E77))/(E51+E52*E15/E14)</f>
        <v>12.285877093732882</v>
      </c>
      <c r="F87" s="14">
        <f>(F73-F71+SUM(F85:F86)+SUM(F76:F77))/(F51+F52*F15/F14)</f>
        <v>13.169423377127352</v>
      </c>
      <c r="G87" s="14">
        <f t="shared" ref="G87:J87" si="41">(G73-G71+SUM(G85:G86)+SUM(G76:G77))/(G51+G52*G15/G14)</f>
        <v>19.12032192118329</v>
      </c>
      <c r="H87" s="14">
        <f t="shared" si="41"/>
        <v>22.054824594410722</v>
      </c>
      <c r="I87" s="14">
        <f t="shared" si="41"/>
        <v>24.938405988824968</v>
      </c>
      <c r="J87" s="14">
        <f t="shared" si="41"/>
        <v>24.632642689423033</v>
      </c>
      <c r="K87" s="45">
        <f>AVERAGE(L87:W87)</f>
        <v>23.116037437881648</v>
      </c>
      <c r="L87" s="41">
        <f>IF(OR(L51&gt;0,L52&gt;0),(L73-L71+SUM(L85:L86)+SUM(L76:L77))/(L51+L52*L15/L14),"")</f>
        <v>24.438385703700011</v>
      </c>
      <c r="M87" s="41">
        <f t="shared" ref="M87:V87" si="42">IF(OR(M51&gt;0,M52&gt;0),(M73-M71+SUM(M85:M86)+SUM(M76:M77))/(M51+M52*M15/M14),"")</f>
        <v>24.71428547986276</v>
      </c>
      <c r="N87" s="41">
        <f t="shared" si="42"/>
        <v>25.90987119592581</v>
      </c>
      <c r="O87" s="41">
        <f t="shared" si="42"/>
        <v>25.426139078173097</v>
      </c>
      <c r="P87" s="41">
        <f t="shared" si="42"/>
        <v>18.730733159265004</v>
      </c>
      <c r="Q87" s="41">
        <f t="shared" si="42"/>
        <v>19.476810010363238</v>
      </c>
      <c r="R87" s="41" t="str">
        <f t="shared" si="42"/>
        <v/>
      </c>
      <c r="S87" s="41" t="str">
        <f t="shared" si="42"/>
        <v/>
      </c>
      <c r="T87" s="41" t="str">
        <f t="shared" si="42"/>
        <v/>
      </c>
      <c r="U87" s="41" t="str">
        <f t="shared" si="42"/>
        <v/>
      </c>
      <c r="V87" s="41" t="str">
        <f t="shared" si="42"/>
        <v/>
      </c>
      <c r="W87" s="35"/>
    </row>
    <row r="88" spans="2:23" x14ac:dyDescent="0.25">
      <c r="K88" s="49"/>
      <c r="L88" s="35"/>
      <c r="M88" s="35"/>
      <c r="N88" s="35"/>
      <c r="O88" s="35"/>
      <c r="P88" s="35"/>
      <c r="Q88" s="35"/>
      <c r="R88" s="35"/>
      <c r="S88" s="35"/>
      <c r="T88" s="35"/>
      <c r="U88" s="35"/>
      <c r="V88" s="35"/>
      <c r="W88" s="35"/>
    </row>
    <row r="89" spans="2:23" ht="15.75" thickBot="1" x14ac:dyDescent="0.3">
      <c r="B89" s="7" t="s">
        <v>48</v>
      </c>
      <c r="K89" s="49"/>
      <c r="L89" s="35"/>
      <c r="M89" s="35"/>
      <c r="N89" s="35"/>
      <c r="O89" s="35"/>
      <c r="P89" s="35"/>
      <c r="Q89" s="35"/>
      <c r="R89" s="35"/>
      <c r="S89" s="35"/>
      <c r="T89" s="35"/>
      <c r="U89" s="35"/>
      <c r="V89" s="35"/>
      <c r="W89" s="35"/>
    </row>
    <row r="90" spans="2:23" x14ac:dyDescent="0.25">
      <c r="B90" s="22" t="s">
        <v>48</v>
      </c>
      <c r="C90" s="22" t="s">
        <v>44</v>
      </c>
      <c r="E90" s="10">
        <f>E82+E71-SUM(E85:E86)</f>
        <v>15276000</v>
      </c>
      <c r="F90" s="10">
        <f t="shared" ref="F90:V90" si="43">F82+F71-SUM(F85:F86)</f>
        <v>8867000</v>
      </c>
      <c r="G90" s="10">
        <f t="shared" si="43"/>
        <v>-50000</v>
      </c>
      <c r="H90" s="10">
        <f t="shared" si="43"/>
        <v>3490000</v>
      </c>
      <c r="I90" s="10">
        <f t="shared" si="43"/>
        <v>628000</v>
      </c>
      <c r="J90" s="10">
        <f t="shared" si="43"/>
        <v>2480000</v>
      </c>
      <c r="K90" s="47">
        <f>SUM(L90:W90)</f>
        <v>17711383.846857294</v>
      </c>
      <c r="L90" s="36">
        <f t="shared" si="43"/>
        <v>-1471553.9436500845</v>
      </c>
      <c r="M90" s="36">
        <f t="shared" si="43"/>
        <v>-1645407.0460358476</v>
      </c>
      <c r="N90" s="36">
        <f t="shared" si="43"/>
        <v>-1692827.0920360941</v>
      </c>
      <c r="O90" s="36">
        <f t="shared" si="43"/>
        <v>-238463.26768710604</v>
      </c>
      <c r="P90" s="36">
        <f t="shared" si="43"/>
        <v>11286169.324355477</v>
      </c>
      <c r="Q90" s="36">
        <f t="shared" si="43"/>
        <v>13845917.471910954</v>
      </c>
      <c r="R90" s="36">
        <f t="shared" si="43"/>
        <v>-2372451.6</v>
      </c>
      <c r="S90" s="36">
        <f t="shared" si="43"/>
        <v>0</v>
      </c>
      <c r="T90" s="36">
        <f t="shared" si="43"/>
        <v>0</v>
      </c>
      <c r="U90" s="36">
        <f t="shared" si="43"/>
        <v>0</v>
      </c>
      <c r="V90" s="36">
        <f t="shared" si="43"/>
        <v>0</v>
      </c>
      <c r="W90" s="35"/>
    </row>
    <row r="91" spans="2:23" x14ac:dyDescent="0.25">
      <c r="B91" s="3" t="s">
        <v>50</v>
      </c>
      <c r="C91" s="3" t="s">
        <v>44</v>
      </c>
      <c r="D91" s="34"/>
      <c r="K91" s="47">
        <f>SUM(L91:W91)</f>
        <v>15006136.660997311</v>
      </c>
      <c r="L91" s="47">
        <f>L90</f>
        <v>-1471553.9436500845</v>
      </c>
      <c r="M91" s="47">
        <f>M90/(1+$D$4)^(0.25)</f>
        <v>-1606661.5766619432</v>
      </c>
      <c r="N91" s="47">
        <f>N90/(1+$D$4)^(0.5)</f>
        <v>-1614041.5507706387</v>
      </c>
      <c r="O91" s="47">
        <f>O90/(1+$D$4)^(0.75)</f>
        <v>-222011.08311472222</v>
      </c>
      <c r="P91" s="47">
        <f>P90/(1+$D$4)^(1)</f>
        <v>10260080.808648789</v>
      </c>
      <c r="Q91" s="47">
        <f>Q90/(1+$D$4)^(2)</f>
        <v>11442743.898384895</v>
      </c>
      <c r="R91" s="47">
        <f>R90/(1+$D$4)^(3)</f>
        <v>-1782419.8918389848</v>
      </c>
      <c r="S91" s="47">
        <f>S90/(1+$D$4)^(4)</f>
        <v>0</v>
      </c>
      <c r="T91" s="47">
        <f>T90/(1+$D$4)^(5)</f>
        <v>0</v>
      </c>
      <c r="U91" s="47">
        <f>U90/(1+$D$4)^(6)</f>
        <v>0</v>
      </c>
      <c r="V91" s="47">
        <f>V90/(1+$D$4)^(7)</f>
        <v>0</v>
      </c>
      <c r="W91" s="35"/>
    </row>
    <row r="94" spans="2:23" x14ac:dyDescent="0.25">
      <c r="E94" s="14"/>
      <c r="F94" s="14"/>
      <c r="G94" s="14"/>
      <c r="H94" s="14"/>
      <c r="I94" s="14"/>
      <c r="J94" s="14"/>
      <c r="K94" s="14"/>
    </row>
    <row r="96" spans="2:23" x14ac:dyDescent="0.25">
      <c r="G96" s="14"/>
    </row>
  </sheetData>
  <dataValidations disablePrompts="1" count="1">
    <dataValidation type="list" allowBlank="1" showInputMessage="1" showErrorMessage="1" sqref="M10 G10" xr:uid="{8412035F-5158-41BC-BF1D-AF43E51065F9}">
      <formula1>"Bear case, Base case, Bull case"</formula1>
    </dataValidation>
  </dataValidations>
  <pageMargins left="0.7" right="0.7" top="0.75" bottom="0.75" header="0.3" footer="0.3"/>
  <pageSetup orientation="portrait" r:id="rId1"/>
  <ignoredErrors>
    <ignoredError sqref="H29 U30 U31:U32 U64 K35:K36 K73 K81 K90 K57" formula="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A68-AF4D-4ED8-8653-458D518E174E}">
  <dimension ref="A1:AJ98"/>
  <sheetViews>
    <sheetView showGridLines="0" zoomScale="89" zoomScaleNormal="89" workbookViewId="0">
      <selection activeCell="I25" sqref="I25"/>
    </sheetView>
  </sheetViews>
  <sheetFormatPr baseColWidth="10" defaultColWidth="9.140625" defaultRowHeight="15" x14ac:dyDescent="0.25"/>
  <cols>
    <col min="1" max="1" width="10.42578125" customWidth="1"/>
    <col min="2" max="2" width="45.5703125" bestFit="1" customWidth="1"/>
    <col min="3" max="3" width="12.5703125" bestFit="1" customWidth="1"/>
    <col min="4" max="4" width="15.28515625" bestFit="1" customWidth="1"/>
    <col min="5" max="5" width="19.5703125" bestFit="1" customWidth="1"/>
    <col min="6" max="6" width="19.5703125" customWidth="1"/>
    <col min="7" max="7" width="18.5703125" bestFit="1" customWidth="1"/>
    <col min="8" max="8" width="17.28515625" bestFit="1" customWidth="1"/>
    <col min="9" max="9" width="17.7109375" bestFit="1" customWidth="1"/>
    <col min="10" max="10" width="12" bestFit="1" customWidth="1"/>
    <col min="11" max="11" width="16.140625" bestFit="1" customWidth="1"/>
    <col min="12" max="12" width="15.42578125" bestFit="1" customWidth="1"/>
    <col min="13" max="13" width="19.7109375" bestFit="1" customWidth="1"/>
    <col min="14" max="14" width="18.7109375" bestFit="1" customWidth="1"/>
    <col min="15" max="15" width="18.5703125" bestFit="1" customWidth="1"/>
    <col min="16" max="16" width="17.7109375" bestFit="1" customWidth="1"/>
    <col min="17" max="22" width="12.85546875" bestFit="1" customWidth="1"/>
    <col min="23" max="23" width="11.85546875" bestFit="1" customWidth="1"/>
    <col min="24" max="24" width="11.140625" bestFit="1" customWidth="1"/>
    <col min="35" max="36" width="8.7109375" customWidth="1"/>
  </cols>
  <sheetData>
    <row r="1" spans="1:36" ht="23.25" x14ac:dyDescent="0.35">
      <c r="A1" s="1" t="s">
        <v>143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x14ac:dyDescent="0.25">
      <c r="A2" s="3" t="s">
        <v>0</v>
      </c>
    </row>
    <row r="3" spans="1:36" x14ac:dyDescent="0.25">
      <c r="A3" t="s">
        <v>112</v>
      </c>
      <c r="C3" s="3" t="s">
        <v>113</v>
      </c>
      <c r="D3" s="3">
        <v>0</v>
      </c>
    </row>
    <row r="4" spans="1:36" x14ac:dyDescent="0.25">
      <c r="A4" t="s">
        <v>1</v>
      </c>
      <c r="C4" s="3" t="s">
        <v>2</v>
      </c>
      <c r="D4" s="31">
        <f>WACC!C22</f>
        <v>0.1000078395914526</v>
      </c>
    </row>
    <row r="6" spans="1:36" x14ac:dyDescent="0.25">
      <c r="C6" s="3" t="s">
        <v>68</v>
      </c>
      <c r="D6" s="3" t="s">
        <v>24</v>
      </c>
      <c r="E6" s="3" t="s">
        <v>69</v>
      </c>
      <c r="F6" s="3" t="s">
        <v>70</v>
      </c>
      <c r="G6" s="3" t="s">
        <v>71</v>
      </c>
      <c r="H6" s="3" t="s">
        <v>72</v>
      </c>
      <c r="J6" s="3" t="s">
        <v>68</v>
      </c>
      <c r="K6" s="3" t="s">
        <v>24</v>
      </c>
      <c r="L6" s="3" t="s">
        <v>69</v>
      </c>
      <c r="M6" s="3" t="s">
        <v>70</v>
      </c>
      <c r="N6" s="3" t="s">
        <v>71</v>
      </c>
      <c r="O6" s="3" t="s">
        <v>72</v>
      </c>
    </row>
    <row r="7" spans="1:36" x14ac:dyDescent="0.25">
      <c r="C7" t="s">
        <v>26</v>
      </c>
      <c r="D7" s="10">
        <f>7380000</f>
        <v>7380000</v>
      </c>
      <c r="E7">
        <f>197</f>
        <v>197</v>
      </c>
      <c r="F7">
        <f>2.25</f>
        <v>2.25</v>
      </c>
      <c r="G7" s="10">
        <f>D7*E7/Auxiliary!$C$4</f>
        <v>46742684.406265475</v>
      </c>
      <c r="H7" s="10">
        <f>D7*F7/Auxiliary!$C$4</f>
        <v>533863.14677206764</v>
      </c>
      <c r="J7" s="17" t="s">
        <v>29</v>
      </c>
      <c r="K7" s="10">
        <f>5303000</f>
        <v>5303000</v>
      </c>
      <c r="L7" s="10">
        <f>254.3</f>
        <v>254.3</v>
      </c>
      <c r="M7" s="14">
        <f>3.675</f>
        <v>3.6749999999999998</v>
      </c>
      <c r="N7" s="10">
        <f>K7*L7/Auxiliary!$C$4</f>
        <v>43356982.522288315</v>
      </c>
      <c r="O7" s="10">
        <f>K7*M7/Auxiliary!$C$4</f>
        <v>626570.62827137066</v>
      </c>
    </row>
    <row r="8" spans="1:36" x14ac:dyDescent="0.25">
      <c r="J8" t="s">
        <v>30</v>
      </c>
      <c r="K8" s="11">
        <f>1058000</f>
        <v>1058000</v>
      </c>
      <c r="L8" s="11">
        <f>212.2</f>
        <v>212.2</v>
      </c>
      <c r="M8" s="12">
        <f>2.5</f>
        <v>2.5</v>
      </c>
      <c r="N8" s="11">
        <f>K8*L8/Auxiliary!$C$4</f>
        <v>7218086.9503309038</v>
      </c>
      <c r="O8" s="11">
        <f>K8*M8/Auxiliary!$C$4</f>
        <v>85038.72467402101</v>
      </c>
    </row>
    <row r="9" spans="1:36" x14ac:dyDescent="0.25">
      <c r="J9" s="20" t="s">
        <v>27</v>
      </c>
      <c r="K9" s="10">
        <f>SUM(K7:K8)</f>
        <v>6361000</v>
      </c>
      <c r="L9" s="21">
        <f>(L7*K7+L8*K8)/K9</f>
        <v>247.29767332180475</v>
      </c>
      <c r="M9" s="14">
        <f>(M7*K7+M8*K8)/K9</f>
        <v>3.4795668919981133</v>
      </c>
      <c r="N9" s="10">
        <f>SUM(N7:N8)</f>
        <v>50575069.472619221</v>
      </c>
      <c r="O9" s="10">
        <f>SUM(O7:O8)</f>
        <v>711609.35294539167</v>
      </c>
    </row>
    <row r="11" spans="1:36" x14ac:dyDescent="0.25">
      <c r="B11" s="6" t="s">
        <v>7</v>
      </c>
      <c r="C11" s="6" t="s">
        <v>8</v>
      </c>
      <c r="D11" s="6"/>
      <c r="E11" s="6" t="s">
        <v>55</v>
      </c>
      <c r="F11" s="6" t="s">
        <v>9</v>
      </c>
      <c r="G11" s="6" t="s">
        <v>56</v>
      </c>
      <c r="H11" s="6" t="s">
        <v>60</v>
      </c>
      <c r="I11" s="6" t="s">
        <v>61</v>
      </c>
      <c r="J11" s="6" t="s">
        <v>114</v>
      </c>
      <c r="K11" s="6" t="s">
        <v>57</v>
      </c>
      <c r="L11" s="6" t="s">
        <v>14</v>
      </c>
      <c r="M11" s="6" t="s">
        <v>15</v>
      </c>
      <c r="N11" s="6" t="s">
        <v>16</v>
      </c>
      <c r="O11" s="6" t="s">
        <v>17</v>
      </c>
      <c r="P11" s="6" t="s">
        <v>18</v>
      </c>
      <c r="Q11" s="6" t="s">
        <v>58</v>
      </c>
      <c r="R11" s="6" t="s">
        <v>59</v>
      </c>
      <c r="S11" s="6" t="s">
        <v>115</v>
      </c>
      <c r="T11" s="6" t="s">
        <v>116</v>
      </c>
      <c r="U11" s="6" t="s">
        <v>117</v>
      </c>
      <c r="V11" s="6" t="s">
        <v>118</v>
      </c>
      <c r="W11" s="6" t="s">
        <v>120</v>
      </c>
      <c r="X11" s="6" t="s">
        <v>121</v>
      </c>
      <c r="Y11" s="6" t="s">
        <v>122</v>
      </c>
      <c r="Z11" s="6" t="s">
        <v>123</v>
      </c>
      <c r="AA11" s="6" t="s">
        <v>124</v>
      </c>
      <c r="AB11" s="6" t="s">
        <v>125</v>
      </c>
      <c r="AC11" s="6" t="s">
        <v>126</v>
      </c>
      <c r="AD11" s="6" t="s">
        <v>127</v>
      </c>
      <c r="AE11" s="6" t="s">
        <v>128</v>
      </c>
      <c r="AF11" s="6" t="s">
        <v>129</v>
      </c>
      <c r="AG11" s="6" t="s">
        <v>130</v>
      </c>
      <c r="AH11" s="6" t="s">
        <v>131</v>
      </c>
      <c r="AI11" s="6"/>
      <c r="AJ11" s="6"/>
    </row>
    <row r="12" spans="1:36" x14ac:dyDescent="0.2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row>
    <row r="13" spans="1:36" ht="15.75" thickBot="1" x14ac:dyDescent="0.3">
      <c r="B13" s="7" t="s">
        <v>19</v>
      </c>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row>
    <row r="14" spans="1:36" x14ac:dyDescent="0.25">
      <c r="B14" t="s">
        <v>53</v>
      </c>
      <c r="C14" t="s">
        <v>20</v>
      </c>
      <c r="E14">
        <v>24.38</v>
      </c>
      <c r="F14" s="45">
        <f>AVERAGE(G14:W14)</f>
        <v>24.529411764705884</v>
      </c>
      <c r="G14" s="35">
        <v>22</v>
      </c>
      <c r="H14" s="35">
        <v>22</v>
      </c>
      <c r="I14" s="40">
        <v>23</v>
      </c>
      <c r="J14" s="35">
        <v>25</v>
      </c>
      <c r="K14" s="35">
        <f>J14</f>
        <v>25</v>
      </c>
      <c r="L14" s="35">
        <f t="shared" ref="L14:Q15" si="0">K14</f>
        <v>25</v>
      </c>
      <c r="M14" s="35">
        <f t="shared" si="0"/>
        <v>25</v>
      </c>
      <c r="N14" s="35">
        <f t="shared" si="0"/>
        <v>25</v>
      </c>
      <c r="O14" s="35">
        <f t="shared" si="0"/>
        <v>25</v>
      </c>
      <c r="P14" s="35">
        <f t="shared" si="0"/>
        <v>25</v>
      </c>
      <c r="Q14" s="35">
        <f t="shared" si="0"/>
        <v>25</v>
      </c>
      <c r="R14" s="35">
        <f>Q14</f>
        <v>25</v>
      </c>
      <c r="S14" s="35">
        <f t="shared" ref="S14:W15" si="1">R14</f>
        <v>25</v>
      </c>
      <c r="T14" s="35">
        <f t="shared" si="1"/>
        <v>25</v>
      </c>
      <c r="U14" s="35">
        <f t="shared" si="1"/>
        <v>25</v>
      </c>
      <c r="V14" s="35">
        <f t="shared" si="1"/>
        <v>25</v>
      </c>
      <c r="W14" s="35">
        <f t="shared" si="1"/>
        <v>25</v>
      </c>
      <c r="X14" s="35"/>
      <c r="Y14" s="35"/>
      <c r="Z14" s="35"/>
      <c r="AA14" s="35"/>
      <c r="AB14" s="35"/>
      <c r="AC14" s="35"/>
      <c r="AD14" s="35"/>
      <c r="AE14" s="35"/>
      <c r="AF14" s="35"/>
      <c r="AG14" s="35"/>
      <c r="AH14" s="35"/>
    </row>
    <row r="15" spans="1:36" x14ac:dyDescent="0.25">
      <c r="B15" t="s">
        <v>54</v>
      </c>
      <c r="C15" t="s">
        <v>20</v>
      </c>
      <c r="E15" s="10">
        <v>1970</v>
      </c>
      <c r="F15" s="47">
        <f>AVERAGE(G15:W15)</f>
        <v>1765.8823529411766</v>
      </c>
      <c r="G15" s="36">
        <v>1870</v>
      </c>
      <c r="H15" s="36">
        <v>1850</v>
      </c>
      <c r="I15" s="36">
        <v>1800</v>
      </c>
      <c r="J15" s="36">
        <f>1750</f>
        <v>1750</v>
      </c>
      <c r="K15" s="36">
        <f>J15</f>
        <v>1750</v>
      </c>
      <c r="L15" s="36">
        <f t="shared" si="0"/>
        <v>1750</v>
      </c>
      <c r="M15" s="36">
        <f t="shared" si="0"/>
        <v>1750</v>
      </c>
      <c r="N15" s="36">
        <f t="shared" si="0"/>
        <v>1750</v>
      </c>
      <c r="O15" s="36">
        <f t="shared" si="0"/>
        <v>1750</v>
      </c>
      <c r="P15" s="36">
        <f t="shared" si="0"/>
        <v>1750</v>
      </c>
      <c r="Q15" s="36">
        <f t="shared" si="0"/>
        <v>1750</v>
      </c>
      <c r="R15" s="36">
        <f t="shared" ref="R15" si="2">Q15</f>
        <v>1750</v>
      </c>
      <c r="S15" s="36">
        <f t="shared" si="1"/>
        <v>1750</v>
      </c>
      <c r="T15" s="36">
        <f t="shared" si="1"/>
        <v>1750</v>
      </c>
      <c r="U15" s="36">
        <f t="shared" si="1"/>
        <v>1750</v>
      </c>
      <c r="V15" s="36">
        <f t="shared" si="1"/>
        <v>1750</v>
      </c>
      <c r="W15" s="36">
        <f t="shared" si="1"/>
        <v>1750</v>
      </c>
      <c r="X15" s="36"/>
      <c r="Y15" s="35"/>
      <c r="Z15" s="35"/>
      <c r="AA15" s="35"/>
      <c r="AB15" s="35"/>
      <c r="AC15" s="35"/>
      <c r="AD15" s="35"/>
      <c r="AE15" s="35"/>
      <c r="AF15" s="35"/>
      <c r="AG15" s="35"/>
      <c r="AH15" s="35"/>
    </row>
    <row r="16" spans="1:36" x14ac:dyDescent="0.25">
      <c r="F16" s="49"/>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row>
    <row r="17" spans="2:34" ht="15.75" thickBot="1" x14ac:dyDescent="0.3">
      <c r="B17" s="7" t="s">
        <v>74</v>
      </c>
      <c r="F17" s="49"/>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row>
    <row r="18" spans="2:34" x14ac:dyDescent="0.25">
      <c r="B18" t="s">
        <v>26</v>
      </c>
      <c r="C18" t="s">
        <v>35</v>
      </c>
      <c r="E18" s="10">
        <f>D7</f>
        <v>7380000</v>
      </c>
      <c r="F18" s="47">
        <f>D7</f>
        <v>7380000</v>
      </c>
      <c r="G18" s="36">
        <f>E18</f>
        <v>7380000</v>
      </c>
      <c r="H18" s="36">
        <f t="shared" ref="H18:J18" si="3">G18</f>
        <v>7380000</v>
      </c>
      <c r="I18" s="36">
        <f t="shared" si="3"/>
        <v>7380000</v>
      </c>
      <c r="J18" s="36">
        <f t="shared" si="3"/>
        <v>7380000</v>
      </c>
      <c r="K18" s="36">
        <f>J18</f>
        <v>7380000</v>
      </c>
      <c r="L18" s="36">
        <f>IF(K18-K22&gt;=0,K18-K22,0)</f>
        <v>7268000</v>
      </c>
      <c r="M18" s="36">
        <f t="shared" ref="M18:W18" si="4">IF(L18-L22&gt;=0,L18-L22,0)</f>
        <v>6647000</v>
      </c>
      <c r="N18" s="36">
        <f t="shared" si="4"/>
        <v>6026000</v>
      </c>
      <c r="O18" s="36">
        <f t="shared" si="4"/>
        <v>5405000</v>
      </c>
      <c r="P18" s="36">
        <f t="shared" si="4"/>
        <v>4784000</v>
      </c>
      <c r="Q18" s="36">
        <f t="shared" si="4"/>
        <v>4163000</v>
      </c>
      <c r="R18" s="36">
        <f t="shared" si="4"/>
        <v>3542000</v>
      </c>
      <c r="S18" s="36">
        <f t="shared" si="4"/>
        <v>2921000</v>
      </c>
      <c r="T18" s="36">
        <f t="shared" si="4"/>
        <v>2300000</v>
      </c>
      <c r="U18" s="36">
        <f t="shared" si="4"/>
        <v>1679000</v>
      </c>
      <c r="V18" s="36">
        <f t="shared" si="4"/>
        <v>1058000</v>
      </c>
      <c r="W18" s="36">
        <f t="shared" si="4"/>
        <v>437000</v>
      </c>
      <c r="X18" s="36"/>
      <c r="Y18" s="35"/>
      <c r="Z18" s="35"/>
      <c r="AA18" s="35"/>
      <c r="AB18" s="35"/>
      <c r="AC18" s="35"/>
      <c r="AD18" s="35"/>
      <c r="AE18" s="35"/>
      <c r="AF18" s="35"/>
      <c r="AG18" s="35"/>
      <c r="AH18" s="35"/>
    </row>
    <row r="19" spans="2:34" x14ac:dyDescent="0.25">
      <c r="F19" s="49"/>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row>
    <row r="20" spans="2:34" ht="15.75" thickBot="1" x14ac:dyDescent="0.3">
      <c r="B20" s="7" t="s">
        <v>31</v>
      </c>
      <c r="F20" s="49"/>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2:34" x14ac:dyDescent="0.25">
      <c r="B21" t="s">
        <v>32</v>
      </c>
      <c r="C21" t="s">
        <v>33</v>
      </c>
      <c r="F21" s="47">
        <f>AVERAGE(G21:W21)</f>
        <v>1562.3311070245722</v>
      </c>
      <c r="G21" s="35"/>
      <c r="H21" s="35"/>
      <c r="I21" s="35"/>
      <c r="J21" s="35"/>
      <c r="K21" s="36">
        <f>K22/275</f>
        <v>407.27272727272725</v>
      </c>
      <c r="L21" s="36">
        <f>L22/366</f>
        <v>1696.7213114754099</v>
      </c>
      <c r="M21" s="36">
        <f>M22/365</f>
        <v>1701.3698630136987</v>
      </c>
      <c r="N21" s="36">
        <f t="shared" ref="N21:O21" si="5">N22/365</f>
        <v>1701.3698630136987</v>
      </c>
      <c r="O21" s="36">
        <f t="shared" si="5"/>
        <v>1701.3698630136987</v>
      </c>
      <c r="P21" s="36">
        <f>P22/366</f>
        <v>1696.7213114754099</v>
      </c>
      <c r="Q21" s="36">
        <f>Q22/365</f>
        <v>1701.3698630136987</v>
      </c>
      <c r="R21" s="36">
        <f t="shared" ref="R21:S21" si="6">R22/365</f>
        <v>1701.3698630136987</v>
      </c>
      <c r="S21" s="36">
        <f t="shared" si="6"/>
        <v>1701.3698630136987</v>
      </c>
      <c r="T21" s="36">
        <f>T22/365</f>
        <v>1701.3698630136987</v>
      </c>
      <c r="U21" s="36">
        <f>U22/365</f>
        <v>1701.3698630136987</v>
      </c>
      <c r="V21" s="36">
        <f t="shared" ref="V21:W21" si="7">V22/365</f>
        <v>1701.3698630136987</v>
      </c>
      <c r="W21" s="36">
        <f t="shared" si="7"/>
        <v>1197.2602739726028</v>
      </c>
      <c r="X21" s="36"/>
      <c r="Y21" s="35"/>
      <c r="Z21" s="35"/>
      <c r="AA21" s="35"/>
      <c r="AB21" s="35"/>
      <c r="AC21" s="35"/>
      <c r="AD21" s="35"/>
      <c r="AE21" s="35"/>
      <c r="AF21" s="35"/>
      <c r="AG21" s="35"/>
      <c r="AH21" s="35"/>
    </row>
    <row r="22" spans="2:34" x14ac:dyDescent="0.25">
      <c r="B22" t="s">
        <v>34</v>
      </c>
      <c r="C22" t="s">
        <v>35</v>
      </c>
      <c r="F22" s="47">
        <f>SUM(G22:W22)</f>
        <v>7380000</v>
      </c>
      <c r="G22" s="35"/>
      <c r="H22" s="35"/>
      <c r="I22" s="35"/>
      <c r="J22" s="35"/>
      <c r="K22" s="36">
        <v>112000</v>
      </c>
      <c r="L22" s="36">
        <v>621000</v>
      </c>
      <c r="M22" s="36">
        <v>621000</v>
      </c>
      <c r="N22" s="36">
        <v>621000</v>
      </c>
      <c r="O22" s="36">
        <v>621000</v>
      </c>
      <c r="P22" s="36">
        <v>621000</v>
      </c>
      <c r="Q22" s="36">
        <v>621000</v>
      </c>
      <c r="R22" s="36">
        <v>621000</v>
      </c>
      <c r="S22" s="36">
        <v>621000</v>
      </c>
      <c r="T22" s="36">
        <v>621000</v>
      </c>
      <c r="U22" s="36">
        <v>621000</v>
      </c>
      <c r="V22" s="36">
        <v>621000</v>
      </c>
      <c r="W22" s="36">
        <v>437000</v>
      </c>
      <c r="X22" s="36"/>
      <c r="Y22" s="35"/>
      <c r="Z22" s="35"/>
      <c r="AA22" s="35"/>
      <c r="AB22" s="35"/>
      <c r="AC22" s="35"/>
      <c r="AD22" s="35"/>
      <c r="AE22" s="35"/>
      <c r="AF22" s="35"/>
      <c r="AG22" s="35"/>
      <c r="AH22" s="35"/>
    </row>
    <row r="23" spans="2:34" x14ac:dyDescent="0.25">
      <c r="B23" t="s">
        <v>36</v>
      </c>
      <c r="C23" t="s">
        <v>37</v>
      </c>
      <c r="F23" s="46">
        <f>AVERAGE(G23:W23)</f>
        <v>196.30769230769232</v>
      </c>
      <c r="G23" s="35"/>
      <c r="H23" s="35"/>
      <c r="I23" s="35"/>
      <c r="J23" s="35"/>
      <c r="K23" s="35">
        <v>214</v>
      </c>
      <c r="L23" s="35">
        <v>236</v>
      </c>
      <c r="M23" s="35">
        <v>264</v>
      </c>
      <c r="N23" s="35">
        <v>279</v>
      </c>
      <c r="O23" s="35">
        <v>221</v>
      </c>
      <c r="P23" s="35">
        <v>174</v>
      </c>
      <c r="Q23" s="35">
        <v>198</v>
      </c>
      <c r="R23" s="35">
        <v>212</v>
      </c>
      <c r="S23" s="35">
        <v>178</v>
      </c>
      <c r="T23" s="35">
        <v>158</v>
      </c>
      <c r="U23" s="35">
        <v>138</v>
      </c>
      <c r="V23" s="35">
        <v>154</v>
      </c>
      <c r="W23" s="35">
        <v>126</v>
      </c>
      <c r="X23" s="35"/>
      <c r="Y23" s="35"/>
      <c r="Z23" s="35"/>
      <c r="AA23" s="35"/>
      <c r="AB23" s="35"/>
      <c r="AC23" s="35"/>
      <c r="AD23" s="35"/>
      <c r="AE23" s="35"/>
      <c r="AF23" s="35"/>
      <c r="AG23" s="35"/>
      <c r="AH23" s="35"/>
    </row>
    <row r="24" spans="2:34" x14ac:dyDescent="0.25">
      <c r="B24" t="s">
        <v>38</v>
      </c>
      <c r="C24" t="s">
        <v>37</v>
      </c>
      <c r="F24" s="45">
        <f>AVERAGE(G24:W24)</f>
        <v>2.5430769230769235</v>
      </c>
      <c r="G24" s="35"/>
      <c r="H24" s="35"/>
      <c r="I24" s="35"/>
      <c r="J24" s="35"/>
      <c r="K24" s="35">
        <v>7.07</v>
      </c>
      <c r="L24" s="35">
        <v>3.98</v>
      </c>
      <c r="M24" s="35">
        <v>2.0299999999999998</v>
      </c>
      <c r="N24" s="35">
        <v>1.85</v>
      </c>
      <c r="O24" s="35">
        <v>2.57</v>
      </c>
      <c r="P24" s="35">
        <v>2.74</v>
      </c>
      <c r="Q24" s="35">
        <v>2.0299999999999998</v>
      </c>
      <c r="R24" s="35">
        <v>1.68</v>
      </c>
      <c r="S24" s="35">
        <v>1.73</v>
      </c>
      <c r="T24" s="35">
        <v>1.91</v>
      </c>
      <c r="U24" s="35">
        <v>1.94</v>
      </c>
      <c r="V24" s="35">
        <v>1.72</v>
      </c>
      <c r="W24" s="35">
        <v>1.81</v>
      </c>
      <c r="X24" s="35"/>
      <c r="Y24" s="35"/>
      <c r="Z24" s="35"/>
      <c r="AA24" s="35"/>
      <c r="AB24" s="35"/>
      <c r="AC24" s="35"/>
      <c r="AD24" s="35"/>
      <c r="AE24" s="35"/>
      <c r="AF24" s="35"/>
      <c r="AG24" s="35"/>
      <c r="AH24" s="35"/>
    </row>
    <row r="25" spans="2:34" x14ac:dyDescent="0.25">
      <c r="F25" s="49"/>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row>
    <row r="26" spans="2:34" ht="15.75" thickBot="1" x14ac:dyDescent="0.3">
      <c r="B26" s="7" t="s">
        <v>39</v>
      </c>
      <c r="F26" s="49"/>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row>
    <row r="27" spans="2:34" x14ac:dyDescent="0.25">
      <c r="B27" t="s">
        <v>21</v>
      </c>
      <c r="C27" t="s">
        <v>40</v>
      </c>
      <c r="F27" s="47">
        <f>SUM(G27:W27)</f>
        <v>46704810.826807633</v>
      </c>
      <c r="G27" s="35"/>
      <c r="H27" s="35"/>
      <c r="I27" s="35"/>
      <c r="J27" s="35"/>
      <c r="K27" s="36">
        <f>K22*K23/Auxiliary!$C$4</f>
        <v>770589.09375687549</v>
      </c>
      <c r="L27" s="36">
        <f>L22*L23/Auxiliary!$C$4</f>
        <v>4711884.8141118428</v>
      </c>
      <c r="M27" s="36">
        <f>M22*M23/Auxiliary!$C$4</f>
        <v>5270921.9954471458</v>
      </c>
      <c r="N27" s="36">
        <f>N22*N23/Auxiliary!$C$4</f>
        <v>5570406.1997339157</v>
      </c>
      <c r="O27" s="36">
        <f>O22*O23/Auxiliary!$C$4</f>
        <v>4412400.6098250728</v>
      </c>
      <c r="P27" s="36">
        <f>P22*P23/Auxiliary!$C$4</f>
        <v>3474016.7697265279</v>
      </c>
      <c r="Q27" s="36">
        <f>Q22*Q23/Auxiliary!$C$4</f>
        <v>3953191.4965853593</v>
      </c>
      <c r="R27" s="36">
        <f>R22*R23/Auxiliary!$C$4</f>
        <v>4232710.0872530108</v>
      </c>
      <c r="S27" s="36">
        <f>S22*S23/Auxiliary!$C$4</f>
        <v>3553879.2242029998</v>
      </c>
      <c r="T27" s="36">
        <f>T22*T23/Auxiliary!$C$4</f>
        <v>3154566.9518206404</v>
      </c>
      <c r="U27" s="36">
        <f>U22*U23/Auxiliary!$C$4</f>
        <v>2755254.6794382809</v>
      </c>
      <c r="V27" s="36">
        <f>V22*V23/Auxiliary!$C$4</f>
        <v>3074704.4973441684</v>
      </c>
      <c r="W27" s="36">
        <f>W22*W23/Auxiliary!$C$4</f>
        <v>1770284.4075617939</v>
      </c>
      <c r="X27" s="35"/>
      <c r="Y27" s="35"/>
      <c r="Z27" s="35"/>
      <c r="AA27" s="35"/>
      <c r="AB27" s="35"/>
      <c r="AC27" s="35"/>
      <c r="AD27" s="35"/>
      <c r="AE27" s="35"/>
      <c r="AF27" s="35"/>
      <c r="AG27" s="35"/>
      <c r="AH27" s="35"/>
    </row>
    <row r="28" spans="2:34" x14ac:dyDescent="0.25">
      <c r="B28" t="s">
        <v>23</v>
      </c>
      <c r="C28" t="s">
        <v>40</v>
      </c>
      <c r="F28" s="47">
        <f>SUM(G28:W28)</f>
        <v>533657.06048656267</v>
      </c>
      <c r="G28" s="35"/>
      <c r="H28" s="35"/>
      <c r="I28" s="35"/>
      <c r="J28" s="35"/>
      <c r="K28" s="36">
        <f>K22*K24/Auxiliary!$C$4</f>
        <v>25458.247162902382</v>
      </c>
      <c r="L28" s="36">
        <f>L22*L24/Auxiliary!$C$4</f>
        <v>79463.142204089541</v>
      </c>
      <c r="M28" s="36">
        <f>M22*M24/Auxiliary!$C$4</f>
        <v>40530.195646809487</v>
      </c>
      <c r="N28" s="36">
        <f>N22*N24/Auxiliary!$C$4</f>
        <v>36936.385195368253</v>
      </c>
      <c r="O28" s="36">
        <f>O22*O24/Auxiliary!$C$4</f>
        <v>51311.627001133202</v>
      </c>
      <c r="P28" s="36">
        <f>P22*P24/Auxiliary!$C$4</f>
        <v>54705.781316383262</v>
      </c>
      <c r="Q28" s="36">
        <f>Q22*Q24/Auxiliary!$C$4</f>
        <v>40530.195646809487</v>
      </c>
      <c r="R28" s="36">
        <f>R22*R24/Auxiliary!$C$4</f>
        <v>33542.230880118201</v>
      </c>
      <c r="S28" s="36">
        <f>S22*S24/Auxiliary!$C$4</f>
        <v>34540.511561074098</v>
      </c>
      <c r="T28" s="36">
        <f>T22*T24/Auxiliary!$C$4</f>
        <v>38134.322012515338</v>
      </c>
      <c r="U28" s="36">
        <f>U22*U24/Auxiliary!$C$4</f>
        <v>38733.290421088874</v>
      </c>
      <c r="V28" s="36">
        <f>V22*V24/Auxiliary!$C$4</f>
        <v>34340.855424882917</v>
      </c>
      <c r="W28" s="36">
        <f>W22*W24/Auxiliary!$C$4</f>
        <v>25430.276013387673</v>
      </c>
      <c r="X28" s="35"/>
      <c r="Y28" s="35"/>
      <c r="Z28" s="35"/>
      <c r="AA28" s="35"/>
      <c r="AB28" s="35"/>
      <c r="AC28" s="35"/>
      <c r="AD28" s="35"/>
      <c r="AE28" s="35"/>
      <c r="AF28" s="35"/>
      <c r="AG28" s="35"/>
      <c r="AH28" s="35"/>
    </row>
    <row r="29" spans="2:34" x14ac:dyDescent="0.25">
      <c r="F29" s="49"/>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row>
    <row r="30" spans="2:34" ht="15.75" thickBot="1" x14ac:dyDescent="0.3">
      <c r="B30" s="7" t="s">
        <v>41</v>
      </c>
      <c r="F30" s="49"/>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row>
    <row r="31" spans="2:34" x14ac:dyDescent="0.25">
      <c r="B31" t="s">
        <v>21</v>
      </c>
      <c r="C31" t="s">
        <v>22</v>
      </c>
      <c r="F31" s="52">
        <f>AVERAGE(G31:W31)</f>
        <v>0.87718390915072164</v>
      </c>
      <c r="G31" s="35"/>
      <c r="H31" s="35"/>
      <c r="I31" s="35"/>
      <c r="J31" s="35"/>
      <c r="K31" s="43">
        <f>K35/K27</f>
        <v>0.87984634806408535</v>
      </c>
      <c r="L31" s="43">
        <f t="shared" ref="L31:W31" si="8">L35/L27</f>
        <v>0.87650699516908204</v>
      </c>
      <c r="M31" s="43">
        <f t="shared" si="8"/>
        <v>0.87878363671497584</v>
      </c>
      <c r="N31" s="43">
        <f t="shared" si="8"/>
        <v>0.87857147657091395</v>
      </c>
      <c r="O31" s="43">
        <f t="shared" si="8"/>
        <v>0.87775348216932259</v>
      </c>
      <c r="P31" s="43">
        <f t="shared" si="8"/>
        <v>0.87593129270920089</v>
      </c>
      <c r="Q31" s="43">
        <f t="shared" si="8"/>
        <v>0.87600107482555012</v>
      </c>
      <c r="R31" s="43">
        <f t="shared" si="8"/>
        <v>0.87414444262145663</v>
      </c>
      <c r="S31" s="43">
        <f t="shared" si="8"/>
        <v>0.87650699516908204</v>
      </c>
      <c r="T31" s="43">
        <f t="shared" si="8"/>
        <v>0.87650699516908204</v>
      </c>
      <c r="U31" s="43">
        <f t="shared" si="8"/>
        <v>0.87432933803822721</v>
      </c>
      <c r="V31" s="43">
        <f t="shared" si="8"/>
        <v>0.87390511911663216</v>
      </c>
      <c r="W31" s="43">
        <f t="shared" si="8"/>
        <v>0.88460362262177183</v>
      </c>
      <c r="X31" s="35"/>
      <c r="Y31" s="35"/>
      <c r="Z31" s="35"/>
      <c r="AA31" s="35"/>
      <c r="AB31" s="35"/>
      <c r="AC31" s="35"/>
      <c r="AD31" s="35"/>
      <c r="AE31" s="35"/>
      <c r="AF31" s="35"/>
      <c r="AG31" s="35"/>
      <c r="AH31" s="35"/>
    </row>
    <row r="32" spans="2:34" x14ac:dyDescent="0.25">
      <c r="B32" t="s">
        <v>23</v>
      </c>
      <c r="C32" t="s">
        <v>22</v>
      </c>
      <c r="F32" s="52">
        <f>AVERAGE(G32:W32)</f>
        <v>0.76298729921792363</v>
      </c>
      <c r="G32" s="35"/>
      <c r="H32" s="35"/>
      <c r="I32" s="35"/>
      <c r="J32" s="35"/>
      <c r="K32" s="43">
        <f>K36/K28</f>
        <v>0.78560004041220444</v>
      </c>
      <c r="L32" s="43">
        <f t="shared" ref="L32:W32" si="9">L36/L28</f>
        <v>0.77016838627922224</v>
      </c>
      <c r="M32" s="43">
        <f t="shared" si="9"/>
        <v>0.75992724704314518</v>
      </c>
      <c r="N32" s="43">
        <f t="shared" si="9"/>
        <v>0.75806010393001699</v>
      </c>
      <c r="O32" s="43">
        <f t="shared" si="9"/>
        <v>0.76201052831820137</v>
      </c>
      <c r="P32" s="43">
        <f t="shared" si="9"/>
        <v>0.7640874327021403</v>
      </c>
      <c r="Q32" s="43">
        <f t="shared" si="9"/>
        <v>0.76239454329977874</v>
      </c>
      <c r="R32" s="43">
        <f t="shared" si="9"/>
        <v>0.75725434276512538</v>
      </c>
      <c r="S32" s="43">
        <f t="shared" si="9"/>
        <v>0.75852958789198854</v>
      </c>
      <c r="T32" s="43">
        <f t="shared" si="9"/>
        <v>0.75784748422996173</v>
      </c>
      <c r="U32" s="43">
        <f t="shared" si="9"/>
        <v>0.75903698550724641</v>
      </c>
      <c r="V32" s="43">
        <f t="shared" si="9"/>
        <v>0.75711567689023707</v>
      </c>
      <c r="W32" s="43">
        <f t="shared" si="9"/>
        <v>0.76680253056373826</v>
      </c>
      <c r="X32" s="35"/>
      <c r="Y32" s="35"/>
      <c r="Z32" s="35"/>
      <c r="AA32" s="35"/>
      <c r="AB32" s="35"/>
      <c r="AC32" s="35"/>
      <c r="AD32" s="35"/>
      <c r="AE32" s="35"/>
      <c r="AF32" s="35"/>
      <c r="AG32" s="35"/>
      <c r="AH32" s="35"/>
    </row>
    <row r="33" spans="2:34" x14ac:dyDescent="0.25">
      <c r="F33" s="49"/>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row>
    <row r="34" spans="2:34" ht="15.75" thickBot="1" x14ac:dyDescent="0.3">
      <c r="B34" s="7" t="s">
        <v>42</v>
      </c>
      <c r="F34" s="49"/>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row>
    <row r="35" spans="2:34" x14ac:dyDescent="0.25">
      <c r="B35" t="s">
        <v>21</v>
      </c>
      <c r="C35" t="s">
        <v>119</v>
      </c>
      <c r="F35" s="47">
        <f>SUM(G35:W35)</f>
        <v>40955000</v>
      </c>
      <c r="G35" s="35"/>
      <c r="H35" s="35"/>
      <c r="I35" s="35"/>
      <c r="J35" s="35"/>
      <c r="K35" s="36">
        <v>678000</v>
      </c>
      <c r="L35" s="36">
        <v>4130000</v>
      </c>
      <c r="M35" s="36">
        <v>4632000</v>
      </c>
      <c r="N35" s="36">
        <v>4894000</v>
      </c>
      <c r="O35" s="36">
        <v>3873000</v>
      </c>
      <c r="P35" s="36">
        <v>3043000</v>
      </c>
      <c r="Q35" s="36">
        <v>3463000</v>
      </c>
      <c r="R35" s="36">
        <v>3700000</v>
      </c>
      <c r="S35" s="36">
        <v>3115000</v>
      </c>
      <c r="T35" s="36">
        <v>2765000</v>
      </c>
      <c r="U35" s="36">
        <v>2409000</v>
      </c>
      <c r="V35" s="36">
        <v>2687000</v>
      </c>
      <c r="W35" s="36">
        <v>1566000</v>
      </c>
      <c r="X35" s="35"/>
      <c r="Y35" s="35"/>
      <c r="Z35" s="35"/>
      <c r="AA35" s="35"/>
      <c r="AB35" s="35"/>
      <c r="AC35" s="35"/>
      <c r="AD35" s="35"/>
      <c r="AE35" s="35"/>
      <c r="AF35" s="35"/>
      <c r="AG35" s="35"/>
      <c r="AH35" s="35"/>
    </row>
    <row r="36" spans="2:34" x14ac:dyDescent="0.25">
      <c r="B36" t="s">
        <v>23</v>
      </c>
      <c r="C36" t="s">
        <v>119</v>
      </c>
      <c r="F36" s="47">
        <f>SUM(G36:W36)</f>
        <v>407200</v>
      </c>
      <c r="G36" s="35"/>
      <c r="H36" s="35"/>
      <c r="I36" s="35"/>
      <c r="J36" s="35"/>
      <c r="K36" s="36">
        <v>20000</v>
      </c>
      <c r="L36" s="36">
        <v>61200</v>
      </c>
      <c r="M36" s="36">
        <v>30800</v>
      </c>
      <c r="N36" s="36">
        <v>28000</v>
      </c>
      <c r="O36" s="36">
        <v>39100</v>
      </c>
      <c r="P36" s="36">
        <v>41800</v>
      </c>
      <c r="Q36" s="36">
        <v>30900</v>
      </c>
      <c r="R36" s="36">
        <v>25400</v>
      </c>
      <c r="S36" s="36">
        <v>26200</v>
      </c>
      <c r="T36" s="36">
        <v>28900</v>
      </c>
      <c r="U36" s="36">
        <v>29400</v>
      </c>
      <c r="V36" s="36">
        <v>26000</v>
      </c>
      <c r="W36" s="36">
        <v>19500</v>
      </c>
      <c r="X36" s="35"/>
      <c r="Y36" s="35"/>
      <c r="Z36" s="35"/>
      <c r="AA36" s="35"/>
      <c r="AB36" s="35"/>
      <c r="AC36" s="35"/>
      <c r="AD36" s="35"/>
      <c r="AE36" s="35"/>
      <c r="AF36" s="35"/>
      <c r="AG36" s="35"/>
      <c r="AH36" s="35"/>
    </row>
    <row r="37" spans="2:34" x14ac:dyDescent="0.25">
      <c r="F37" s="49"/>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row>
    <row r="38" spans="2:34" ht="15.75" thickBot="1" x14ac:dyDescent="0.3">
      <c r="B38" s="7" t="s">
        <v>132</v>
      </c>
      <c r="F38" s="49"/>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row>
    <row r="39" spans="2:34" x14ac:dyDescent="0.25">
      <c r="B39" t="s">
        <v>21</v>
      </c>
      <c r="C39" t="s">
        <v>22</v>
      </c>
      <c r="F39" s="52">
        <f>AVERAGE(G39:W39)</f>
        <v>0.95985301637172293</v>
      </c>
      <c r="G39" s="35"/>
      <c r="H39" s="35"/>
      <c r="I39" s="35"/>
      <c r="J39" s="35"/>
      <c r="K39" s="43">
        <f>K43/K35</f>
        <v>0.96165191740412981</v>
      </c>
      <c r="L39" s="43">
        <f t="shared" ref="L39:W39" si="10">L43/L35</f>
        <v>0.96222760290556897</v>
      </c>
      <c r="M39" s="43">
        <f t="shared" si="10"/>
        <v>0.96221934369602768</v>
      </c>
      <c r="N39" s="43">
        <f t="shared" si="10"/>
        <v>0.96219861054352263</v>
      </c>
      <c r="O39" s="43">
        <f t="shared" si="10"/>
        <v>0.96204492641363282</v>
      </c>
      <c r="P39" s="43">
        <f t="shared" si="10"/>
        <v>0.96220834702596125</v>
      </c>
      <c r="Q39" s="43">
        <f t="shared" si="10"/>
        <v>0.96217152757724511</v>
      </c>
      <c r="R39" s="43">
        <f t="shared" si="10"/>
        <v>0.96216216216216222</v>
      </c>
      <c r="S39" s="43">
        <f t="shared" si="10"/>
        <v>0.96211878009630813</v>
      </c>
      <c r="T39" s="43">
        <f t="shared" si="10"/>
        <v>0.95623869801084993</v>
      </c>
      <c r="U39" s="43">
        <f t="shared" si="10"/>
        <v>0.954337899543379</v>
      </c>
      <c r="V39" s="43">
        <f t="shared" si="10"/>
        <v>0.95831782657238551</v>
      </c>
      <c r="W39" s="43">
        <f t="shared" si="10"/>
        <v>0.95019157088122608</v>
      </c>
      <c r="X39" s="35"/>
      <c r="Y39" s="35"/>
      <c r="Z39" s="35"/>
      <c r="AA39" s="35"/>
      <c r="AB39" s="35"/>
      <c r="AC39" s="35"/>
      <c r="AD39" s="35"/>
      <c r="AE39" s="35"/>
      <c r="AF39" s="35"/>
      <c r="AG39" s="35"/>
      <c r="AH39" s="35"/>
    </row>
    <row r="40" spans="2:34" x14ac:dyDescent="0.25">
      <c r="B40" t="s">
        <v>23</v>
      </c>
      <c r="C40" t="s">
        <v>22</v>
      </c>
      <c r="F40" s="52">
        <f>AVERAGE(G40:W40)</f>
        <v>0.96305729865567791</v>
      </c>
      <c r="G40" s="35"/>
      <c r="H40" s="35"/>
      <c r="I40" s="35"/>
      <c r="J40" s="35"/>
      <c r="K40" s="43">
        <f>K44/K36</f>
        <v>0.97499999999999998</v>
      </c>
      <c r="L40" s="43">
        <f t="shared" ref="L40:W40" si="11">L44/L36</f>
        <v>0.97712418300653592</v>
      </c>
      <c r="M40" s="43">
        <f t="shared" si="11"/>
        <v>0.96103896103896103</v>
      </c>
      <c r="N40" s="43">
        <f t="shared" si="11"/>
        <v>0.96071428571428574</v>
      </c>
      <c r="O40" s="43">
        <f t="shared" si="11"/>
        <v>0.97186700767263423</v>
      </c>
      <c r="P40" s="43">
        <f t="shared" si="11"/>
        <v>0.9569377990430622</v>
      </c>
      <c r="Q40" s="43">
        <f t="shared" si="11"/>
        <v>0.96116504854368934</v>
      </c>
      <c r="R40" s="43">
        <f t="shared" si="11"/>
        <v>0.95669291338582674</v>
      </c>
      <c r="S40" s="43">
        <f t="shared" si="11"/>
        <v>0.9580152671755725</v>
      </c>
      <c r="T40" s="43">
        <f t="shared" si="11"/>
        <v>0.96193771626297575</v>
      </c>
      <c r="U40" s="43">
        <f t="shared" si="11"/>
        <v>0.9625850340136054</v>
      </c>
      <c r="V40" s="43">
        <f t="shared" si="11"/>
        <v>0.95769230769230773</v>
      </c>
      <c r="W40" s="43">
        <f t="shared" si="11"/>
        <v>0.95897435897435901</v>
      </c>
      <c r="X40" s="35"/>
      <c r="Y40" s="35"/>
      <c r="Z40" s="35"/>
      <c r="AA40" s="35"/>
      <c r="AB40" s="35"/>
      <c r="AC40" s="35"/>
      <c r="AD40" s="35"/>
      <c r="AE40" s="35"/>
      <c r="AF40" s="35"/>
      <c r="AG40" s="35"/>
      <c r="AH40" s="35"/>
    </row>
    <row r="41" spans="2:34" x14ac:dyDescent="0.25">
      <c r="F41" s="49"/>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row>
    <row r="42" spans="2:34" ht="15.75" thickBot="1" x14ac:dyDescent="0.3">
      <c r="B42" s="7" t="s">
        <v>90</v>
      </c>
      <c r="F42" s="49"/>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row>
    <row r="43" spans="2:34" x14ac:dyDescent="0.25">
      <c r="B43" t="s">
        <v>21</v>
      </c>
      <c r="C43" t="s">
        <v>119</v>
      </c>
      <c r="F43" s="47">
        <f>SUM(G43:W43)</f>
        <v>39341000</v>
      </c>
      <c r="G43" s="35"/>
      <c r="H43" s="35"/>
      <c r="I43" s="35"/>
      <c r="J43" s="35"/>
      <c r="K43" s="36">
        <v>652000</v>
      </c>
      <c r="L43" s="36">
        <v>3974000</v>
      </c>
      <c r="M43" s="36">
        <v>4457000</v>
      </c>
      <c r="N43" s="36">
        <v>4709000</v>
      </c>
      <c r="O43" s="36">
        <v>3726000</v>
      </c>
      <c r="P43" s="36">
        <v>2928000</v>
      </c>
      <c r="Q43" s="36">
        <v>3332000</v>
      </c>
      <c r="R43" s="36">
        <v>3560000</v>
      </c>
      <c r="S43" s="36">
        <v>2997000</v>
      </c>
      <c r="T43" s="36">
        <v>2644000</v>
      </c>
      <c r="U43" s="36">
        <v>2299000</v>
      </c>
      <c r="V43" s="36">
        <v>2575000</v>
      </c>
      <c r="W43" s="36">
        <v>1488000</v>
      </c>
      <c r="X43" s="35"/>
      <c r="Y43" s="35"/>
      <c r="Z43" s="35"/>
      <c r="AA43" s="35"/>
      <c r="AB43" s="35"/>
      <c r="AC43" s="35"/>
      <c r="AD43" s="35"/>
      <c r="AE43" s="35"/>
      <c r="AF43" s="35"/>
      <c r="AG43" s="35"/>
      <c r="AH43" s="35"/>
    </row>
    <row r="44" spans="2:34" x14ac:dyDescent="0.25">
      <c r="B44" t="s">
        <v>23</v>
      </c>
      <c r="C44" t="s">
        <v>119</v>
      </c>
      <c r="F44" s="47">
        <f>SUM(G44:W44)</f>
        <v>392600</v>
      </c>
      <c r="G44" s="35"/>
      <c r="H44" s="35"/>
      <c r="I44" s="35"/>
      <c r="J44" s="35"/>
      <c r="K44" s="36">
        <v>19500</v>
      </c>
      <c r="L44" s="36">
        <v>59800</v>
      </c>
      <c r="M44" s="36">
        <v>29600</v>
      </c>
      <c r="N44" s="36">
        <v>26900</v>
      </c>
      <c r="O44" s="36">
        <v>38000</v>
      </c>
      <c r="P44" s="36">
        <v>40000</v>
      </c>
      <c r="Q44" s="36">
        <v>29700</v>
      </c>
      <c r="R44" s="36">
        <v>24300</v>
      </c>
      <c r="S44" s="36">
        <v>25100</v>
      </c>
      <c r="T44" s="36">
        <v>27800</v>
      </c>
      <c r="U44" s="36">
        <v>28300</v>
      </c>
      <c r="V44" s="36">
        <v>24900</v>
      </c>
      <c r="W44" s="36">
        <v>18700</v>
      </c>
      <c r="X44" s="35"/>
      <c r="Y44" s="35"/>
      <c r="Z44" s="35"/>
      <c r="AA44" s="35"/>
      <c r="AB44" s="35"/>
      <c r="AC44" s="35"/>
      <c r="AD44" s="35"/>
      <c r="AE44" s="35"/>
      <c r="AF44" s="35"/>
      <c r="AG44" s="35"/>
      <c r="AH44" s="35"/>
    </row>
    <row r="45" spans="2:34" x14ac:dyDescent="0.25">
      <c r="F45" s="49"/>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row>
    <row r="46" spans="2:34" ht="15.75" thickBot="1" x14ac:dyDescent="0.3">
      <c r="B46" s="7" t="s">
        <v>43</v>
      </c>
      <c r="F46" s="49"/>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row>
    <row r="47" spans="2:34" x14ac:dyDescent="0.25">
      <c r="B47" t="s">
        <v>21</v>
      </c>
      <c r="C47" t="s">
        <v>44</v>
      </c>
      <c r="F47" s="47">
        <f t="shared" ref="F47:F48" si="12">SUM(G47:W47)</f>
        <v>983525000</v>
      </c>
      <c r="G47" s="35"/>
      <c r="H47" s="35"/>
      <c r="I47" s="35"/>
      <c r="J47" s="35"/>
      <c r="K47" s="36">
        <f>K43*K14</f>
        <v>16300000</v>
      </c>
      <c r="L47" s="36">
        <f t="shared" ref="L47:W47" si="13">L43*L14</f>
        <v>99350000</v>
      </c>
      <c r="M47" s="36">
        <f t="shared" si="13"/>
        <v>111425000</v>
      </c>
      <c r="N47" s="36">
        <f t="shared" si="13"/>
        <v>117725000</v>
      </c>
      <c r="O47" s="36">
        <f t="shared" si="13"/>
        <v>93150000</v>
      </c>
      <c r="P47" s="36">
        <f t="shared" si="13"/>
        <v>73200000</v>
      </c>
      <c r="Q47" s="36">
        <f t="shared" si="13"/>
        <v>83300000</v>
      </c>
      <c r="R47" s="36">
        <f t="shared" si="13"/>
        <v>89000000</v>
      </c>
      <c r="S47" s="36">
        <f t="shared" si="13"/>
        <v>74925000</v>
      </c>
      <c r="T47" s="36">
        <f t="shared" si="13"/>
        <v>66100000</v>
      </c>
      <c r="U47" s="36">
        <f t="shared" si="13"/>
        <v>57475000</v>
      </c>
      <c r="V47" s="36">
        <f t="shared" si="13"/>
        <v>64375000</v>
      </c>
      <c r="W47" s="36">
        <f t="shared" si="13"/>
        <v>37200000</v>
      </c>
      <c r="X47" s="35"/>
      <c r="Y47" s="35"/>
      <c r="Z47" s="35"/>
      <c r="AA47" s="35"/>
      <c r="AB47" s="35"/>
      <c r="AC47" s="35"/>
      <c r="AD47" s="35"/>
      <c r="AE47" s="35"/>
      <c r="AF47" s="35"/>
      <c r="AG47" s="35"/>
      <c r="AH47" s="35"/>
    </row>
    <row r="48" spans="2:34" x14ac:dyDescent="0.25">
      <c r="B48" s="5" t="s">
        <v>23</v>
      </c>
      <c r="C48" t="s">
        <v>44</v>
      </c>
      <c r="F48" s="48">
        <f t="shared" si="12"/>
        <v>687050000</v>
      </c>
      <c r="G48" s="35"/>
      <c r="H48" s="35"/>
      <c r="I48" s="35"/>
      <c r="J48" s="35"/>
      <c r="K48" s="36">
        <f>K44*K15</f>
        <v>34125000</v>
      </c>
      <c r="L48" s="36">
        <f t="shared" ref="L48:W48" si="14">L44*L15</f>
        <v>104650000</v>
      </c>
      <c r="M48" s="36">
        <f t="shared" si="14"/>
        <v>51800000</v>
      </c>
      <c r="N48" s="36">
        <f t="shared" si="14"/>
        <v>47075000</v>
      </c>
      <c r="O48" s="36">
        <f t="shared" si="14"/>
        <v>66500000</v>
      </c>
      <c r="P48" s="36">
        <f t="shared" si="14"/>
        <v>70000000</v>
      </c>
      <c r="Q48" s="36">
        <f t="shared" si="14"/>
        <v>51975000</v>
      </c>
      <c r="R48" s="36">
        <f t="shared" si="14"/>
        <v>42525000</v>
      </c>
      <c r="S48" s="36">
        <f t="shared" si="14"/>
        <v>43925000</v>
      </c>
      <c r="T48" s="36">
        <f t="shared" si="14"/>
        <v>48650000</v>
      </c>
      <c r="U48" s="36">
        <f t="shared" si="14"/>
        <v>49525000</v>
      </c>
      <c r="V48" s="36">
        <f t="shared" si="14"/>
        <v>43575000</v>
      </c>
      <c r="W48" s="36">
        <f t="shared" si="14"/>
        <v>32725000</v>
      </c>
      <c r="X48" s="35"/>
      <c r="Y48" s="35"/>
      <c r="Z48" s="35"/>
      <c r="AA48" s="35"/>
      <c r="AB48" s="35"/>
      <c r="AC48" s="35"/>
      <c r="AD48" s="35"/>
      <c r="AE48" s="35"/>
      <c r="AF48" s="35"/>
      <c r="AG48" s="35"/>
      <c r="AH48" s="35"/>
    </row>
    <row r="49" spans="2:34" x14ac:dyDescent="0.25">
      <c r="B49" t="s">
        <v>27</v>
      </c>
      <c r="C49" t="s">
        <v>44</v>
      </c>
      <c r="F49" s="47">
        <f>SUM(G49:W49)</f>
        <v>1670575000</v>
      </c>
      <c r="G49" s="35"/>
      <c r="H49" s="35"/>
      <c r="I49" s="35"/>
      <c r="J49" s="35"/>
      <c r="K49" s="36">
        <f>SUM(K47:K48)</f>
        <v>50425000</v>
      </c>
      <c r="L49" s="36">
        <f t="shared" ref="L49:W49" si="15">SUM(L47:L48)</f>
        <v>204000000</v>
      </c>
      <c r="M49" s="36">
        <f t="shared" si="15"/>
        <v>163225000</v>
      </c>
      <c r="N49" s="36">
        <f t="shared" si="15"/>
        <v>164800000</v>
      </c>
      <c r="O49" s="36">
        <f t="shared" si="15"/>
        <v>159650000</v>
      </c>
      <c r="P49" s="36">
        <f t="shared" si="15"/>
        <v>143200000</v>
      </c>
      <c r="Q49" s="36">
        <f t="shared" si="15"/>
        <v>135275000</v>
      </c>
      <c r="R49" s="36">
        <f t="shared" si="15"/>
        <v>131525000</v>
      </c>
      <c r="S49" s="36">
        <f t="shared" si="15"/>
        <v>118850000</v>
      </c>
      <c r="T49" s="36">
        <f t="shared" si="15"/>
        <v>114750000</v>
      </c>
      <c r="U49" s="36">
        <f t="shared" si="15"/>
        <v>107000000</v>
      </c>
      <c r="V49" s="36">
        <f t="shared" si="15"/>
        <v>107950000</v>
      </c>
      <c r="W49" s="36">
        <f t="shared" si="15"/>
        <v>69925000</v>
      </c>
      <c r="X49" s="35"/>
      <c r="Y49" s="35"/>
      <c r="Z49" s="35"/>
      <c r="AA49" s="35"/>
      <c r="AB49" s="35"/>
      <c r="AC49" s="35"/>
      <c r="AD49" s="35"/>
      <c r="AE49" s="35"/>
      <c r="AF49" s="35"/>
      <c r="AG49" s="35"/>
      <c r="AH49" s="35"/>
    </row>
    <row r="50" spans="2:34" x14ac:dyDescent="0.25">
      <c r="F50" s="49"/>
      <c r="G50" s="35"/>
      <c r="H50" s="35"/>
      <c r="I50" s="35"/>
      <c r="J50" s="35"/>
      <c r="K50" s="36"/>
      <c r="L50" s="36"/>
      <c r="M50" s="36"/>
      <c r="N50" s="36"/>
      <c r="O50" s="36"/>
      <c r="P50" s="36"/>
      <c r="Q50" s="36"/>
      <c r="R50" s="36"/>
      <c r="S50" s="36"/>
      <c r="T50" s="36"/>
      <c r="U50" s="36"/>
      <c r="V50" s="36"/>
      <c r="W50" s="36"/>
      <c r="X50" s="35"/>
      <c r="Y50" s="35"/>
      <c r="Z50" s="35"/>
      <c r="AA50" s="35"/>
      <c r="AB50" s="35"/>
      <c r="AC50" s="35"/>
      <c r="AD50" s="35"/>
      <c r="AE50" s="35"/>
      <c r="AF50" s="35"/>
      <c r="AG50" s="35"/>
      <c r="AH50" s="35"/>
    </row>
    <row r="51" spans="2:34" x14ac:dyDescent="0.25">
      <c r="B51" t="s">
        <v>87</v>
      </c>
      <c r="F51" s="53">
        <f>AVERAGE(G51:W51)</f>
        <v>0.57433053888899821</v>
      </c>
      <c r="G51" s="35"/>
      <c r="H51" s="35"/>
      <c r="I51" s="35"/>
      <c r="J51" s="35"/>
      <c r="K51" s="44">
        <f>K47/K49</f>
        <v>0.32325235498264748</v>
      </c>
      <c r="L51" s="44">
        <f t="shared" ref="L51:W51" si="16">L47/L49</f>
        <v>0.48700980392156862</v>
      </c>
      <c r="M51" s="44">
        <f t="shared" si="16"/>
        <v>0.68264665339255626</v>
      </c>
      <c r="N51" s="44">
        <f t="shared" si="16"/>
        <v>0.71435072815533984</v>
      </c>
      <c r="O51" s="44">
        <f t="shared" si="16"/>
        <v>0.58346382712182898</v>
      </c>
      <c r="P51" s="44">
        <f t="shared" si="16"/>
        <v>0.51117318435754189</v>
      </c>
      <c r="Q51" s="44">
        <f t="shared" si="16"/>
        <v>0.61578266494178524</v>
      </c>
      <c r="R51" s="44">
        <f t="shared" si="16"/>
        <v>0.67667743774947731</v>
      </c>
      <c r="S51" s="44">
        <f t="shared" si="16"/>
        <v>0.63041649137568367</v>
      </c>
      <c r="T51" s="44">
        <f t="shared" si="16"/>
        <v>0.57603485838779955</v>
      </c>
      <c r="U51" s="44">
        <f t="shared" si="16"/>
        <v>0.53714953271028032</v>
      </c>
      <c r="V51" s="44">
        <f t="shared" si="16"/>
        <v>0.59634089856415007</v>
      </c>
      <c r="W51" s="44">
        <f t="shared" si="16"/>
        <v>0.53199856989631744</v>
      </c>
      <c r="X51" s="35"/>
      <c r="Y51" s="35"/>
      <c r="Z51" s="35"/>
      <c r="AA51" s="35"/>
      <c r="AB51" s="35"/>
      <c r="AC51" s="35"/>
      <c r="AD51" s="35"/>
      <c r="AE51" s="35"/>
      <c r="AF51" s="35"/>
      <c r="AG51" s="35"/>
      <c r="AH51" s="35"/>
    </row>
    <row r="52" spans="2:34" x14ac:dyDescent="0.25">
      <c r="F52" s="49"/>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row>
    <row r="53" spans="2:34" ht="15.75" thickBot="1" x14ac:dyDescent="0.3">
      <c r="B53" s="7" t="s">
        <v>133</v>
      </c>
      <c r="F53" s="49"/>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row>
    <row r="54" spans="2:34" x14ac:dyDescent="0.25">
      <c r="B54" t="s">
        <v>134</v>
      </c>
      <c r="C54" t="s">
        <v>44</v>
      </c>
      <c r="F54" s="47">
        <f t="shared" ref="F54:F57" si="17">SUM(G54:W54)</f>
        <v>74494200.000000015</v>
      </c>
      <c r="G54" s="35"/>
      <c r="H54" s="35"/>
      <c r="I54" s="35"/>
      <c r="J54" s="35"/>
      <c r="K54" s="36">
        <f>1030000*Auxiliary!$B$9</f>
        <v>1133000</v>
      </c>
      <c r="L54" s="36">
        <f>5694000*Auxiliary!B9</f>
        <v>6263400.0000000009</v>
      </c>
      <c r="M54" s="36">
        <f>5694000*Auxiliary!B9</f>
        <v>6263400.0000000009</v>
      </c>
      <c r="N54" s="36">
        <f>5694000*Auxiliary!B9</f>
        <v>6263400.0000000009</v>
      </c>
      <c r="O54" s="36">
        <f>5694000*Auxiliary!B9</f>
        <v>6263400.0000000009</v>
      </c>
      <c r="P54" s="36">
        <f>5694000*Auxiliary!B9</f>
        <v>6263400.0000000009</v>
      </c>
      <c r="Q54" s="36">
        <f>5694000*Auxiliary!B9</f>
        <v>6263400.0000000009</v>
      </c>
      <c r="R54" s="36">
        <f>5694000*Auxiliary!B9</f>
        <v>6263400.0000000009</v>
      </c>
      <c r="S54" s="36">
        <f>5694000*Auxiliary!B9</f>
        <v>6263400.0000000009</v>
      </c>
      <c r="T54" s="36">
        <f>5694000*Auxiliary!B9</f>
        <v>6263400.0000000009</v>
      </c>
      <c r="U54" s="36">
        <f>5694000*Auxiliary!B9</f>
        <v>6263400.0000000009</v>
      </c>
      <c r="V54" s="36">
        <f>5694000*Auxiliary!B9</f>
        <v>6263400.0000000009</v>
      </c>
      <c r="W54" s="36">
        <f>4058000*Auxiliary!B9</f>
        <v>4463800</v>
      </c>
      <c r="X54" s="35"/>
      <c r="Y54" s="35"/>
      <c r="Z54" s="35"/>
      <c r="AA54" s="35"/>
      <c r="AB54" s="35"/>
      <c r="AC54" s="35"/>
      <c r="AD54" s="35"/>
      <c r="AE54" s="35"/>
      <c r="AF54" s="35"/>
      <c r="AG54" s="35"/>
      <c r="AH54" s="35"/>
    </row>
    <row r="55" spans="2:34" x14ac:dyDescent="0.25">
      <c r="B55" t="s">
        <v>148</v>
      </c>
      <c r="C55" t="s">
        <v>44</v>
      </c>
      <c r="F55" s="47">
        <f t="shared" si="17"/>
        <v>28127000</v>
      </c>
      <c r="G55" s="35"/>
      <c r="H55" s="35"/>
      <c r="I55" s="35"/>
      <c r="J55" s="35"/>
      <c r="K55" s="36">
        <f>424000*Auxiliary!B9</f>
        <v>466400.00000000006</v>
      </c>
      <c r="L55" s="36">
        <f>2583000*Auxiliary!B9</f>
        <v>2841300</v>
      </c>
      <c r="M55" s="36">
        <f>2897000*Auxiliary!B9</f>
        <v>3186700.0000000005</v>
      </c>
      <c r="N55" s="36">
        <f>3061000*Auxiliary!B9</f>
        <v>3367100.0000000005</v>
      </c>
      <c r="O55" s="36">
        <f>2422000*Auxiliary!B9</f>
        <v>2664200</v>
      </c>
      <c r="P55" s="36">
        <f>1903000*Auxiliary!B9</f>
        <v>2093300.0000000002</v>
      </c>
      <c r="Q55" s="36">
        <f>2166000*Auxiliary!B9</f>
        <v>2382600</v>
      </c>
      <c r="R55" s="36">
        <f>2314000*Auxiliary!B9</f>
        <v>2545400</v>
      </c>
      <c r="S55" s="36">
        <f>1948000*Auxiliary!B9</f>
        <v>2142800</v>
      </c>
      <c r="T55" s="36">
        <f>1717000*Auxiliary!B9</f>
        <v>1888700.0000000002</v>
      </c>
      <c r="U55" s="36">
        <f>1494000*Auxiliary!B9</f>
        <v>1643400.0000000002</v>
      </c>
      <c r="V55" s="36">
        <f>1674000*Auxiliary!B9</f>
        <v>1841400.0000000002</v>
      </c>
      <c r="W55" s="36">
        <f>967000*Auxiliary!B9</f>
        <v>1063700</v>
      </c>
      <c r="X55" s="35"/>
      <c r="Y55" s="35"/>
      <c r="Z55" s="35"/>
      <c r="AA55" s="35"/>
      <c r="AB55" s="35"/>
      <c r="AC55" s="35"/>
      <c r="AD55" s="35"/>
      <c r="AE55" s="35"/>
      <c r="AF55" s="35"/>
      <c r="AG55" s="35"/>
      <c r="AH55" s="35"/>
    </row>
    <row r="56" spans="2:34" x14ac:dyDescent="0.25">
      <c r="B56" t="s">
        <v>137</v>
      </c>
      <c r="C56" t="s">
        <v>44</v>
      </c>
      <c r="F56" s="47">
        <f t="shared" si="17"/>
        <v>2813800</v>
      </c>
      <c r="G56" s="35"/>
      <c r="H56" s="35"/>
      <c r="I56" s="35"/>
      <c r="J56" s="35"/>
      <c r="K56" s="36">
        <f>127000*Auxiliary!B9</f>
        <v>139700</v>
      </c>
      <c r="L56" s="36">
        <f>389000*Auxiliary!B9</f>
        <v>427900.00000000006</v>
      </c>
      <c r="M56" s="36">
        <f>193000*Auxiliary!B9</f>
        <v>212300.00000000003</v>
      </c>
      <c r="N56" s="36">
        <f>175000*Auxiliary!B9</f>
        <v>192500.00000000003</v>
      </c>
      <c r="O56" s="36">
        <f>247000*Auxiliary!B9</f>
        <v>271700</v>
      </c>
      <c r="P56" s="36">
        <f>264000*Auxiliary!B9</f>
        <v>290400</v>
      </c>
      <c r="Q56" s="36">
        <f>193000*Auxiliary!B9</f>
        <v>212300.00000000003</v>
      </c>
      <c r="R56" s="36">
        <f>158000*Auxiliary!B9</f>
        <v>173800</v>
      </c>
      <c r="S56" s="36">
        <f>163000*Auxiliary!B9</f>
        <v>179300</v>
      </c>
      <c r="T56" s="36">
        <f>181000*Auxiliary!B9</f>
        <v>199100.00000000003</v>
      </c>
      <c r="U56" s="36">
        <f>184000*Auxiliary!B9</f>
        <v>202400.00000000003</v>
      </c>
      <c r="V56" s="36">
        <f>162000*Auxiliary!B9</f>
        <v>178200</v>
      </c>
      <c r="W56" s="36">
        <f>122000*Auxiliary!B9</f>
        <v>134200</v>
      </c>
      <c r="X56" s="35"/>
      <c r="Y56" s="35"/>
      <c r="Z56" s="35"/>
      <c r="AA56" s="35"/>
      <c r="AB56" s="35"/>
      <c r="AC56" s="35"/>
      <c r="AD56" s="35"/>
      <c r="AE56" s="35"/>
      <c r="AF56" s="35"/>
      <c r="AG56" s="35"/>
      <c r="AH56" s="35"/>
    </row>
    <row r="57" spans="2:34" x14ac:dyDescent="0.25">
      <c r="B57" t="s">
        <v>135</v>
      </c>
      <c r="C57" t="s">
        <v>44</v>
      </c>
      <c r="F57" s="47">
        <f t="shared" si="17"/>
        <v>1534000</v>
      </c>
      <c r="G57" s="35"/>
      <c r="H57" s="35"/>
      <c r="I57" s="35"/>
      <c r="J57" s="35"/>
      <c r="K57" s="36">
        <v>23000</v>
      </c>
      <c r="L57" s="36">
        <v>129000</v>
      </c>
      <c r="M57" s="36">
        <v>129000</v>
      </c>
      <c r="N57" s="36">
        <v>129000</v>
      </c>
      <c r="O57" s="36">
        <v>129000</v>
      </c>
      <c r="P57" s="36">
        <v>129000</v>
      </c>
      <c r="Q57" s="36">
        <v>129000</v>
      </c>
      <c r="R57" s="36">
        <v>129000</v>
      </c>
      <c r="S57" s="36">
        <v>129000</v>
      </c>
      <c r="T57" s="36">
        <v>129000</v>
      </c>
      <c r="U57" s="36">
        <v>129000</v>
      </c>
      <c r="V57" s="36">
        <v>129000</v>
      </c>
      <c r="W57" s="36">
        <v>92000</v>
      </c>
      <c r="X57" s="35"/>
      <c r="Y57" s="35"/>
      <c r="Z57" s="35"/>
      <c r="AA57" s="35"/>
      <c r="AB57" s="35"/>
      <c r="AC57" s="35"/>
      <c r="AD57" s="35"/>
      <c r="AE57" s="35"/>
      <c r="AF57" s="35"/>
      <c r="AG57" s="35"/>
      <c r="AH57" s="35"/>
    </row>
    <row r="58" spans="2:34" x14ac:dyDescent="0.25">
      <c r="B58" s="5" t="s">
        <v>136</v>
      </c>
      <c r="C58" t="s">
        <v>44</v>
      </c>
      <c r="F58" s="48">
        <f>SUM(G58:W58)</f>
        <v>16784900</v>
      </c>
      <c r="G58" s="35"/>
      <c r="H58" s="35"/>
      <c r="I58" s="35"/>
      <c r="J58" s="35"/>
      <c r="K58" s="36">
        <f>232000*Auxiliary!B9</f>
        <v>255200.00000000003</v>
      </c>
      <c r="L58" s="36">
        <f>1283000*Auxiliary!B9</f>
        <v>1411300</v>
      </c>
      <c r="M58" s="36">
        <f>1283000*Auxiliary!B9</f>
        <v>1411300</v>
      </c>
      <c r="N58" s="36">
        <f>1283000*Auxiliary!B9</f>
        <v>1411300</v>
      </c>
      <c r="O58" s="36">
        <f>1283000*Auxiliary!B9</f>
        <v>1411300</v>
      </c>
      <c r="P58" s="36">
        <f>1283000*Auxiliary!$B$9</f>
        <v>1411300</v>
      </c>
      <c r="Q58" s="36">
        <f>1283000*Auxiliary!$B$9</f>
        <v>1411300</v>
      </c>
      <c r="R58" s="36">
        <f>1283000*Auxiliary!$B$9</f>
        <v>1411300</v>
      </c>
      <c r="S58" s="36">
        <f>1283000*Auxiliary!$B$9</f>
        <v>1411300</v>
      </c>
      <c r="T58" s="36">
        <f>1283000*Auxiliary!$B$9</f>
        <v>1411300</v>
      </c>
      <c r="U58" s="36">
        <f>1283000*Auxiliary!$B$9</f>
        <v>1411300</v>
      </c>
      <c r="V58" s="36">
        <f>1283000*Auxiliary!$B$9</f>
        <v>1411300</v>
      </c>
      <c r="W58" s="36">
        <f>914000*Auxiliary!B9</f>
        <v>1005400.0000000001</v>
      </c>
      <c r="X58" s="35"/>
      <c r="Y58" s="35"/>
      <c r="Z58" s="35"/>
      <c r="AA58" s="35"/>
      <c r="AB58" s="35"/>
      <c r="AC58" s="35"/>
      <c r="AD58" s="35"/>
      <c r="AE58" s="35"/>
      <c r="AF58" s="35"/>
      <c r="AG58" s="35"/>
      <c r="AH58" s="35"/>
    </row>
    <row r="59" spans="2:34" x14ac:dyDescent="0.25">
      <c r="B59" t="s">
        <v>133</v>
      </c>
      <c r="C59" t="s">
        <v>44</v>
      </c>
      <c r="F59" s="47">
        <f>SUM(G59:W59)</f>
        <v>1546821100</v>
      </c>
      <c r="G59" s="35"/>
      <c r="H59" s="35"/>
      <c r="I59" s="35"/>
      <c r="J59" s="35"/>
      <c r="K59" s="36">
        <f>K49-SUM(K54:K58)</f>
        <v>48407700</v>
      </c>
      <c r="L59" s="36">
        <f t="shared" ref="L59:W59" si="18">L49-SUM(L54:L58)</f>
        <v>192927100</v>
      </c>
      <c r="M59" s="36">
        <f t="shared" si="18"/>
        <v>152022300</v>
      </c>
      <c r="N59" s="36">
        <f t="shared" si="18"/>
        <v>153436700</v>
      </c>
      <c r="O59" s="36">
        <f t="shared" si="18"/>
        <v>148910400</v>
      </c>
      <c r="P59" s="36">
        <f t="shared" si="18"/>
        <v>133012600</v>
      </c>
      <c r="Q59" s="36">
        <f t="shared" si="18"/>
        <v>124876400</v>
      </c>
      <c r="R59" s="36">
        <f t="shared" si="18"/>
        <v>121002100</v>
      </c>
      <c r="S59" s="36">
        <f t="shared" si="18"/>
        <v>108724200</v>
      </c>
      <c r="T59" s="36">
        <f t="shared" si="18"/>
        <v>104858500</v>
      </c>
      <c r="U59" s="36">
        <f t="shared" si="18"/>
        <v>97350500</v>
      </c>
      <c r="V59" s="36">
        <f t="shared" si="18"/>
        <v>98126700</v>
      </c>
      <c r="W59" s="36">
        <f t="shared" si="18"/>
        <v>63165900</v>
      </c>
      <c r="X59" s="35"/>
      <c r="Y59" s="35"/>
      <c r="Z59" s="35"/>
      <c r="AA59" s="35"/>
      <c r="AB59" s="35"/>
      <c r="AC59" s="35"/>
      <c r="AD59" s="35"/>
      <c r="AE59" s="35"/>
      <c r="AF59" s="35"/>
      <c r="AG59" s="35"/>
      <c r="AH59" s="35"/>
    </row>
    <row r="60" spans="2:34" x14ac:dyDescent="0.25">
      <c r="F60" s="49"/>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row>
    <row r="61" spans="2:34" ht="15.75" thickBot="1" x14ac:dyDescent="0.3">
      <c r="B61" s="7" t="s">
        <v>45</v>
      </c>
      <c r="F61" s="49"/>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row>
    <row r="62" spans="2:34" x14ac:dyDescent="0.25">
      <c r="B62" t="s">
        <v>138</v>
      </c>
      <c r="C62" t="s">
        <v>44</v>
      </c>
      <c r="F62" s="47">
        <f>SUM(G62:W62)</f>
        <v>123753900</v>
      </c>
      <c r="G62" s="35"/>
      <c r="H62" s="35"/>
      <c r="I62" s="35"/>
      <c r="J62" s="35"/>
      <c r="K62" s="36">
        <f>SUM(K54:K58)</f>
        <v>2017300</v>
      </c>
      <c r="L62" s="36">
        <f t="shared" ref="L62:W62" si="19">SUM(L54:L58)</f>
        <v>11072900</v>
      </c>
      <c r="M62" s="36">
        <f t="shared" si="19"/>
        <v>11202700.000000002</v>
      </c>
      <c r="N62" s="36">
        <f t="shared" si="19"/>
        <v>11363300.000000002</v>
      </c>
      <c r="O62" s="36">
        <f t="shared" si="19"/>
        <v>10739600</v>
      </c>
      <c r="P62" s="36">
        <f t="shared" si="19"/>
        <v>10187400</v>
      </c>
      <c r="Q62" s="36">
        <f t="shared" si="19"/>
        <v>10398600</v>
      </c>
      <c r="R62" s="36">
        <f t="shared" si="19"/>
        <v>10522900</v>
      </c>
      <c r="S62" s="36">
        <f t="shared" si="19"/>
        <v>10125800</v>
      </c>
      <c r="T62" s="36">
        <f t="shared" si="19"/>
        <v>9891500</v>
      </c>
      <c r="U62" s="36">
        <f t="shared" si="19"/>
        <v>9649500</v>
      </c>
      <c r="V62" s="36">
        <f t="shared" si="19"/>
        <v>9823300</v>
      </c>
      <c r="W62" s="36">
        <f t="shared" si="19"/>
        <v>6759100</v>
      </c>
      <c r="X62" s="35"/>
      <c r="Y62" s="35"/>
      <c r="Z62" s="35"/>
      <c r="AA62" s="35"/>
      <c r="AB62" s="35"/>
      <c r="AC62" s="35"/>
      <c r="AD62" s="35"/>
      <c r="AE62" s="35"/>
      <c r="AF62" s="35"/>
      <c r="AG62" s="35"/>
      <c r="AH62" s="35"/>
    </row>
    <row r="63" spans="2:34" x14ac:dyDescent="0.25">
      <c r="B63" t="s">
        <v>85</v>
      </c>
      <c r="C63" t="s">
        <v>44</v>
      </c>
      <c r="F63" s="47">
        <f>SUM(G63:W63)</f>
        <v>283230000</v>
      </c>
      <c r="G63" s="35"/>
      <c r="H63" s="35"/>
      <c r="I63" s="35"/>
      <c r="J63" s="35"/>
      <c r="K63" s="36">
        <v>0</v>
      </c>
      <c r="L63" s="36">
        <f>106689000-3070000/0.075</f>
        <v>65755666.666666664</v>
      </c>
      <c r="M63" s="36">
        <f>69348000-3647000/0.075</f>
        <v>20721333.333333328</v>
      </c>
      <c r="N63" s="36">
        <f>79671000-3725000/0.075</f>
        <v>30004333.333333328</v>
      </c>
      <c r="O63" s="36">
        <f>73385000-3937000/0.075</f>
        <v>20891666.666666664</v>
      </c>
      <c r="P63" s="36">
        <f>61450000-2921000/0.075</f>
        <v>22503333.333333328</v>
      </c>
      <c r="Q63" s="36">
        <f>53255000-2424000/0.075</f>
        <v>20935000</v>
      </c>
      <c r="R63" s="36">
        <f>60521000-2935000/0.075</f>
        <v>21387666.666666664</v>
      </c>
      <c r="S63" s="36">
        <f>53188000-2339000/0.075</f>
        <v>22001333.333333332</v>
      </c>
      <c r="T63" s="36">
        <f>50237000-2100000/0.075</f>
        <v>22237000</v>
      </c>
      <c r="U63" s="36">
        <f>46918000-1822000/0.075</f>
        <v>22624666.666666664</v>
      </c>
      <c r="V63" s="36">
        <f>46893000-2997000/0.075</f>
        <v>6933000</v>
      </c>
      <c r="W63" s="36">
        <f>29795000-1692000/0.075</f>
        <v>7235000</v>
      </c>
      <c r="X63" s="35"/>
      <c r="Y63" s="35"/>
      <c r="Z63" s="35"/>
      <c r="AA63" s="35"/>
      <c r="AB63" s="35"/>
      <c r="AC63" s="35"/>
      <c r="AD63" s="35"/>
      <c r="AE63" s="35"/>
      <c r="AF63" s="35"/>
      <c r="AG63" s="35"/>
      <c r="AH63" s="35"/>
    </row>
    <row r="64" spans="2:34" x14ac:dyDescent="0.25">
      <c r="B64" t="s">
        <v>152</v>
      </c>
      <c r="C64" t="s">
        <v>44</v>
      </c>
      <c r="E64" s="10">
        <v>400000</v>
      </c>
      <c r="F64" s="47">
        <f>SUM(G64:W64)</f>
        <v>2000000</v>
      </c>
      <c r="G64" s="36">
        <f>(2400000-$E$64)/3</f>
        <v>666666.66666666663</v>
      </c>
      <c r="H64" s="36">
        <f t="shared" ref="H64:I64" si="20">(2400000-$E$64)/3</f>
        <v>666666.66666666663</v>
      </c>
      <c r="I64" s="36">
        <f t="shared" si="20"/>
        <v>666666.66666666663</v>
      </c>
      <c r="J64" s="36"/>
      <c r="K64" s="36"/>
      <c r="L64" s="36"/>
      <c r="M64" s="36"/>
      <c r="N64" s="36"/>
      <c r="O64" s="36"/>
      <c r="P64" s="36"/>
      <c r="Q64" s="36"/>
      <c r="R64" s="36"/>
      <c r="S64" s="36"/>
      <c r="T64" s="36"/>
      <c r="U64" s="36"/>
      <c r="V64" s="36"/>
      <c r="W64" s="36"/>
      <c r="X64" s="35"/>
      <c r="Y64" s="35"/>
      <c r="Z64" s="35"/>
      <c r="AA64" s="35"/>
      <c r="AB64" s="35"/>
      <c r="AC64" s="35"/>
      <c r="AD64" s="35"/>
      <c r="AE64" s="35"/>
      <c r="AF64" s="35"/>
      <c r="AG64" s="35"/>
      <c r="AH64" s="35"/>
    </row>
    <row r="65" spans="2:34" x14ac:dyDescent="0.25">
      <c r="F65" s="49"/>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row>
    <row r="66" spans="2:34" x14ac:dyDescent="0.25">
      <c r="B66" s="3" t="s">
        <v>139</v>
      </c>
      <c r="F66" s="49"/>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row>
    <row r="67" spans="2:34" x14ac:dyDescent="0.25">
      <c r="B67" t="s">
        <v>140</v>
      </c>
      <c r="C67" t="s">
        <v>44</v>
      </c>
      <c r="F67" s="47">
        <f>SUM(G67:W67)</f>
        <v>248231500.00000003</v>
      </c>
      <c r="G67" s="35"/>
      <c r="H67" s="35"/>
      <c r="I67" s="35"/>
      <c r="J67" s="35"/>
      <c r="K67" s="36">
        <f>1429000*Auxiliary!B9</f>
        <v>1571900.0000000002</v>
      </c>
      <c r="L67" s="36">
        <f>30149000*Auxiliary!B9</f>
        <v>33163900.000000004</v>
      </c>
      <c r="M67" s="36">
        <f>30193000*Auxiliary!B9</f>
        <v>33212300.000000004</v>
      </c>
      <c r="N67" s="36">
        <f>20835000*Auxiliary!B9</f>
        <v>22918500</v>
      </c>
      <c r="O67" s="36">
        <f>25602000*Auxiliary!B9</f>
        <v>28162200.000000004</v>
      </c>
      <c r="P67" s="36">
        <f>26094000*Auxiliary!B9</f>
        <v>28703400.000000004</v>
      </c>
      <c r="Q67" s="36">
        <f>25681000*Auxiliary!B9</f>
        <v>28249100.000000004</v>
      </c>
      <c r="R67" s="36">
        <f>14448000*Auxiliary!B9</f>
        <v>15892800.000000002</v>
      </c>
      <c r="S67" s="36">
        <f>11936000*Auxiliary!B9</f>
        <v>13129600.000000002</v>
      </c>
      <c r="T67" s="36">
        <f>12782000*Auxiliary!B9</f>
        <v>14060200.000000002</v>
      </c>
      <c r="U67" s="36">
        <f>10362000*Auxiliary!B9</f>
        <v>11398200</v>
      </c>
      <c r="V67" s="36">
        <f>10158000*Auxiliary!B9</f>
        <v>11173800</v>
      </c>
      <c r="W67" s="36">
        <f>5996000*Auxiliary!B9</f>
        <v>6595600.0000000009</v>
      </c>
      <c r="X67" s="35"/>
      <c r="Y67" s="35"/>
      <c r="Z67" s="35"/>
      <c r="AA67" s="35"/>
      <c r="AB67" s="35"/>
      <c r="AC67" s="35"/>
      <c r="AD67" s="35"/>
      <c r="AE67" s="35"/>
      <c r="AF67" s="35"/>
      <c r="AG67" s="35"/>
      <c r="AH67" s="35"/>
    </row>
    <row r="68" spans="2:34" x14ac:dyDescent="0.25">
      <c r="B68" t="s">
        <v>141</v>
      </c>
      <c r="C68" t="s">
        <v>44</v>
      </c>
      <c r="F68" s="47">
        <f t="shared" ref="F68:F69" si="21">SUM(G68:W68)</f>
        <v>206186200</v>
      </c>
      <c r="G68" s="35"/>
      <c r="H68" s="35"/>
      <c r="I68" s="35"/>
      <c r="J68" s="35"/>
      <c r="K68" s="36">
        <f>3007000*Auxiliary!B9</f>
        <v>3307700.0000000005</v>
      </c>
      <c r="L68" s="36">
        <f>15809000*Auxiliary!B9</f>
        <v>17389900</v>
      </c>
      <c r="M68" s="36">
        <f>16135000*Auxiliary!B9</f>
        <v>17748500</v>
      </c>
      <c r="N68" s="36">
        <f>15658000*Auxiliary!B9</f>
        <v>17223800</v>
      </c>
      <c r="O68" s="36">
        <f>15658000*Auxiliary!B9</f>
        <v>17223800</v>
      </c>
      <c r="P68" s="36">
        <f>16084000*Auxiliary!B9</f>
        <v>17692400</v>
      </c>
      <c r="Q68" s="36">
        <f>15658000*Auxiliary!B9</f>
        <v>17223800</v>
      </c>
      <c r="R68" s="36">
        <f>15658000*Auxiliary!B9</f>
        <v>17223800</v>
      </c>
      <c r="S68" s="36">
        <f>15658000*Auxiliary!B9</f>
        <v>17223800</v>
      </c>
      <c r="T68" s="36">
        <f>15658000*Auxiliary!B9</f>
        <v>17223800</v>
      </c>
      <c r="U68" s="36">
        <f>15658000*Auxiliary!B9</f>
        <v>17223800</v>
      </c>
      <c r="V68" s="36">
        <f>15658000*Auxiliary!B9</f>
        <v>17223800</v>
      </c>
      <c r="W68" s="36">
        <f>11143000*Auxiliary!B9</f>
        <v>12257300.000000002</v>
      </c>
      <c r="X68" s="35"/>
      <c r="Y68" s="35"/>
      <c r="Z68" s="35"/>
      <c r="AA68" s="35"/>
      <c r="AB68" s="35"/>
      <c r="AC68" s="35"/>
      <c r="AD68" s="35"/>
      <c r="AE68" s="35"/>
      <c r="AF68" s="35"/>
      <c r="AG68" s="35"/>
      <c r="AH68" s="35"/>
    </row>
    <row r="69" spans="2:34" x14ac:dyDescent="0.25">
      <c r="B69" t="s">
        <v>83</v>
      </c>
      <c r="C69" t="s">
        <v>44</v>
      </c>
      <c r="F69" s="47">
        <f t="shared" si="21"/>
        <v>88519200</v>
      </c>
      <c r="G69" s="35"/>
      <c r="H69" s="35"/>
      <c r="I69" s="35"/>
      <c r="J69" s="35"/>
      <c r="K69" s="36">
        <f>1244000*Auxiliary!B9</f>
        <v>1368400</v>
      </c>
      <c r="L69" s="36">
        <f>6766000*Auxiliary!$B$9</f>
        <v>7442600.0000000009</v>
      </c>
      <c r="M69" s="36">
        <f>6766000*Auxiliary!$B$9</f>
        <v>7442600.0000000009</v>
      </c>
      <c r="N69" s="36">
        <f>6766000*Auxiliary!$B$9</f>
        <v>7442600.0000000009</v>
      </c>
      <c r="O69" s="36">
        <f>6766000*Auxiliary!$B$9</f>
        <v>7442600.0000000009</v>
      </c>
      <c r="P69" s="36">
        <f>6766000*Auxiliary!$B$9</f>
        <v>7442600.0000000009</v>
      </c>
      <c r="Q69" s="36">
        <f>6766000*Auxiliary!$B$9</f>
        <v>7442600.0000000009</v>
      </c>
      <c r="R69" s="36">
        <f>6766000*Auxiliary!$B$9</f>
        <v>7442600.0000000009</v>
      </c>
      <c r="S69" s="36">
        <f>6766000*Auxiliary!$B$9</f>
        <v>7442600.0000000009</v>
      </c>
      <c r="T69" s="36">
        <f>6766000*Auxiliary!$B$9</f>
        <v>7442600.0000000009</v>
      </c>
      <c r="U69" s="36">
        <f>6766000*Auxiliary!$B$9</f>
        <v>7442600.0000000009</v>
      </c>
      <c r="V69" s="36">
        <f>6766000*Auxiliary!$B$9</f>
        <v>7442600.0000000009</v>
      </c>
      <c r="W69" s="36">
        <f>4802000*Auxiliary!B9</f>
        <v>5282200</v>
      </c>
      <c r="X69" s="35"/>
      <c r="Y69" s="35"/>
      <c r="Z69" s="35"/>
      <c r="AA69" s="35"/>
      <c r="AB69" s="35"/>
      <c r="AC69" s="35"/>
      <c r="AD69" s="35"/>
      <c r="AE69" s="35"/>
      <c r="AF69" s="35"/>
      <c r="AG69" s="35"/>
      <c r="AH69" s="35"/>
    </row>
    <row r="70" spans="2:34" x14ac:dyDescent="0.25">
      <c r="F70" s="49"/>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row>
    <row r="71" spans="2:34" x14ac:dyDescent="0.25">
      <c r="B71" s="3" t="s">
        <v>3</v>
      </c>
      <c r="F71" s="49"/>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row>
    <row r="72" spans="2:34" x14ac:dyDescent="0.25">
      <c r="B72" t="s">
        <v>80</v>
      </c>
      <c r="C72" t="s">
        <v>79</v>
      </c>
      <c r="F72" s="46">
        <f>AVERAGE(G72:W72)</f>
        <v>88.846986351748924</v>
      </c>
      <c r="G72" s="35"/>
      <c r="H72" s="35"/>
      <c r="I72" s="35"/>
      <c r="J72" s="35"/>
      <c r="K72" s="40">
        <f>K73/K22</f>
        <v>73.797321428571436</v>
      </c>
      <c r="L72" s="40">
        <f t="shared" ref="L72:W72" si="22">L73/L22</f>
        <v>111.22270531400966</v>
      </c>
      <c r="M72" s="40">
        <f t="shared" si="22"/>
        <v>112.08711755233495</v>
      </c>
      <c r="N72" s="40">
        <f t="shared" si="22"/>
        <v>94.924637681159425</v>
      </c>
      <c r="O72" s="40">
        <f t="shared" si="22"/>
        <v>102.36425120772947</v>
      </c>
      <c r="P72" s="40">
        <f t="shared" si="22"/>
        <v>103.10112721417069</v>
      </c>
      <c r="Q72" s="40">
        <f t="shared" si="22"/>
        <v>101.95507246376812</v>
      </c>
      <c r="R72" s="40">
        <f t="shared" si="22"/>
        <v>82.257809983896934</v>
      </c>
      <c r="S72" s="40">
        <f t="shared" si="22"/>
        <v>77.16876006441224</v>
      </c>
      <c r="T72" s="40">
        <f t="shared" si="22"/>
        <v>78.290016103059585</v>
      </c>
      <c r="U72" s="40">
        <f t="shared" si="22"/>
        <v>73.613687600644127</v>
      </c>
      <c r="V72" s="40">
        <f t="shared" si="22"/>
        <v>73.532206119162637</v>
      </c>
      <c r="W72" s="40">
        <f t="shared" si="22"/>
        <v>70.696109839816941</v>
      </c>
      <c r="X72" s="35"/>
      <c r="Y72" s="35"/>
      <c r="Z72" s="35"/>
      <c r="AA72" s="35"/>
      <c r="AB72" s="35"/>
      <c r="AC72" s="35"/>
      <c r="AD72" s="35"/>
      <c r="AE72" s="35"/>
      <c r="AF72" s="35"/>
      <c r="AG72" s="35"/>
      <c r="AH72" s="35"/>
    </row>
    <row r="73" spans="2:34" x14ac:dyDescent="0.25">
      <c r="B73" t="s">
        <v>81</v>
      </c>
      <c r="C73" t="s">
        <v>44</v>
      </c>
      <c r="F73" s="47">
        <f>SUM(G73:W73)</f>
        <v>666690800</v>
      </c>
      <c r="G73" s="35"/>
      <c r="H73" s="35"/>
      <c r="I73" s="35"/>
      <c r="J73" s="35"/>
      <c r="K73" s="36">
        <f>SUM(K67:K69)+K62</f>
        <v>8265300.0000000009</v>
      </c>
      <c r="L73" s="36">
        <f t="shared" ref="L73:W73" si="23">SUM(L67:L69)+L62</f>
        <v>69069300</v>
      </c>
      <c r="M73" s="36">
        <f t="shared" si="23"/>
        <v>69606100</v>
      </c>
      <c r="N73" s="36">
        <f t="shared" si="23"/>
        <v>58948200</v>
      </c>
      <c r="O73" s="36">
        <f t="shared" si="23"/>
        <v>63568200</v>
      </c>
      <c r="P73" s="36">
        <f t="shared" si="23"/>
        <v>64025800</v>
      </c>
      <c r="Q73" s="36">
        <f t="shared" si="23"/>
        <v>63314100</v>
      </c>
      <c r="R73" s="36">
        <f t="shared" si="23"/>
        <v>51082100</v>
      </c>
      <c r="S73" s="36">
        <f t="shared" si="23"/>
        <v>47921800</v>
      </c>
      <c r="T73" s="36">
        <f t="shared" si="23"/>
        <v>48618100</v>
      </c>
      <c r="U73" s="36">
        <f t="shared" si="23"/>
        <v>45714100</v>
      </c>
      <c r="V73" s="36">
        <f t="shared" si="23"/>
        <v>45663500</v>
      </c>
      <c r="W73" s="36">
        <f t="shared" si="23"/>
        <v>30894200.000000004</v>
      </c>
      <c r="X73" s="35"/>
      <c r="Y73" s="35"/>
      <c r="Z73" s="35"/>
      <c r="AA73" s="35"/>
      <c r="AB73" s="35"/>
      <c r="AC73" s="35"/>
      <c r="AD73" s="35"/>
      <c r="AE73" s="35"/>
      <c r="AF73" s="35"/>
      <c r="AG73" s="35"/>
      <c r="AH73" s="35"/>
    </row>
    <row r="74" spans="2:34" x14ac:dyDescent="0.25">
      <c r="B74" s="22" t="s">
        <v>82</v>
      </c>
      <c r="C74" t="s">
        <v>20</v>
      </c>
      <c r="F74" s="45">
        <f>AVERAGE(K74:W74)</f>
        <v>9.8217076371879291</v>
      </c>
      <c r="G74" s="35"/>
      <c r="H74" s="35"/>
      <c r="I74" s="35"/>
      <c r="J74" s="35"/>
      <c r="K74" s="41">
        <f>K73/(K43+K44*K15/K14)</f>
        <v>4.097818542389688</v>
      </c>
      <c r="L74" s="41">
        <f t="shared" ref="L74:W74" si="24">L73/(L43+L44*L15/L14)</f>
        <v>8.4643750000000004</v>
      </c>
      <c r="M74" s="41">
        <f t="shared" si="24"/>
        <v>10.661066013172002</v>
      </c>
      <c r="N74" s="41">
        <f t="shared" si="24"/>
        <v>8.9423847087378636</v>
      </c>
      <c r="O74" s="41">
        <f t="shared" si="24"/>
        <v>9.9543062950203574</v>
      </c>
      <c r="P74" s="41">
        <f t="shared" si="24"/>
        <v>11.177688547486033</v>
      </c>
      <c r="Q74" s="41">
        <f t="shared" si="24"/>
        <v>11.700997967104048</v>
      </c>
      <c r="R74" s="41">
        <f t="shared" si="24"/>
        <v>9.7095799277703865</v>
      </c>
      <c r="S74" s="41">
        <f t="shared" si="24"/>
        <v>10.080311316785865</v>
      </c>
      <c r="T74" s="41">
        <f t="shared" si="24"/>
        <v>10.592178649237473</v>
      </c>
      <c r="U74" s="41">
        <f t="shared" si="24"/>
        <v>10.680864485981308</v>
      </c>
      <c r="V74" s="41">
        <f t="shared" si="24"/>
        <v>10.575150532654007</v>
      </c>
      <c r="W74" s="41">
        <f t="shared" si="24"/>
        <v>11.045477297104041</v>
      </c>
      <c r="X74" s="35"/>
      <c r="Y74" s="35"/>
      <c r="Z74" s="35"/>
      <c r="AA74" s="35"/>
      <c r="AB74" s="35"/>
      <c r="AC74" s="35"/>
      <c r="AD74" s="35"/>
      <c r="AE74" s="35"/>
      <c r="AF74" s="35"/>
      <c r="AG74" s="35"/>
      <c r="AH74" s="35"/>
    </row>
    <row r="75" spans="2:34" x14ac:dyDescent="0.25">
      <c r="F75" s="49"/>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row>
    <row r="76" spans="2:34" ht="15.75" thickBot="1" x14ac:dyDescent="0.3">
      <c r="B76" s="7" t="s">
        <v>86</v>
      </c>
      <c r="F76" s="49"/>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row>
    <row r="77" spans="2:34" x14ac:dyDescent="0.25">
      <c r="B77" t="s">
        <v>144</v>
      </c>
      <c r="C77" t="s">
        <v>44</v>
      </c>
      <c r="F77" s="47">
        <f>SUM(G77:W77)</f>
        <v>30936422</v>
      </c>
      <c r="G77" s="35"/>
      <c r="H77" s="35"/>
      <c r="I77" s="35"/>
      <c r="J77" s="35"/>
      <c r="K77" s="36">
        <f>2%*K59</f>
        <v>968154</v>
      </c>
      <c r="L77" s="36">
        <f t="shared" ref="L77:W77" si="25">2%*L59</f>
        <v>3858542</v>
      </c>
      <c r="M77" s="36">
        <f t="shared" si="25"/>
        <v>3040446</v>
      </c>
      <c r="N77" s="36">
        <f t="shared" si="25"/>
        <v>3068734</v>
      </c>
      <c r="O77" s="36">
        <f t="shared" si="25"/>
        <v>2978208</v>
      </c>
      <c r="P77" s="36">
        <f t="shared" si="25"/>
        <v>2660252</v>
      </c>
      <c r="Q77" s="36">
        <f t="shared" si="25"/>
        <v>2497528</v>
      </c>
      <c r="R77" s="36">
        <f t="shared" si="25"/>
        <v>2420042</v>
      </c>
      <c r="S77" s="36">
        <f t="shared" si="25"/>
        <v>2174484</v>
      </c>
      <c r="T77" s="36">
        <f t="shared" si="25"/>
        <v>2097170</v>
      </c>
      <c r="U77" s="36">
        <f t="shared" si="25"/>
        <v>1947010</v>
      </c>
      <c r="V77" s="36">
        <f t="shared" si="25"/>
        <v>1962534</v>
      </c>
      <c r="W77" s="36">
        <f t="shared" si="25"/>
        <v>1263318</v>
      </c>
      <c r="X77" s="35"/>
      <c r="Y77" s="35"/>
      <c r="Z77" s="35"/>
      <c r="AA77" s="35"/>
      <c r="AB77" s="35"/>
      <c r="AC77" s="35"/>
      <c r="AD77" s="35"/>
      <c r="AE77" s="35"/>
      <c r="AF77" s="35"/>
      <c r="AG77" s="35"/>
      <c r="AH77" s="35"/>
    </row>
    <row r="78" spans="2:34" x14ac:dyDescent="0.25">
      <c r="B78" s="24" t="s">
        <v>150</v>
      </c>
      <c r="C78" s="22" t="s">
        <v>44</v>
      </c>
      <c r="F78" s="47">
        <f t="shared" ref="F78:F79" si="26">SUM(G78:W78)</f>
        <v>75291315</v>
      </c>
      <c r="G78" s="35"/>
      <c r="H78" s="35"/>
      <c r="I78" s="35"/>
      <c r="J78" s="35"/>
      <c r="K78" s="36">
        <f>7.5%*(K49-K73)</f>
        <v>3161977.5</v>
      </c>
      <c r="L78" s="36">
        <f t="shared" ref="L78:W78" si="27">7.5%*(L49-L73)</f>
        <v>10119802.5</v>
      </c>
      <c r="M78" s="36">
        <f t="shared" si="27"/>
        <v>7021417.5</v>
      </c>
      <c r="N78" s="36">
        <f t="shared" si="27"/>
        <v>7938885</v>
      </c>
      <c r="O78" s="36">
        <f t="shared" si="27"/>
        <v>7206135</v>
      </c>
      <c r="P78" s="36">
        <f t="shared" si="27"/>
        <v>5938065</v>
      </c>
      <c r="Q78" s="36">
        <f t="shared" si="27"/>
        <v>5397067.5</v>
      </c>
      <c r="R78" s="36">
        <f t="shared" si="27"/>
        <v>6033217.5</v>
      </c>
      <c r="S78" s="36">
        <f t="shared" si="27"/>
        <v>5319615</v>
      </c>
      <c r="T78" s="36">
        <f t="shared" si="27"/>
        <v>4959892.5</v>
      </c>
      <c r="U78" s="36">
        <f t="shared" si="27"/>
        <v>4596442.5</v>
      </c>
      <c r="V78" s="36">
        <f t="shared" si="27"/>
        <v>4671487.5</v>
      </c>
      <c r="W78" s="36">
        <f t="shared" si="27"/>
        <v>2927310</v>
      </c>
      <c r="X78" s="35"/>
      <c r="Y78" s="35"/>
      <c r="Z78" s="35"/>
      <c r="AA78" s="35"/>
      <c r="AB78" s="35"/>
      <c r="AC78" s="35"/>
      <c r="AD78" s="35"/>
      <c r="AE78" s="35"/>
      <c r="AF78" s="35"/>
      <c r="AG78" s="35"/>
      <c r="AH78" s="35"/>
    </row>
    <row r="79" spans="2:34" x14ac:dyDescent="0.25">
      <c r="B79" s="24" t="s">
        <v>151</v>
      </c>
      <c r="C79" s="22" t="s">
        <v>44</v>
      </c>
      <c r="F79" s="47">
        <f t="shared" si="26"/>
        <v>8352875</v>
      </c>
      <c r="G79" s="35"/>
      <c r="H79" s="35"/>
      <c r="I79" s="35"/>
      <c r="J79" s="35"/>
      <c r="K79" s="36">
        <f>0.5%*K49</f>
        <v>252125</v>
      </c>
      <c r="L79" s="36">
        <f t="shared" ref="L79:W79" si="28">0.5%*L49</f>
        <v>1020000</v>
      </c>
      <c r="M79" s="36">
        <f t="shared" si="28"/>
        <v>816125</v>
      </c>
      <c r="N79" s="36">
        <f t="shared" si="28"/>
        <v>824000</v>
      </c>
      <c r="O79" s="36">
        <f t="shared" si="28"/>
        <v>798250</v>
      </c>
      <c r="P79" s="36">
        <f t="shared" si="28"/>
        <v>716000</v>
      </c>
      <c r="Q79" s="36">
        <f t="shared" si="28"/>
        <v>676375</v>
      </c>
      <c r="R79" s="36">
        <f t="shared" si="28"/>
        <v>657625</v>
      </c>
      <c r="S79" s="36">
        <f t="shared" si="28"/>
        <v>594250</v>
      </c>
      <c r="T79" s="36">
        <f t="shared" si="28"/>
        <v>573750</v>
      </c>
      <c r="U79" s="36">
        <f t="shared" si="28"/>
        <v>535000</v>
      </c>
      <c r="V79" s="36">
        <f t="shared" si="28"/>
        <v>539750</v>
      </c>
      <c r="W79" s="36">
        <f t="shared" si="28"/>
        <v>349625</v>
      </c>
      <c r="X79" s="35"/>
      <c r="Y79" s="35"/>
      <c r="Z79" s="35"/>
      <c r="AA79" s="35"/>
      <c r="AB79" s="35"/>
      <c r="AC79" s="35"/>
      <c r="AD79" s="35"/>
      <c r="AE79" s="35"/>
      <c r="AF79" s="35"/>
      <c r="AG79" s="35"/>
      <c r="AH79" s="35"/>
    </row>
    <row r="80" spans="2:34" x14ac:dyDescent="0.25">
      <c r="F80" s="49"/>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row>
    <row r="81" spans="2:34" ht="15.75" thickBot="1" x14ac:dyDescent="0.3">
      <c r="B81" s="7" t="s">
        <v>88</v>
      </c>
      <c r="F81" s="49"/>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row>
    <row r="82" spans="2:34" x14ac:dyDescent="0.25">
      <c r="B82" s="23" t="s">
        <v>49</v>
      </c>
      <c r="C82" s="22" t="s">
        <v>44</v>
      </c>
      <c r="F82" s="47">
        <f>SUM(G82:W82)</f>
        <v>606073588.00000012</v>
      </c>
      <c r="G82" s="35"/>
      <c r="H82" s="35"/>
      <c r="I82" s="35"/>
      <c r="J82" s="35"/>
      <c r="K82" s="36">
        <f>K49-K63-K73-SUM(K77:K79)</f>
        <v>37777443.5</v>
      </c>
      <c r="L82" s="36">
        <f t="shared" ref="L82:W82" si="29">L49-L63-L73-SUM(L77:L79)</f>
        <v>54176688.833333343</v>
      </c>
      <c r="M82" s="36">
        <f t="shared" si="29"/>
        <v>62019578.166666687</v>
      </c>
      <c r="N82" s="36">
        <f t="shared" si="29"/>
        <v>64015847.666666687</v>
      </c>
      <c r="O82" s="36">
        <f t="shared" si="29"/>
        <v>64207540.333333343</v>
      </c>
      <c r="P82" s="36">
        <f t="shared" si="29"/>
        <v>47356549.666666672</v>
      </c>
      <c r="Q82" s="36">
        <f t="shared" si="29"/>
        <v>42454929.5</v>
      </c>
      <c r="R82" s="36">
        <f t="shared" si="29"/>
        <v>49944348.833333343</v>
      </c>
      <c r="S82" s="36">
        <f t="shared" si="29"/>
        <v>40838517.666666672</v>
      </c>
      <c r="T82" s="36">
        <f t="shared" si="29"/>
        <v>36264087.5</v>
      </c>
      <c r="U82" s="36">
        <f t="shared" si="29"/>
        <v>31582780.833333343</v>
      </c>
      <c r="V82" s="36">
        <f t="shared" si="29"/>
        <v>48179728.5</v>
      </c>
      <c r="W82" s="36">
        <f t="shared" si="29"/>
        <v>27255546.999999996</v>
      </c>
      <c r="X82" s="35"/>
      <c r="Y82" s="35"/>
      <c r="Z82" s="35"/>
      <c r="AA82" s="35"/>
      <c r="AB82" s="35"/>
      <c r="AC82" s="35"/>
      <c r="AD82" s="35"/>
      <c r="AE82" s="35"/>
      <c r="AF82" s="35"/>
      <c r="AG82" s="35"/>
      <c r="AH82" s="35"/>
    </row>
    <row r="83" spans="2:34" x14ac:dyDescent="0.25">
      <c r="B83" s="24" t="s">
        <v>146</v>
      </c>
      <c r="C83" s="22" t="s">
        <v>44</v>
      </c>
      <c r="F83" s="47">
        <f>SUM(G83:W83)</f>
        <v>19250000</v>
      </c>
      <c r="G83" s="35"/>
      <c r="H83" s="35"/>
      <c r="I83" s="35"/>
      <c r="J83" s="35"/>
      <c r="K83" s="36">
        <v>19250000</v>
      </c>
      <c r="L83" s="36"/>
      <c r="M83" s="36"/>
      <c r="N83" s="36"/>
      <c r="O83" s="36"/>
      <c r="P83" s="36"/>
      <c r="Q83" s="36"/>
      <c r="R83" s="36"/>
      <c r="S83" s="36"/>
      <c r="T83" s="36"/>
      <c r="U83" s="36"/>
      <c r="V83" s="36"/>
      <c r="W83" s="36"/>
      <c r="X83" s="35"/>
      <c r="Y83" s="35"/>
      <c r="Z83" s="35"/>
      <c r="AA83" s="35"/>
      <c r="AB83" s="35"/>
      <c r="AC83" s="35"/>
      <c r="AD83" s="35"/>
      <c r="AE83" s="35"/>
      <c r="AF83" s="35"/>
      <c r="AG83" s="35"/>
      <c r="AH83" s="35"/>
    </row>
    <row r="84" spans="2:34" x14ac:dyDescent="0.25">
      <c r="B84" s="24" t="s">
        <v>145</v>
      </c>
      <c r="C84" s="22" t="s">
        <v>22</v>
      </c>
      <c r="F84" s="52">
        <f>AVERAGE(G84:W84)</f>
        <v>0.29999999999999993</v>
      </c>
      <c r="G84" s="42"/>
      <c r="H84" s="42"/>
      <c r="I84" s="42"/>
      <c r="J84" s="42"/>
      <c r="K84" s="42">
        <v>0.3</v>
      </c>
      <c r="L84" s="42">
        <v>0.3</v>
      </c>
      <c r="M84" s="42">
        <v>0.3</v>
      </c>
      <c r="N84" s="42">
        <v>0.3</v>
      </c>
      <c r="O84" s="42">
        <v>0.3</v>
      </c>
      <c r="P84" s="42">
        <v>0.3</v>
      </c>
      <c r="Q84" s="42">
        <v>0.3</v>
      </c>
      <c r="R84" s="42">
        <v>0.3</v>
      </c>
      <c r="S84" s="42">
        <v>0.3</v>
      </c>
      <c r="T84" s="42">
        <v>0.3</v>
      </c>
      <c r="U84" s="42">
        <v>0.3</v>
      </c>
      <c r="V84" s="42">
        <v>0.3</v>
      </c>
      <c r="W84" s="42">
        <v>0.3</v>
      </c>
      <c r="X84" s="55"/>
      <c r="Y84" s="35"/>
      <c r="Z84" s="35"/>
      <c r="AA84" s="35"/>
      <c r="AB84" s="35"/>
      <c r="AC84" s="35"/>
      <c r="AD84" s="35"/>
      <c r="AE84" s="35"/>
      <c r="AF84" s="35"/>
      <c r="AG84" s="35"/>
      <c r="AH84" s="35"/>
    </row>
    <row r="85" spans="2:34" x14ac:dyDescent="0.25">
      <c r="B85" s="24" t="s">
        <v>89</v>
      </c>
      <c r="C85" s="22" t="s">
        <v>44</v>
      </c>
      <c r="F85" s="47">
        <f>SUM(G85:W85)</f>
        <v>430026511.60000008</v>
      </c>
      <c r="G85" s="35"/>
      <c r="H85" s="35"/>
      <c r="I85" s="35"/>
      <c r="J85" s="35"/>
      <c r="K85" s="36">
        <f>IF(K82&gt;=0,K82-(K82-K83)*K84,K82)</f>
        <v>32219210.449999999</v>
      </c>
      <c r="L85" s="36">
        <f t="shared" ref="L85:W85" si="30">IF(L82&gt;=0,L82-(L82-L83)*L84,L82)</f>
        <v>37923682.183333337</v>
      </c>
      <c r="M85" s="36">
        <f t="shared" si="30"/>
        <v>43413704.716666684</v>
      </c>
      <c r="N85" s="36">
        <f t="shared" si="30"/>
        <v>44811093.366666682</v>
      </c>
      <c r="O85" s="36">
        <f t="shared" si="30"/>
        <v>44945278.233333342</v>
      </c>
      <c r="P85" s="36">
        <f t="shared" si="30"/>
        <v>33149584.766666673</v>
      </c>
      <c r="Q85" s="36">
        <f t="shared" si="30"/>
        <v>29718450.649999999</v>
      </c>
      <c r="R85" s="36">
        <f t="shared" si="30"/>
        <v>34961044.183333337</v>
      </c>
      <c r="S85" s="36">
        <f t="shared" si="30"/>
        <v>28586962.366666671</v>
      </c>
      <c r="T85" s="36">
        <f t="shared" si="30"/>
        <v>25384861.25</v>
      </c>
      <c r="U85" s="36">
        <f t="shared" si="30"/>
        <v>22107946.583333343</v>
      </c>
      <c r="V85" s="36">
        <f t="shared" si="30"/>
        <v>33725809.950000003</v>
      </c>
      <c r="W85" s="36">
        <f t="shared" si="30"/>
        <v>19078882.899999999</v>
      </c>
      <c r="X85" s="35"/>
      <c r="Y85" s="35"/>
      <c r="Z85" s="35"/>
      <c r="AA85" s="35"/>
      <c r="AB85" s="35"/>
      <c r="AC85" s="35"/>
      <c r="AD85" s="35"/>
      <c r="AE85" s="35"/>
      <c r="AF85" s="35"/>
      <c r="AG85" s="35"/>
      <c r="AH85" s="35"/>
    </row>
    <row r="86" spans="2:34" x14ac:dyDescent="0.25">
      <c r="F86" s="49"/>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row>
    <row r="87" spans="2:34" ht="15.75" thickBot="1" x14ac:dyDescent="0.3">
      <c r="B87" s="7" t="s">
        <v>47</v>
      </c>
      <c r="F87" s="49"/>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row>
    <row r="88" spans="2:34" x14ac:dyDescent="0.25">
      <c r="B88" t="s">
        <v>147</v>
      </c>
      <c r="C88" t="s">
        <v>44</v>
      </c>
      <c r="E88" s="10">
        <f>9500000</f>
        <v>9500000</v>
      </c>
      <c r="F88" s="47">
        <f>SUM(G88:W88)</f>
        <v>181048300</v>
      </c>
      <c r="G88" s="36">
        <f>9500000</f>
        <v>9500000</v>
      </c>
      <c r="H88" s="36">
        <f>(103787000-E88-G88)*Auxiliary!$B$9/2</f>
        <v>46632850.000000007</v>
      </c>
      <c r="I88" s="36">
        <f>(103787000-E88-G88)*Auxiliary!$B$9/2</f>
        <v>46632850.000000007</v>
      </c>
      <c r="J88" s="36">
        <f>71166000*Auxiliary!B9*0.4</f>
        <v>31313040</v>
      </c>
      <c r="K88" s="36">
        <f>71166000*Auxiliary!B9*0.6</f>
        <v>46969560</v>
      </c>
      <c r="L88" s="36"/>
      <c r="M88" s="36"/>
      <c r="N88" s="36"/>
      <c r="O88" s="36"/>
      <c r="P88" s="36"/>
      <c r="Q88" s="36"/>
      <c r="R88" s="36"/>
      <c r="S88" s="36"/>
      <c r="T88" s="36"/>
      <c r="U88" s="36"/>
      <c r="V88" s="36"/>
      <c r="W88" s="36"/>
      <c r="X88" s="35"/>
      <c r="Y88" s="35"/>
      <c r="Z88" s="35"/>
      <c r="AA88" s="35"/>
      <c r="AB88" s="35"/>
      <c r="AC88" s="35"/>
      <c r="AD88" s="35"/>
      <c r="AE88" s="35"/>
      <c r="AF88" s="35"/>
      <c r="AG88" s="35"/>
      <c r="AH88" s="35"/>
    </row>
    <row r="89" spans="2:34" x14ac:dyDescent="0.25">
      <c r="B89" t="s">
        <v>93</v>
      </c>
      <c r="C89" t="s">
        <v>44</v>
      </c>
      <c r="E89" s="10"/>
      <c r="F89" s="47">
        <f>SUM(G89:AG89)</f>
        <v>119396200.00000001</v>
      </c>
      <c r="G89" s="36"/>
      <c r="H89" s="36"/>
      <c r="I89" s="36"/>
      <c r="J89" s="36"/>
      <c r="K89" s="36">
        <f>6974000*Auxiliary!B9</f>
        <v>7671400.0000000009</v>
      </c>
      <c r="L89" s="36">
        <f>22491000*Auxiliary!B9</f>
        <v>24740100.000000004</v>
      </c>
      <c r="M89" s="36">
        <f>22122000*Auxiliary!B9</f>
        <v>24334200.000000004</v>
      </c>
      <c r="N89" s="36">
        <f>22399000*Auxiliary!B9</f>
        <v>24638900.000000004</v>
      </c>
      <c r="O89" s="36">
        <f>10314000*Auxiliary!B9</f>
        <v>11345400</v>
      </c>
      <c r="P89" s="36">
        <f>6573000*Auxiliary!B9</f>
        <v>7230300.0000000009</v>
      </c>
      <c r="Q89" s="36">
        <f>5288000*Auxiliary!B9</f>
        <v>5816800.0000000009</v>
      </c>
      <c r="R89" s="36">
        <f>6074000*Auxiliary!B9</f>
        <v>6681400.0000000009</v>
      </c>
      <c r="S89" s="36">
        <f>2431000*Auxiliary!B9</f>
        <v>2674100</v>
      </c>
      <c r="T89" s="36">
        <f>3876000*Auxiliary!B9</f>
        <v>4263600</v>
      </c>
      <c r="U89" s="36"/>
      <c r="V89" s="36"/>
      <c r="W89" s="36"/>
      <c r="X89" s="35"/>
      <c r="Y89" s="35"/>
      <c r="Z89" s="35"/>
      <c r="AA89" s="35"/>
      <c r="AB89" s="35"/>
      <c r="AC89" s="35"/>
      <c r="AD89" s="35"/>
      <c r="AE89" s="35"/>
      <c r="AF89" s="35"/>
      <c r="AG89" s="35"/>
      <c r="AH89" s="35"/>
    </row>
    <row r="90" spans="2:34" x14ac:dyDescent="0.25">
      <c r="B90" t="s">
        <v>153</v>
      </c>
      <c r="C90" t="s">
        <v>44</v>
      </c>
      <c r="E90" s="10"/>
      <c r="F90" s="47">
        <f>SUM(G90:AG90)</f>
        <v>7761600</v>
      </c>
      <c r="G90" s="36"/>
      <c r="H90" s="36"/>
      <c r="I90" s="36"/>
      <c r="J90" s="36"/>
      <c r="K90" s="36"/>
      <c r="L90" s="36"/>
      <c r="M90" s="36"/>
      <c r="N90" s="36"/>
      <c r="O90" s="36"/>
      <c r="P90" s="36"/>
      <c r="Q90" s="36"/>
      <c r="R90" s="36"/>
      <c r="S90" s="36"/>
      <c r="T90" s="36"/>
      <c r="U90" s="36"/>
      <c r="V90" s="36"/>
      <c r="W90" s="36">
        <f>1587000*Auxiliary!B9</f>
        <v>1745700.0000000002</v>
      </c>
      <c r="X90" s="36">
        <f>4797000*Auxiliary!B9</f>
        <v>5276700</v>
      </c>
      <c r="Y90" s="36">
        <f>35000*Auxiliary!$B$9</f>
        <v>38500</v>
      </c>
      <c r="Z90" s="36">
        <f>35000*Auxiliary!$B$9</f>
        <v>38500</v>
      </c>
      <c r="AA90" s="36">
        <f>86000*Auxiliary!$B$9</f>
        <v>94600.000000000015</v>
      </c>
      <c r="AB90" s="36">
        <f>86000*Auxiliary!$B$9</f>
        <v>94600.000000000015</v>
      </c>
      <c r="AC90" s="36">
        <f>86000*Auxiliary!$B$9</f>
        <v>94600.000000000015</v>
      </c>
      <c r="AD90" s="36">
        <f>86000*Auxiliary!$B$9</f>
        <v>94600.000000000015</v>
      </c>
      <c r="AE90" s="36">
        <f>86000*Auxiliary!$B$9</f>
        <v>94600.000000000015</v>
      </c>
      <c r="AF90" s="36">
        <f>86000*Auxiliary!$B$9</f>
        <v>94600.000000000015</v>
      </c>
      <c r="AG90" s="36">
        <f>86000*Auxiliary!$B$9</f>
        <v>94600.000000000015</v>
      </c>
      <c r="AH90" s="35"/>
    </row>
    <row r="91" spans="2:34" x14ac:dyDescent="0.25">
      <c r="B91" t="s">
        <v>95</v>
      </c>
      <c r="C91" t="s">
        <v>20</v>
      </c>
      <c r="F91" s="45">
        <f>AVERAGE(G91:W91)</f>
        <v>13.224403799963358</v>
      </c>
      <c r="G91" s="35"/>
      <c r="H91" s="35"/>
      <c r="I91" s="35"/>
      <c r="J91" s="35"/>
      <c r="K91" s="41">
        <f>(K73+SUM(K89:K90)+SUM(K77:K79))/(K43+K44*K15/K14)</f>
        <v>10.073850520575112</v>
      </c>
      <c r="L91" s="41">
        <f t="shared" ref="L91:W91" si="31">(L73+SUM(L89:L90)+SUM(L77:L79))/(L43+L44*L15/L14)</f>
        <v>13.334282414215686</v>
      </c>
      <c r="M91" s="41">
        <f t="shared" si="31"/>
        <v>16.054263822943788</v>
      </c>
      <c r="N91" s="41">
        <f t="shared" si="31"/>
        <v>14.47492703276699</v>
      </c>
      <c r="O91" s="41">
        <f t="shared" si="31"/>
        <v>13.450703570310052</v>
      </c>
      <c r="P91" s="41">
        <f t="shared" si="31"/>
        <v>14.066064420391061</v>
      </c>
      <c r="Q91" s="41">
        <f t="shared" si="31"/>
        <v>14.359983459619293</v>
      </c>
      <c r="R91" s="41">
        <f t="shared" si="31"/>
        <v>12.711344706329594</v>
      </c>
      <c r="S91" s="41">
        <f t="shared" si="31"/>
        <v>12.344183634833824</v>
      </c>
      <c r="T91" s="41">
        <f t="shared" si="31"/>
        <v>13.183553921568627</v>
      </c>
      <c r="U91" s="41">
        <f t="shared" si="31"/>
        <v>12.334708528037384</v>
      </c>
      <c r="V91" s="41">
        <f t="shared" si="31"/>
        <v>12.236514937471052</v>
      </c>
      <c r="W91" s="41">
        <f t="shared" si="31"/>
        <v>13.292868430461208</v>
      </c>
      <c r="X91" s="35"/>
      <c r="Y91" s="35"/>
      <c r="Z91" s="35"/>
      <c r="AA91" s="35"/>
      <c r="AB91" s="35"/>
      <c r="AC91" s="35"/>
      <c r="AD91" s="35"/>
      <c r="AE91" s="35"/>
      <c r="AF91" s="35"/>
      <c r="AG91" s="35"/>
      <c r="AH91" s="35"/>
    </row>
    <row r="92" spans="2:34" x14ac:dyDescent="0.25">
      <c r="F92" s="49"/>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row>
    <row r="93" spans="2:34" ht="15.75" thickBot="1" x14ac:dyDescent="0.3">
      <c r="B93" s="7" t="s">
        <v>154</v>
      </c>
      <c r="F93" s="49"/>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row>
    <row r="94" spans="2:34" x14ac:dyDescent="0.25">
      <c r="B94" t="s">
        <v>155</v>
      </c>
      <c r="C94" t="s">
        <v>44</v>
      </c>
      <c r="F94" s="57"/>
      <c r="G94" s="35"/>
      <c r="H94" s="35"/>
      <c r="I94" s="35"/>
      <c r="J94" s="35"/>
      <c r="K94" s="36">
        <f>4701000</f>
        <v>4701000</v>
      </c>
      <c r="L94" s="36">
        <f>11130000</f>
        <v>11130000</v>
      </c>
      <c r="M94" s="36">
        <f>-4705000</f>
        <v>-4705000</v>
      </c>
      <c r="N94" s="36">
        <f>870000</f>
        <v>870000</v>
      </c>
      <c r="O94" s="36">
        <f>-584000</f>
        <v>-584000</v>
      </c>
      <c r="P94" s="36">
        <f>-1469000</f>
        <v>-1469000</v>
      </c>
      <c r="Q94" s="36">
        <f>-1073000</f>
        <v>-1073000</v>
      </c>
      <c r="R94" s="36">
        <f>422000</f>
        <v>422000</v>
      </c>
      <c r="S94" s="36">
        <f>-1021000</f>
        <v>-1021000</v>
      </c>
      <c r="T94" s="36">
        <f>-353000</f>
        <v>-353000</v>
      </c>
      <c r="U94" s="36">
        <f>-527000</f>
        <v>-527000</v>
      </c>
      <c r="V94" s="36">
        <f>-5000</f>
        <v>-5000</v>
      </c>
      <c r="W94" s="36">
        <f>-7385000</f>
        <v>-7385000</v>
      </c>
      <c r="X94" s="35"/>
      <c r="Y94" s="35"/>
      <c r="Z94" s="35"/>
      <c r="AA94" s="35"/>
      <c r="AB94" s="35"/>
      <c r="AC94" s="35"/>
      <c r="AD94" s="35"/>
      <c r="AE94" s="35"/>
      <c r="AF94" s="35"/>
      <c r="AG94" s="35"/>
      <c r="AH94" s="35"/>
    </row>
    <row r="95" spans="2:34" x14ac:dyDescent="0.25">
      <c r="F95" s="49"/>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row>
    <row r="96" spans="2:34" ht="15.75" thickBot="1" x14ac:dyDescent="0.3">
      <c r="B96" s="7" t="s">
        <v>48</v>
      </c>
      <c r="F96" s="49"/>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row>
    <row r="97" spans="2:34" x14ac:dyDescent="0.25">
      <c r="B97" s="22" t="s">
        <v>48</v>
      </c>
      <c r="C97" t="s">
        <v>44</v>
      </c>
      <c r="F97" s="47">
        <f>SUM(G97:AG97)</f>
        <v>405049411.59999996</v>
      </c>
      <c r="G97" s="36">
        <f t="shared" ref="G97:J97" si="32">G85+G63-SUM(G88:G90)-G94</f>
        <v>-9500000</v>
      </c>
      <c r="H97" s="36">
        <f t="shared" si="32"/>
        <v>-46632850.000000007</v>
      </c>
      <c r="I97" s="36">
        <f t="shared" si="32"/>
        <v>-46632850.000000007</v>
      </c>
      <c r="J97" s="36">
        <f t="shared" si="32"/>
        <v>-31313040</v>
      </c>
      <c r="K97" s="36">
        <f>K85+K63-SUM(K88:K90)-K94</f>
        <v>-27122749.550000001</v>
      </c>
      <c r="L97" s="36">
        <f t="shared" ref="L97:AG97" si="33">L85+L63-SUM(L88:L90)-L94</f>
        <v>67809248.849999994</v>
      </c>
      <c r="M97" s="36">
        <f t="shared" si="33"/>
        <v>44505838.050000012</v>
      </c>
      <c r="N97" s="36">
        <f t="shared" si="33"/>
        <v>49306526.700000018</v>
      </c>
      <c r="O97" s="36">
        <f t="shared" si="33"/>
        <v>55075544.900000006</v>
      </c>
      <c r="P97" s="36">
        <f t="shared" si="33"/>
        <v>49891618.100000001</v>
      </c>
      <c r="Q97" s="36">
        <f t="shared" si="33"/>
        <v>45909650.649999999</v>
      </c>
      <c r="R97" s="36">
        <f t="shared" si="33"/>
        <v>49245310.850000001</v>
      </c>
      <c r="S97" s="36">
        <f t="shared" si="33"/>
        <v>48935195.700000003</v>
      </c>
      <c r="T97" s="36">
        <f t="shared" si="33"/>
        <v>43711261.25</v>
      </c>
      <c r="U97" s="36">
        <f t="shared" si="33"/>
        <v>45259613.250000007</v>
      </c>
      <c r="V97" s="36">
        <f t="shared" si="33"/>
        <v>40663809.950000003</v>
      </c>
      <c r="W97" s="36">
        <f t="shared" si="33"/>
        <v>31953182.899999999</v>
      </c>
      <c r="X97" s="36">
        <f t="shared" si="33"/>
        <v>-5276700</v>
      </c>
      <c r="Y97" s="36">
        <f t="shared" si="33"/>
        <v>-38500</v>
      </c>
      <c r="Z97" s="36">
        <f t="shared" si="33"/>
        <v>-38500</v>
      </c>
      <c r="AA97" s="36">
        <f t="shared" si="33"/>
        <v>-94600.000000000015</v>
      </c>
      <c r="AB97" s="36">
        <f t="shared" si="33"/>
        <v>-94600.000000000015</v>
      </c>
      <c r="AC97" s="36">
        <f t="shared" si="33"/>
        <v>-94600.000000000015</v>
      </c>
      <c r="AD97" s="36">
        <f t="shared" si="33"/>
        <v>-94600.000000000015</v>
      </c>
      <c r="AE97" s="36">
        <f t="shared" si="33"/>
        <v>-94600.000000000015</v>
      </c>
      <c r="AF97" s="36">
        <f t="shared" si="33"/>
        <v>-94600.000000000015</v>
      </c>
      <c r="AG97" s="36">
        <f t="shared" si="33"/>
        <v>-94600.000000000015</v>
      </c>
      <c r="AH97" s="36"/>
    </row>
    <row r="98" spans="2:34" x14ac:dyDescent="0.25">
      <c r="B98" s="3" t="s">
        <v>50</v>
      </c>
      <c r="C98" s="3" t="s">
        <v>44</v>
      </c>
      <c r="F98" s="47">
        <f>SUM(G98:AG98)</f>
        <v>154049888.60143712</v>
      </c>
      <c r="G98" s="47">
        <f>G97</f>
        <v>-9500000</v>
      </c>
      <c r="H98" s="47">
        <f>H97/(1+$D$4)^(0.25)</f>
        <v>-45534755.965550669</v>
      </c>
      <c r="I98" s="47">
        <f>I97/(1+$D$4)^(0.5)</f>
        <v>-44462519.465189278</v>
      </c>
      <c r="J98" s="47">
        <f>J97/(1+$D$4)^(0.75+D3)</f>
        <v>-29152674.092918649</v>
      </c>
      <c r="K98" s="47">
        <f>K97/(1+$D$4)^(1.5+D3)</f>
        <v>-23509318.688844897</v>
      </c>
      <c r="L98" s="47">
        <f>L97/(1+$D$4)^(2+D3)</f>
        <v>56039902.744365461</v>
      </c>
      <c r="M98" s="47">
        <f>M97/(1+$D$4)^(3+D3)</f>
        <v>33437179.937952958</v>
      </c>
      <c r="N98" s="47">
        <f>N97/(1+$D$4)^(4+D3)</f>
        <v>33676061.139295682</v>
      </c>
      <c r="O98" s="47">
        <f>O97/(1+$D$4)^(5+D3)</f>
        <v>34196361.61966861</v>
      </c>
      <c r="P98" s="47">
        <f>P97/(1+$D$4)^(6+D3)</f>
        <v>28161313.506778624</v>
      </c>
      <c r="Q98" s="47">
        <f>Q97/(1+$D$4)^(7+D3)</f>
        <v>23557734.655503493</v>
      </c>
      <c r="R98" s="47">
        <f>R97/(1+$D$4)^(8+D3)</f>
        <v>22971991.166662887</v>
      </c>
      <c r="S98" s="47">
        <f>S97/(1+$D$4)^(9+D3)</f>
        <v>20751968.837908056</v>
      </c>
      <c r="T98" s="47">
        <f>T97/(1+$D$4)^(10+D3)</f>
        <v>16851382.42752441</v>
      </c>
      <c r="U98" s="47">
        <f>U97/(1+$D$4)^(11+D3)</f>
        <v>15861974.7786803</v>
      </c>
      <c r="V98" s="47">
        <f>V97/(1+$D$4)^(12+D3)</f>
        <v>12955634.969770905</v>
      </c>
      <c r="W98" s="47">
        <f>W97/(1+$D$4)^(13+D3)</f>
        <v>9254841.4102352839</v>
      </c>
      <c r="X98" s="47">
        <f>X97/(1+$D$4)^(14+D3)</f>
        <v>-1389381.3953973767</v>
      </c>
      <c r="Y98" s="47">
        <f>Y97/(1+$D$4)^(15+D3)</f>
        <v>-9215.6086705582256</v>
      </c>
      <c r="Z98" s="47">
        <f>Z97/(1+$D$4)^(16+D3)</f>
        <v>-8377.7663566297306</v>
      </c>
      <c r="AA98" s="47">
        <f>AA97/(1+$D$4)^(17+D3)</f>
        <v>-18713.838230143865</v>
      </c>
      <c r="AB98" s="47">
        <f>AB97/(1+$D$4)^(18+D3)</f>
        <v>-17012.458963105448</v>
      </c>
      <c r="AC98" s="47">
        <f>AC97/(1+$D$4)^(19+D3)</f>
        <v>-15465.761561684818</v>
      </c>
      <c r="AD98" s="47">
        <f>AD97/(1+$D$4)^(20+D3)</f>
        <v>-14059.683035921698</v>
      </c>
      <c r="AE98" s="47">
        <f>AE97/(1+$D$4)^(21+D3)</f>
        <v>-12781.438940602025</v>
      </c>
      <c r="AF98" s="47">
        <f>AF97/(1+$D$4)^(22+D3)</f>
        <v>-11619.407135633784</v>
      </c>
      <c r="AG98" s="47">
        <f>AG97/(1+$D$4)^(23+D3)</f>
        <v>-10563.022114414458</v>
      </c>
      <c r="AH98" s="35"/>
    </row>
  </sheetData>
  <pageMargins left="0.7" right="0.7" top="0.75" bottom="0.75" header="0.3" footer="0.3"/>
  <pageSetup orientation="portrait" r:id="rId1"/>
  <ignoredErrors>
    <ignoredError sqref="P21 F22 F84 F88" formula="1"/>
  </ignoredError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DA9E-4AEA-4E66-B974-DC63EFD57537}">
  <dimension ref="A1:D22"/>
  <sheetViews>
    <sheetView showGridLines="0" zoomScale="130" zoomScaleNormal="130" workbookViewId="0">
      <selection activeCell="C18" sqref="C18"/>
    </sheetView>
  </sheetViews>
  <sheetFormatPr baseColWidth="10" defaultColWidth="9.140625" defaultRowHeight="15" x14ac:dyDescent="0.25"/>
  <cols>
    <col min="2" max="2" width="29.140625" bestFit="1" customWidth="1"/>
  </cols>
  <sheetData>
    <row r="1" spans="1:4" x14ac:dyDescent="0.25">
      <c r="B1" s="8" t="s">
        <v>106</v>
      </c>
    </row>
    <row r="2" spans="1:4" x14ac:dyDescent="0.25">
      <c r="A2" s="6"/>
      <c r="B2" s="6" t="s">
        <v>2</v>
      </c>
      <c r="C2" s="6"/>
      <c r="D2" s="6"/>
    </row>
    <row r="4" spans="1:4" ht="15.75" thickBot="1" x14ac:dyDescent="0.3">
      <c r="B4" s="7" t="s">
        <v>97</v>
      </c>
      <c r="C4" s="29"/>
    </row>
    <row r="5" spans="1:4" x14ac:dyDescent="0.25">
      <c r="B5" t="s">
        <v>107</v>
      </c>
      <c r="C5" s="13">
        <v>12.289</v>
      </c>
    </row>
    <row r="6" spans="1:4" x14ac:dyDescent="0.25">
      <c r="B6" t="s">
        <v>217</v>
      </c>
      <c r="C6" s="13">
        <v>1.014</v>
      </c>
    </row>
    <row r="7" spans="1:4" x14ac:dyDescent="0.25">
      <c r="B7" t="s">
        <v>216</v>
      </c>
      <c r="C7" s="67">
        <v>6.0999999999999999E-2</v>
      </c>
    </row>
    <row r="8" spans="1:4" ht="15.75" thickBot="1" x14ac:dyDescent="0.3">
      <c r="B8" s="29" t="s">
        <v>218</v>
      </c>
      <c r="C8" s="30">
        <v>7.3200000000000001E-2</v>
      </c>
    </row>
    <row r="9" spans="1:4" x14ac:dyDescent="0.25">
      <c r="B9" s="3" t="s">
        <v>97</v>
      </c>
      <c r="C9" s="31">
        <f>(C5*C7+C6*C8)/SUM(C5:C6)</f>
        <v>6.1929925580696085E-2</v>
      </c>
    </row>
    <row r="11" spans="1:4" ht="15.75" thickBot="1" x14ac:dyDescent="0.3">
      <c r="B11" s="7" t="s">
        <v>98</v>
      </c>
      <c r="C11" s="29"/>
    </row>
    <row r="12" spans="1:4" x14ac:dyDescent="0.25">
      <c r="B12" t="s">
        <v>99</v>
      </c>
      <c r="C12" s="27">
        <v>3.1649999999999998E-2</v>
      </c>
    </row>
    <row r="13" spans="1:4" x14ac:dyDescent="0.25">
      <c r="B13" t="s">
        <v>100</v>
      </c>
      <c r="C13" s="27">
        <v>6.6000000000000003E-2</v>
      </c>
    </row>
    <row r="14" spans="1:4" ht="15.75" thickBot="1" x14ac:dyDescent="0.3">
      <c r="B14" s="29" t="s">
        <v>101</v>
      </c>
      <c r="C14" s="29">
        <v>1.05</v>
      </c>
    </row>
    <row r="15" spans="1:4" x14ac:dyDescent="0.25">
      <c r="B15" s="3" t="s">
        <v>98</v>
      </c>
      <c r="C15" s="31">
        <f>C12+C13*C14</f>
        <v>0.10095</v>
      </c>
    </row>
    <row r="17" spans="2:3" ht="15.75" thickBot="1" x14ac:dyDescent="0.3">
      <c r="B17" s="7" t="s">
        <v>2</v>
      </c>
      <c r="C17" s="29"/>
    </row>
    <row r="18" spans="2:3" x14ac:dyDescent="0.25">
      <c r="B18" t="s">
        <v>102</v>
      </c>
      <c r="C18" s="15">
        <v>0.3</v>
      </c>
    </row>
    <row r="19" spans="2:3" x14ac:dyDescent="0.25">
      <c r="B19" t="s">
        <v>103</v>
      </c>
      <c r="C19" s="10">
        <f>C5</f>
        <v>12.289</v>
      </c>
    </row>
    <row r="20" spans="2:3" x14ac:dyDescent="0.25">
      <c r="B20" t="s">
        <v>104</v>
      </c>
      <c r="C20" s="10">
        <v>739</v>
      </c>
    </row>
    <row r="21" spans="2:3" ht="15.75" thickBot="1" x14ac:dyDescent="0.3">
      <c r="B21" s="29" t="s">
        <v>105</v>
      </c>
      <c r="C21" s="32">
        <f>SUM(C19:C20)</f>
        <v>751.28899999999999</v>
      </c>
    </row>
    <row r="22" spans="2:3" x14ac:dyDescent="0.25">
      <c r="B22" s="3" t="s">
        <v>2</v>
      </c>
      <c r="C22" s="33">
        <f>(1-C18)*C19/C21*C9+C20*C15/C21</f>
        <v>0.1000078395914526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8EAA-EFAC-43FD-A8AD-5DDDB9D58B50}">
  <dimension ref="A1:F9"/>
  <sheetViews>
    <sheetView showGridLines="0" workbookViewId="0">
      <selection activeCell="D26" sqref="D26"/>
    </sheetView>
  </sheetViews>
  <sheetFormatPr baseColWidth="10" defaultColWidth="9.140625" defaultRowHeight="15" x14ac:dyDescent="0.25"/>
  <cols>
    <col min="1" max="1" width="21.140625" bestFit="1" customWidth="1"/>
    <col min="5" max="6" width="21.5703125" bestFit="1" customWidth="1"/>
  </cols>
  <sheetData>
    <row r="1" spans="1:6" x14ac:dyDescent="0.25">
      <c r="E1" s="3" t="s">
        <v>109</v>
      </c>
      <c r="F1" s="3" t="s">
        <v>110</v>
      </c>
    </row>
    <row r="2" spans="1:6" x14ac:dyDescent="0.25">
      <c r="A2" s="4" t="s">
        <v>4</v>
      </c>
      <c r="B2" s="5"/>
      <c r="C2" s="5"/>
      <c r="E2" t="s">
        <v>96</v>
      </c>
      <c r="F2" t="s">
        <v>96</v>
      </c>
    </row>
    <row r="3" spans="1:6" x14ac:dyDescent="0.25">
      <c r="A3" t="s">
        <v>5</v>
      </c>
      <c r="C3">
        <v>3.2149999999999998E-2</v>
      </c>
      <c r="E3" cm="1">
        <f t="array" ref="E3">COUNT(IF('DCF Guanacevi'!$P$30:$V$30&lt;&gt;0,'DCF Guanacevi'!$P$30:$V$30))</f>
        <v>3</v>
      </c>
      <c r="F3" cm="1">
        <f t="array" ref="F3">COUNT(IF('DCF Bolanitos'!$P$30:$V$30&lt;&gt;0,'DCF Bolanitos'!$P$30:$V$30))</f>
        <v>2</v>
      </c>
    </row>
    <row r="4" spans="1:6" x14ac:dyDescent="0.25">
      <c r="A4" t="s">
        <v>6</v>
      </c>
      <c r="C4">
        <v>31.103476799999999</v>
      </c>
      <c r="E4" cm="1">
        <f t="array" ref="E4">COUNT(IF('DCF Guanacevi'!$Q$30:$V$30&lt;&gt;0,'DCF Guanacevi'!$Q$30:$V$30))</f>
        <v>2</v>
      </c>
      <c r="F4" cm="1">
        <f t="array" ref="F4">COUNT(IF('DCF Bolanitos'!$Q$30:$V$30&lt;&gt;0,'DCF Bolanitos'!$Q$30:$V$30))</f>
        <v>1</v>
      </c>
    </row>
    <row r="5" spans="1:6" x14ac:dyDescent="0.25">
      <c r="A5" t="s">
        <v>51</v>
      </c>
      <c r="C5">
        <v>4.5359000000000003E-4</v>
      </c>
      <c r="E5" cm="1">
        <f t="array" ref="E5">COUNT(IF('DCF Guanacevi'!$R$30:$V$30&lt;&gt;0,'DCF Guanacevi'!$R$30:$V$30))</f>
        <v>1</v>
      </c>
      <c r="F5" cm="1">
        <f t="array" ref="F5">COUNT(IF('DCF Bolanitos'!$R$30:$V$30&lt;&gt;0,'DCF Bolanitos'!$R$30:$V$30))</f>
        <v>0</v>
      </c>
    </row>
    <row r="6" spans="1:6" x14ac:dyDescent="0.25">
      <c r="A6" t="s">
        <v>52</v>
      </c>
      <c r="C6">
        <v>2204.6226200000001</v>
      </c>
      <c r="E6" cm="1">
        <f t="array" ref="E6">COUNT(IF('DCF Guanacevi'!$S$30:$V$30&lt;&gt;0,'DCF Guanacevi'!$S$30:$V$30))</f>
        <v>0</v>
      </c>
      <c r="F6" cm="1">
        <f t="array" ref="F6">COUNT(IF('DCF Bolanitos'!$S$30:$V$30&lt;&gt;0,'DCF Bolanitos'!$S$30:$V$30))</f>
        <v>0</v>
      </c>
    </row>
    <row r="7" spans="1:6" x14ac:dyDescent="0.25">
      <c r="E7" cm="1">
        <f t="array" ref="E7">COUNT(IF('DCF Guanacevi'!$T$30:$V$30&lt;&gt;0,'DCF Guanacevi'!$T$30:$V$30))</f>
        <v>0</v>
      </c>
      <c r="F7" cm="1">
        <f t="array" ref="F7">COUNT(IF('DCF Bolanitos'!$T$30:$V$30&lt;&gt;0,'DCF Bolanitos'!$T$30:$V$30))</f>
        <v>0</v>
      </c>
    </row>
    <row r="8" spans="1:6" x14ac:dyDescent="0.25">
      <c r="E8" cm="1">
        <f t="array" ref="E8">COUNT(IF('DCF Guanacevi'!$U$30:$V$30&lt;&gt;0,'DCF Guanacevi'!$U$30:$V$30))</f>
        <v>0</v>
      </c>
      <c r="F8" cm="1">
        <f t="array" ref="F8">COUNT(IF('DCF Bolanitos'!$U$30:$V$30&lt;&gt;0,'DCF Bolanitos'!$U$30:$V$30))</f>
        <v>0</v>
      </c>
    </row>
    <row r="9" spans="1:6" x14ac:dyDescent="0.25">
      <c r="A9" t="s">
        <v>149</v>
      </c>
      <c r="B9">
        <v>1.1000000000000001</v>
      </c>
      <c r="E9">
        <f>IF('DCF Guanacevi'!$V$30=0,0)</f>
        <v>0</v>
      </c>
      <c r="F9">
        <f>IF('DCF Bolanitos'!$V$30=0,0)</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CE579-1835-476E-88F9-EE96529D5D7F}">
  <dimension ref="A1:T8"/>
  <sheetViews>
    <sheetView showGridLines="0" zoomScale="130" zoomScaleNormal="130" workbookViewId="0">
      <selection activeCell="T9" sqref="T9"/>
    </sheetView>
  </sheetViews>
  <sheetFormatPr baseColWidth="10" defaultColWidth="9.140625" defaultRowHeight="15" x14ac:dyDescent="0.25"/>
  <cols>
    <col min="1" max="1" width="22.5703125" bestFit="1" customWidth="1"/>
    <col min="2" max="2" width="11.28515625" bestFit="1" customWidth="1"/>
    <col min="4" max="4" width="10.28515625" bestFit="1" customWidth="1"/>
    <col min="6" max="6" width="11.7109375" bestFit="1" customWidth="1"/>
    <col min="8" max="8" width="22.5703125" bestFit="1" customWidth="1"/>
    <col min="15" max="15" width="22.5703125" bestFit="1" customWidth="1"/>
    <col min="16" max="16" width="9.42578125" bestFit="1" customWidth="1"/>
  </cols>
  <sheetData>
    <row r="1" spans="1:20" ht="18.75" x14ac:dyDescent="0.3">
      <c r="A1" s="70" t="s">
        <v>109</v>
      </c>
      <c r="B1" s="70"/>
      <c r="C1" s="70"/>
      <c r="D1" s="70"/>
      <c r="E1" s="70"/>
      <c r="F1" s="70"/>
      <c r="H1" s="70" t="s">
        <v>110</v>
      </c>
      <c r="I1" s="70"/>
      <c r="J1" s="70"/>
      <c r="K1" s="70"/>
      <c r="L1" s="70"/>
      <c r="M1" s="70"/>
      <c r="O1" s="70" t="s">
        <v>188</v>
      </c>
      <c r="P1" s="70"/>
      <c r="Q1" s="70"/>
      <c r="R1" s="70"/>
      <c r="S1" s="70"/>
      <c r="T1" s="70"/>
    </row>
    <row r="2" spans="1:20" x14ac:dyDescent="0.25">
      <c r="B2">
        <v>2017</v>
      </c>
      <c r="C2">
        <v>2018</v>
      </c>
      <c r="D2">
        <v>2019</v>
      </c>
      <c r="E2">
        <v>2020</v>
      </c>
      <c r="F2">
        <v>2021</v>
      </c>
      <c r="I2">
        <v>2017</v>
      </c>
      <c r="J2">
        <v>2018</v>
      </c>
      <c r="K2">
        <v>2019</v>
      </c>
      <c r="L2">
        <v>2020</v>
      </c>
      <c r="M2">
        <v>2021</v>
      </c>
      <c r="P2">
        <v>2017</v>
      </c>
      <c r="Q2">
        <v>2018</v>
      </c>
      <c r="R2">
        <v>2019</v>
      </c>
      <c r="S2">
        <v>2020</v>
      </c>
      <c r="T2">
        <v>2021</v>
      </c>
    </row>
    <row r="3" spans="1:20" x14ac:dyDescent="0.25">
      <c r="A3" t="s">
        <v>183</v>
      </c>
      <c r="B3" t="s">
        <v>205</v>
      </c>
      <c r="C3" t="s">
        <v>201</v>
      </c>
      <c r="E3" t="s">
        <v>186</v>
      </c>
      <c r="F3" t="s">
        <v>184</v>
      </c>
      <c r="H3" t="s">
        <v>183</v>
      </c>
      <c r="I3" t="s">
        <v>207</v>
      </c>
      <c r="J3" t="s">
        <v>203</v>
      </c>
      <c r="L3" t="s">
        <v>191</v>
      </c>
      <c r="M3" t="s">
        <v>189</v>
      </c>
      <c r="O3" t="s">
        <v>183</v>
      </c>
      <c r="P3" t="s">
        <v>209</v>
      </c>
      <c r="Q3" t="s">
        <v>199</v>
      </c>
      <c r="R3" t="s">
        <v>197</v>
      </c>
      <c r="S3" s="59" t="s">
        <v>195</v>
      </c>
      <c r="T3" s="59" t="s">
        <v>193</v>
      </c>
    </row>
    <row r="4" spans="1:20" x14ac:dyDescent="0.25">
      <c r="A4" t="s">
        <v>182</v>
      </c>
      <c r="B4" s="61">
        <v>2.1</v>
      </c>
      <c r="C4" s="61">
        <v>2</v>
      </c>
      <c r="E4" s="59">
        <v>3.1</v>
      </c>
      <c r="F4" s="59">
        <v>4.3</v>
      </c>
      <c r="H4" t="s">
        <v>182</v>
      </c>
      <c r="I4" s="60">
        <v>0.93</v>
      </c>
      <c r="J4" s="60">
        <v>0.98</v>
      </c>
      <c r="L4">
        <v>0.35</v>
      </c>
      <c r="M4" s="59">
        <v>0.49</v>
      </c>
      <c r="O4" t="s">
        <v>182</v>
      </c>
      <c r="P4" s="59">
        <v>4.9000000000000004</v>
      </c>
      <c r="Q4" s="60">
        <v>5.5</v>
      </c>
      <c r="R4" s="60">
        <v>4</v>
      </c>
      <c r="S4" s="59">
        <v>3.5</v>
      </c>
      <c r="T4" s="59">
        <v>4.9000000000000004</v>
      </c>
    </row>
    <row r="5" spans="1:20" x14ac:dyDescent="0.25">
      <c r="A5" t="s">
        <v>180</v>
      </c>
      <c r="B5" s="59" t="s">
        <v>206</v>
      </c>
      <c r="C5" s="59" t="s">
        <v>202</v>
      </c>
      <c r="E5" s="59" t="s">
        <v>187</v>
      </c>
      <c r="F5" t="s">
        <v>185</v>
      </c>
      <c r="H5" t="s">
        <v>180</v>
      </c>
      <c r="I5" t="s">
        <v>208</v>
      </c>
      <c r="J5" t="s">
        <v>204</v>
      </c>
      <c r="L5" s="59" t="s">
        <v>192</v>
      </c>
      <c r="M5" t="s">
        <v>190</v>
      </c>
      <c r="O5" t="s">
        <v>180</v>
      </c>
      <c r="P5" s="59" t="s">
        <v>210</v>
      </c>
      <c r="Q5" s="60" t="s">
        <v>200</v>
      </c>
      <c r="R5" t="s">
        <v>198</v>
      </c>
      <c r="S5" s="59" t="s">
        <v>196</v>
      </c>
      <c r="T5" s="59" t="s">
        <v>194</v>
      </c>
    </row>
    <row r="6" spans="1:20" x14ac:dyDescent="0.25">
      <c r="A6" s="5" t="s">
        <v>181</v>
      </c>
      <c r="B6" s="62">
        <v>4.7</v>
      </c>
      <c r="C6" s="62">
        <v>5.2</v>
      </c>
      <c r="D6" s="5"/>
      <c r="E6" s="62">
        <v>9.8000000000000007</v>
      </c>
      <c r="F6" s="62">
        <v>13.3</v>
      </c>
      <c r="H6" s="5" t="s">
        <v>181</v>
      </c>
      <c r="I6" s="5">
        <v>26.9</v>
      </c>
      <c r="J6" s="5">
        <v>21.1</v>
      </c>
      <c r="K6" s="5"/>
      <c r="L6" s="62">
        <v>19</v>
      </c>
      <c r="M6" s="62">
        <v>25</v>
      </c>
      <c r="O6" s="5" t="s">
        <v>181</v>
      </c>
      <c r="P6" s="63">
        <v>53</v>
      </c>
      <c r="Q6" s="64">
        <v>53</v>
      </c>
      <c r="R6" s="5">
        <v>38.9</v>
      </c>
      <c r="S6" s="62">
        <v>37.1</v>
      </c>
      <c r="T6" s="62">
        <v>42.3</v>
      </c>
    </row>
    <row r="7" spans="1:20" x14ac:dyDescent="0.25">
      <c r="A7" t="s">
        <v>211</v>
      </c>
      <c r="B7" t="s">
        <v>213</v>
      </c>
      <c r="C7" t="s">
        <v>214</v>
      </c>
      <c r="E7" t="s">
        <v>215</v>
      </c>
      <c r="F7" t="s">
        <v>215</v>
      </c>
      <c r="H7" t="s">
        <v>211</v>
      </c>
      <c r="I7" t="s">
        <v>213</v>
      </c>
      <c r="J7" t="s">
        <v>214</v>
      </c>
      <c r="L7" t="s">
        <v>214</v>
      </c>
      <c r="M7" t="s">
        <v>213</v>
      </c>
      <c r="O7" t="s">
        <v>211</v>
      </c>
      <c r="P7" t="s">
        <v>214</v>
      </c>
      <c r="Q7" t="s">
        <v>214</v>
      </c>
      <c r="R7" t="s">
        <v>214</v>
      </c>
      <c r="S7" t="s">
        <v>215</v>
      </c>
      <c r="T7" t="s">
        <v>215</v>
      </c>
    </row>
    <row r="8" spans="1:20" x14ac:dyDescent="0.25">
      <c r="A8" t="s">
        <v>212</v>
      </c>
      <c r="B8" t="s">
        <v>214</v>
      </c>
      <c r="C8" t="s">
        <v>213</v>
      </c>
      <c r="E8" s="65" t="s">
        <v>215</v>
      </c>
      <c r="F8" s="65" t="s">
        <v>215</v>
      </c>
      <c r="H8" t="s">
        <v>212</v>
      </c>
      <c r="I8" t="s">
        <v>215</v>
      </c>
      <c r="J8" t="s">
        <v>214</v>
      </c>
      <c r="L8" t="s">
        <v>214</v>
      </c>
      <c r="M8" s="65" t="s">
        <v>215</v>
      </c>
      <c r="O8" t="s">
        <v>212</v>
      </c>
      <c r="P8" t="s">
        <v>213</v>
      </c>
      <c r="Q8" s="66" t="s">
        <v>214</v>
      </c>
      <c r="R8" t="s">
        <v>214</v>
      </c>
      <c r="S8" s="65" t="s">
        <v>214</v>
      </c>
      <c r="T8" s="65" t="s">
        <v>215</v>
      </c>
    </row>
  </sheetData>
  <mergeCells count="3">
    <mergeCell ref="A1:F1"/>
    <mergeCell ref="H1:M1"/>
    <mergeCell ref="O1:T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Valuation</vt:lpstr>
      <vt:lpstr>Central sheet </vt:lpstr>
      <vt:lpstr>DCF Guanacevi</vt:lpstr>
      <vt:lpstr>DCF Bolanitos</vt:lpstr>
      <vt:lpstr>DCF Terronera</vt:lpstr>
      <vt:lpstr>WACC</vt:lpstr>
      <vt:lpstr>Auxiliary</vt:lpstr>
      <vt:lpstr>Guidance vs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ASUS</cp:lastModifiedBy>
  <dcterms:created xsi:type="dcterms:W3CDTF">2022-05-23T20:28:36Z</dcterms:created>
  <dcterms:modified xsi:type="dcterms:W3CDTF">2022-07-30T14:52:59Z</dcterms:modified>
</cp:coreProperties>
</file>