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mh\Desktop\WALKMAN\"/>
    </mc:Choice>
  </mc:AlternateContent>
  <xr:revisionPtr revIDLastSave="0" documentId="13_ncr:1_{B5BD48FE-5A8E-410F-82DA-6F72C6553770}" xr6:coauthVersionLast="47" xr6:coauthVersionMax="47" xr10:uidLastSave="{00000000-0000-0000-0000-000000000000}"/>
  <bookViews>
    <workbookView xWindow="39930" yWindow="1035" windowWidth="26220" windowHeight="12390" activeTab="2" xr2:uid="{54EA6E1F-533B-456A-B598-87E5850D411A}"/>
  </bookViews>
  <sheets>
    <sheet name="Valuation" sheetId="12" r:id="rId1"/>
    <sheet name="Central sheet" sheetId="10" r:id="rId2"/>
    <sheet name="All inclusive sheet" sheetId="11" r:id="rId3"/>
    <sheet name="DCF Caylloma" sheetId="1" r:id="rId4"/>
    <sheet name="DCF San Jose" sheetId="5" r:id="rId5"/>
    <sheet name="DCF Lindero" sheetId="6" r:id="rId6"/>
    <sheet name="DCF Yaramoko" sheetId="8" r:id="rId7"/>
    <sheet name="DCF Seguela" sheetId="9" r:id="rId8"/>
    <sheet name="Auxiliary" sheetId="2" r:id="rId9"/>
    <sheet name="WACC" sheetId="4" r:id="rId10"/>
    <sheet name="Guidance vs results" sheetId="3" r:id="rId11"/>
    <sheet name="Auxiliary calculations Lindero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8" i="11" l="1"/>
  <c r="M77" i="10" s="1"/>
  <c r="L51" i="8"/>
  <c r="R91" i="1"/>
  <c r="L79" i="1"/>
  <c r="L78" i="1"/>
  <c r="K78" i="1"/>
  <c r="C6" i="12"/>
  <c r="C10" i="12"/>
  <c r="C4" i="12"/>
  <c r="K23" i="10"/>
  <c r="K24" i="10"/>
  <c r="K25" i="10"/>
  <c r="K22" i="10"/>
  <c r="K33" i="10"/>
  <c r="K35" i="10"/>
  <c r="K36" i="10"/>
  <c r="K37" i="10"/>
  <c r="K34" i="10"/>
  <c r="K42" i="10"/>
  <c r="K41" i="10"/>
  <c r="K40" i="10"/>
  <c r="K39" i="10"/>
  <c r="K45" i="10"/>
  <c r="K46" i="10"/>
  <c r="K47" i="10"/>
  <c r="K44" i="10"/>
  <c r="K50" i="10"/>
  <c r="K51" i="10"/>
  <c r="K52" i="10"/>
  <c r="K49" i="10"/>
  <c r="K56" i="10"/>
  <c r="K57" i="10"/>
  <c r="K58" i="10"/>
  <c r="K59" i="10"/>
  <c r="K55" i="10"/>
  <c r="K60" i="10"/>
  <c r="K63" i="10"/>
  <c r="K64" i="10"/>
  <c r="K65" i="10"/>
  <c r="K66" i="10"/>
  <c r="K67" i="10"/>
  <c r="K68" i="10"/>
  <c r="K69" i="10"/>
  <c r="F79" i="10"/>
  <c r="G79" i="10"/>
  <c r="H79" i="10"/>
  <c r="I79" i="10"/>
  <c r="J79" i="10"/>
  <c r="E79" i="10"/>
  <c r="F77" i="10"/>
  <c r="G77" i="10"/>
  <c r="H77" i="10"/>
  <c r="I77" i="10"/>
  <c r="J77" i="10"/>
  <c r="L83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L82" i="10"/>
  <c r="E83" i="10"/>
  <c r="E85" i="10"/>
  <c r="F85" i="10"/>
  <c r="G85" i="10"/>
  <c r="H85" i="10"/>
  <c r="I85" i="10"/>
  <c r="J85" i="10"/>
  <c r="E86" i="10"/>
  <c r="F86" i="10"/>
  <c r="G86" i="10"/>
  <c r="H86" i="10"/>
  <c r="I86" i="10"/>
  <c r="J86" i="10"/>
  <c r="E87" i="10"/>
  <c r="F87" i="10"/>
  <c r="G87" i="10"/>
  <c r="H87" i="10"/>
  <c r="I87" i="10"/>
  <c r="J87" i="10"/>
  <c r="F82" i="10"/>
  <c r="G82" i="10"/>
  <c r="H82" i="10"/>
  <c r="I82" i="10"/>
  <c r="J82" i="10"/>
  <c r="E82" i="10"/>
  <c r="M76" i="10"/>
  <c r="N76" i="10"/>
  <c r="O76" i="10"/>
  <c r="P76" i="10"/>
  <c r="Q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N77" i="10"/>
  <c r="O77" i="10"/>
  <c r="P77" i="10"/>
  <c r="Q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L77" i="10"/>
  <c r="L76" i="10"/>
  <c r="F75" i="10"/>
  <c r="G75" i="10"/>
  <c r="H75" i="10"/>
  <c r="I75" i="10"/>
  <c r="J75" i="10"/>
  <c r="F76" i="10"/>
  <c r="G76" i="10"/>
  <c r="H76" i="10"/>
  <c r="I76" i="10"/>
  <c r="J76" i="10"/>
  <c r="E76" i="10"/>
  <c r="M74" i="10"/>
  <c r="N74" i="10"/>
  <c r="O74" i="10"/>
  <c r="P74" i="10"/>
  <c r="Q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M75" i="10"/>
  <c r="N75" i="10"/>
  <c r="O75" i="10"/>
  <c r="P75" i="10"/>
  <c r="Q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L75" i="10"/>
  <c r="F74" i="10"/>
  <c r="G74" i="10"/>
  <c r="H74" i="10"/>
  <c r="I74" i="10"/>
  <c r="J74" i="10"/>
  <c r="E75" i="10"/>
  <c r="L74" i="10"/>
  <c r="E74" i="10"/>
  <c r="M71" i="10"/>
  <c r="N71" i="10"/>
  <c r="O71" i="10"/>
  <c r="P71" i="10"/>
  <c r="Q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L71" i="10"/>
  <c r="F71" i="10"/>
  <c r="G71" i="10"/>
  <c r="H71" i="10"/>
  <c r="I71" i="10"/>
  <c r="J71" i="10"/>
  <c r="E71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L70" i="10"/>
  <c r="M70" i="10"/>
  <c r="N70" i="10"/>
  <c r="O70" i="10"/>
  <c r="P70" i="10"/>
  <c r="Q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L67" i="10"/>
  <c r="E68" i="10"/>
  <c r="F68" i="10"/>
  <c r="G68" i="10"/>
  <c r="H68" i="10"/>
  <c r="I68" i="10"/>
  <c r="J68" i="10"/>
  <c r="E69" i="10"/>
  <c r="F69" i="10"/>
  <c r="G69" i="10"/>
  <c r="H69" i="10"/>
  <c r="I69" i="10"/>
  <c r="J69" i="10"/>
  <c r="E70" i="10"/>
  <c r="F70" i="10"/>
  <c r="G70" i="10"/>
  <c r="H70" i="10"/>
  <c r="I70" i="10"/>
  <c r="J70" i="10"/>
  <c r="F67" i="10"/>
  <c r="G67" i="10"/>
  <c r="H67" i="10"/>
  <c r="I67" i="10"/>
  <c r="J67" i="10"/>
  <c r="E67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L66" i="10"/>
  <c r="F66" i="10"/>
  <c r="G66" i="10"/>
  <c r="H66" i="10"/>
  <c r="I66" i="10"/>
  <c r="J66" i="10"/>
  <c r="E66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L65" i="10"/>
  <c r="F65" i="10"/>
  <c r="G65" i="10"/>
  <c r="H65" i="10"/>
  <c r="I65" i="10"/>
  <c r="J65" i="10"/>
  <c r="E65" i="10"/>
  <c r="N64" i="10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AV64" i="10" s="1"/>
  <c r="AW64" i="10" s="1"/>
  <c r="M64" i="10"/>
  <c r="L64" i="10"/>
  <c r="G64" i="10"/>
  <c r="H64" i="10" s="1"/>
  <c r="I64" i="10" s="1"/>
  <c r="J64" i="10" s="1"/>
  <c r="F64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L63" i="10"/>
  <c r="F63" i="10"/>
  <c r="G63" i="10"/>
  <c r="H63" i="10"/>
  <c r="I63" i="10"/>
  <c r="J63" i="10"/>
  <c r="E63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L60" i="10"/>
  <c r="F60" i="10"/>
  <c r="G60" i="10"/>
  <c r="H60" i="10"/>
  <c r="I60" i="10"/>
  <c r="J60" i="10"/>
  <c r="E60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L55" i="10"/>
  <c r="F59" i="10"/>
  <c r="G59" i="10"/>
  <c r="H59" i="10"/>
  <c r="I59" i="10"/>
  <c r="J59" i="10"/>
  <c r="E59" i="10"/>
  <c r="E56" i="10"/>
  <c r="F56" i="10"/>
  <c r="G56" i="10"/>
  <c r="H56" i="10"/>
  <c r="I56" i="10"/>
  <c r="J56" i="10"/>
  <c r="E57" i="10"/>
  <c r="F57" i="10"/>
  <c r="G57" i="10"/>
  <c r="H57" i="10"/>
  <c r="I57" i="10"/>
  <c r="J57" i="10"/>
  <c r="E58" i="10"/>
  <c r="F58" i="10"/>
  <c r="G58" i="10"/>
  <c r="H58" i="10"/>
  <c r="I58" i="10"/>
  <c r="J58" i="10"/>
  <c r="F55" i="10"/>
  <c r="G55" i="10"/>
  <c r="H55" i="10"/>
  <c r="I55" i="10"/>
  <c r="J55" i="10"/>
  <c r="E55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L49" i="10"/>
  <c r="E50" i="10"/>
  <c r="F50" i="10"/>
  <c r="G50" i="10"/>
  <c r="H50" i="10"/>
  <c r="I50" i="10"/>
  <c r="J50" i="10"/>
  <c r="E51" i="10"/>
  <c r="F51" i="10"/>
  <c r="G51" i="10"/>
  <c r="H51" i="10"/>
  <c r="I51" i="10"/>
  <c r="J51" i="10"/>
  <c r="E52" i="10"/>
  <c r="F52" i="10"/>
  <c r="G52" i="10"/>
  <c r="H52" i="10"/>
  <c r="I52" i="10"/>
  <c r="J52" i="10"/>
  <c r="F49" i="10"/>
  <c r="G49" i="10"/>
  <c r="H49" i="10"/>
  <c r="I49" i="10"/>
  <c r="J49" i="10"/>
  <c r="E49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L44" i="10"/>
  <c r="E45" i="10"/>
  <c r="F45" i="10"/>
  <c r="G45" i="10"/>
  <c r="H45" i="10"/>
  <c r="I45" i="10"/>
  <c r="J45" i="10"/>
  <c r="E46" i="10"/>
  <c r="F46" i="10"/>
  <c r="G46" i="10"/>
  <c r="H46" i="10"/>
  <c r="I46" i="10"/>
  <c r="J46" i="10"/>
  <c r="E47" i="10"/>
  <c r="F47" i="10"/>
  <c r="G47" i="10"/>
  <c r="H47" i="10"/>
  <c r="I47" i="10"/>
  <c r="J47" i="10"/>
  <c r="F44" i="10"/>
  <c r="G44" i="10"/>
  <c r="H44" i="10"/>
  <c r="I44" i="10"/>
  <c r="J44" i="10"/>
  <c r="E44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L39" i="10"/>
  <c r="E40" i="10"/>
  <c r="F40" i="10"/>
  <c r="G40" i="10"/>
  <c r="H40" i="10"/>
  <c r="I40" i="10"/>
  <c r="J40" i="10"/>
  <c r="E41" i="10"/>
  <c r="F41" i="10"/>
  <c r="G41" i="10"/>
  <c r="H41" i="10"/>
  <c r="I41" i="10"/>
  <c r="J41" i="10"/>
  <c r="E42" i="10"/>
  <c r="F42" i="10"/>
  <c r="G42" i="10"/>
  <c r="H42" i="10"/>
  <c r="I42" i="10"/>
  <c r="J42" i="10"/>
  <c r="F39" i="10"/>
  <c r="G39" i="10"/>
  <c r="H39" i="10"/>
  <c r="I39" i="10"/>
  <c r="J39" i="10"/>
  <c r="E39" i="10"/>
  <c r="E34" i="10"/>
  <c r="F34" i="10"/>
  <c r="G34" i="10"/>
  <c r="H34" i="10"/>
  <c r="I34" i="10"/>
  <c r="J34" i="10"/>
  <c r="E35" i="10"/>
  <c r="F35" i="10"/>
  <c r="G35" i="10"/>
  <c r="H35" i="10"/>
  <c r="I35" i="10"/>
  <c r="J35" i="10"/>
  <c r="E36" i="10"/>
  <c r="F36" i="10"/>
  <c r="G36" i="10"/>
  <c r="H36" i="10"/>
  <c r="I36" i="10"/>
  <c r="J36" i="10"/>
  <c r="E37" i="10"/>
  <c r="F37" i="10"/>
  <c r="G37" i="10"/>
  <c r="H37" i="10"/>
  <c r="I37" i="10"/>
  <c r="J37" i="10"/>
  <c r="F33" i="10"/>
  <c r="G33" i="10"/>
  <c r="H33" i="10"/>
  <c r="I33" i="10"/>
  <c r="J33" i="10"/>
  <c r="E33" i="10"/>
  <c r="K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O126" i="11"/>
  <c r="M126" i="11"/>
  <c r="N126" i="11"/>
  <c r="L126" i="11"/>
  <c r="K22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L127" i="11"/>
  <c r="K127" i="11" s="1"/>
  <c r="J127" i="11"/>
  <c r="I127" i="11"/>
  <c r="F127" i="11"/>
  <c r="G127" i="11"/>
  <c r="H127" i="11"/>
  <c r="E127" i="11"/>
  <c r="L125" i="11"/>
  <c r="L84" i="10" s="1"/>
  <c r="M124" i="11"/>
  <c r="M83" i="10" s="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L123" i="11"/>
  <c r="K123" i="11" s="1"/>
  <c r="F124" i="11"/>
  <c r="G124" i="11" s="1"/>
  <c r="H124" i="11" s="1"/>
  <c r="I124" i="11" s="1"/>
  <c r="I83" i="10" s="1"/>
  <c r="F123" i="11"/>
  <c r="G123" i="11"/>
  <c r="H123" i="11"/>
  <c r="I123" i="11"/>
  <c r="J123" i="11"/>
  <c r="E123" i="11"/>
  <c r="E125" i="11" s="1"/>
  <c r="L119" i="11"/>
  <c r="L78" i="10" s="1"/>
  <c r="F118" i="11"/>
  <c r="G118" i="11"/>
  <c r="H118" i="11"/>
  <c r="I118" i="11"/>
  <c r="J118" i="11"/>
  <c r="E118" i="11"/>
  <c r="E77" i="10" s="1"/>
  <c r="AM116" i="11"/>
  <c r="AN116" i="11"/>
  <c r="AO116" i="11"/>
  <c r="AP116" i="11"/>
  <c r="AQ116" i="11"/>
  <c r="AR116" i="11"/>
  <c r="AS116" i="11"/>
  <c r="AT116" i="11"/>
  <c r="AU116" i="11"/>
  <c r="AV116" i="11"/>
  <c r="AW116" i="11"/>
  <c r="E116" i="11"/>
  <c r="F116" i="11"/>
  <c r="G116" i="11"/>
  <c r="H116" i="11"/>
  <c r="I116" i="11"/>
  <c r="J116" i="11"/>
  <c r="M107" i="11"/>
  <c r="N107" i="11"/>
  <c r="O107" i="11"/>
  <c r="L107" i="11"/>
  <c r="M90" i="11"/>
  <c r="N90" i="11" s="1"/>
  <c r="O90" i="11" s="1"/>
  <c r="P90" i="11" s="1"/>
  <c r="Q90" i="11" s="1"/>
  <c r="R90" i="11" s="1"/>
  <c r="S90" i="11" s="1"/>
  <c r="T90" i="11" s="1"/>
  <c r="F89" i="11"/>
  <c r="F91" i="11" s="1"/>
  <c r="F108" i="11" s="1"/>
  <c r="G89" i="11"/>
  <c r="G91" i="11" s="1"/>
  <c r="G108" i="11" s="1"/>
  <c r="H89" i="11"/>
  <c r="H91" i="11" s="1"/>
  <c r="H108" i="11" s="1"/>
  <c r="I89" i="11"/>
  <c r="I91" i="11" s="1"/>
  <c r="I108" i="11" s="1"/>
  <c r="J89" i="11"/>
  <c r="J91" i="11" s="1"/>
  <c r="J108" i="11" s="1"/>
  <c r="E89" i="11"/>
  <c r="E91" i="11" s="1"/>
  <c r="E108" i="11" s="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L84" i="11"/>
  <c r="K84" i="11" s="1"/>
  <c r="F84" i="11"/>
  <c r="G84" i="11"/>
  <c r="H84" i="11"/>
  <c r="I84" i="11"/>
  <c r="J84" i="11"/>
  <c r="E84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L83" i="11"/>
  <c r="K83" i="11" s="1"/>
  <c r="F83" i="11"/>
  <c r="G83" i="11"/>
  <c r="H83" i="11"/>
  <c r="I83" i="11"/>
  <c r="J83" i="11"/>
  <c r="E83" i="11"/>
  <c r="AM74" i="11"/>
  <c r="AN74" i="11"/>
  <c r="AO74" i="11"/>
  <c r="AP74" i="11"/>
  <c r="AQ74" i="11"/>
  <c r="AR74" i="11"/>
  <c r="AS74" i="11"/>
  <c r="AT74" i="11"/>
  <c r="AU74" i="11"/>
  <c r="AV74" i="11"/>
  <c r="AW74" i="11"/>
  <c r="AM73" i="11"/>
  <c r="AN73" i="11"/>
  <c r="AO73" i="11"/>
  <c r="AP73" i="11"/>
  <c r="AQ73" i="11"/>
  <c r="AR73" i="11"/>
  <c r="AS73" i="11"/>
  <c r="AT73" i="11"/>
  <c r="AU73" i="11"/>
  <c r="AV73" i="11"/>
  <c r="AW73" i="11"/>
  <c r="F73" i="11"/>
  <c r="G73" i="11"/>
  <c r="H73" i="11"/>
  <c r="I73" i="11"/>
  <c r="J73" i="11"/>
  <c r="F74" i="11"/>
  <c r="G74" i="11"/>
  <c r="H74" i="11"/>
  <c r="I74" i="11"/>
  <c r="J74" i="11"/>
  <c r="E74" i="11"/>
  <c r="E73" i="11"/>
  <c r="F72" i="11"/>
  <c r="G72" i="11"/>
  <c r="E72" i="11"/>
  <c r="AM71" i="11"/>
  <c r="AN71" i="11"/>
  <c r="AO71" i="11"/>
  <c r="AP71" i="11"/>
  <c r="AQ71" i="11"/>
  <c r="AR71" i="11"/>
  <c r="AS71" i="11"/>
  <c r="AT71" i="11"/>
  <c r="AU71" i="11"/>
  <c r="AV71" i="11"/>
  <c r="AW71" i="11"/>
  <c r="F71" i="11"/>
  <c r="G71" i="11"/>
  <c r="H71" i="11"/>
  <c r="I71" i="11"/>
  <c r="J71" i="11"/>
  <c r="E71" i="11"/>
  <c r="F49" i="11"/>
  <c r="G49" i="11"/>
  <c r="H49" i="11"/>
  <c r="I49" i="11"/>
  <c r="J49" i="11"/>
  <c r="F50" i="11"/>
  <c r="G50" i="11"/>
  <c r="H50" i="11"/>
  <c r="I50" i="11"/>
  <c r="J50" i="11"/>
  <c r="E50" i="11"/>
  <c r="E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L50" i="11"/>
  <c r="K50" i="11" s="1"/>
  <c r="L49" i="11"/>
  <c r="K49" i="11" s="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L68" i="11"/>
  <c r="K68" i="11" s="1"/>
  <c r="L67" i="11"/>
  <c r="K67" i="11" s="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L65" i="11"/>
  <c r="K65" i="11" s="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M62" i="11"/>
  <c r="N62" i="11"/>
  <c r="O62" i="11"/>
  <c r="P62" i="11"/>
  <c r="Q62" i="11"/>
  <c r="R62" i="11"/>
  <c r="K62" i="11" s="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L62" i="11"/>
  <c r="L61" i="11"/>
  <c r="K61" i="11" s="1"/>
  <c r="F61" i="11"/>
  <c r="G61" i="11"/>
  <c r="H61" i="11"/>
  <c r="I61" i="11"/>
  <c r="J61" i="11"/>
  <c r="F62" i="11"/>
  <c r="G62" i="11"/>
  <c r="H62" i="11"/>
  <c r="I62" i="11"/>
  <c r="J62" i="11"/>
  <c r="E62" i="11"/>
  <c r="E61" i="11"/>
  <c r="F67" i="11"/>
  <c r="G67" i="11"/>
  <c r="H67" i="11"/>
  <c r="I67" i="11"/>
  <c r="J67" i="11"/>
  <c r="F68" i="11"/>
  <c r="G68" i="11"/>
  <c r="H68" i="11"/>
  <c r="I68" i="11"/>
  <c r="J68" i="11"/>
  <c r="E68" i="11"/>
  <c r="E67" i="11"/>
  <c r="F66" i="11"/>
  <c r="G66" i="11"/>
  <c r="E66" i="11"/>
  <c r="F65" i="11"/>
  <c r="G65" i="11"/>
  <c r="H65" i="11"/>
  <c r="I65" i="11"/>
  <c r="J65" i="11"/>
  <c r="E6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L56" i="11"/>
  <c r="K56" i="11" s="1"/>
  <c r="L55" i="11"/>
  <c r="K55" i="11" s="1"/>
  <c r="F55" i="11"/>
  <c r="G55" i="11"/>
  <c r="H55" i="11"/>
  <c r="I55" i="11"/>
  <c r="J55" i="11"/>
  <c r="F56" i="11"/>
  <c r="G56" i="11"/>
  <c r="H56" i="11"/>
  <c r="I56" i="11"/>
  <c r="J56" i="11"/>
  <c r="E56" i="11"/>
  <c r="E55" i="11"/>
  <c r="F54" i="11"/>
  <c r="G54" i="11"/>
  <c r="H54" i="11"/>
  <c r="I54" i="11"/>
  <c r="J54" i="11"/>
  <c r="E54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L53" i="11"/>
  <c r="K53" i="11" s="1"/>
  <c r="F53" i="11"/>
  <c r="G53" i="11"/>
  <c r="H53" i="11"/>
  <c r="I53" i="11"/>
  <c r="J53" i="11"/>
  <c r="E5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M44" i="11"/>
  <c r="N44" i="11"/>
  <c r="O44" i="11"/>
  <c r="P44" i="11"/>
  <c r="Q44" i="11"/>
  <c r="R44" i="11"/>
  <c r="S44" i="11"/>
  <c r="T44" i="11"/>
  <c r="U44" i="11"/>
  <c r="V44" i="11"/>
  <c r="W44" i="11"/>
  <c r="K44" i="11" s="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L44" i="11"/>
  <c r="L43" i="11"/>
  <c r="K43" i="11" s="1"/>
  <c r="F43" i="11"/>
  <c r="G43" i="11"/>
  <c r="H43" i="11"/>
  <c r="I43" i="11"/>
  <c r="J43" i="11"/>
  <c r="F44" i="11"/>
  <c r="G44" i="11"/>
  <c r="H44" i="11"/>
  <c r="I44" i="11"/>
  <c r="J44" i="11"/>
  <c r="E44" i="11"/>
  <c r="E43" i="11"/>
  <c r="F42" i="11"/>
  <c r="G42" i="11"/>
  <c r="E42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L41" i="11"/>
  <c r="K41" i="11" s="1"/>
  <c r="F41" i="11"/>
  <c r="G41" i="11"/>
  <c r="H41" i="11"/>
  <c r="I41" i="11"/>
  <c r="J41" i="11"/>
  <c r="E41" i="11"/>
  <c r="F38" i="11"/>
  <c r="G38" i="11"/>
  <c r="H38" i="11"/>
  <c r="I38" i="11"/>
  <c r="J38" i="11"/>
  <c r="E38" i="11"/>
  <c r="F37" i="11"/>
  <c r="G37" i="11"/>
  <c r="H37" i="11"/>
  <c r="I37" i="11"/>
  <c r="J37" i="11"/>
  <c r="E37" i="11"/>
  <c r="F36" i="11"/>
  <c r="G36" i="11"/>
  <c r="H36" i="11"/>
  <c r="I36" i="11"/>
  <c r="J36" i="11"/>
  <c r="E36" i="11"/>
  <c r="F35" i="11"/>
  <c r="G35" i="11"/>
  <c r="H35" i="11"/>
  <c r="I35" i="11"/>
  <c r="J35" i="11"/>
  <c r="E35" i="11"/>
  <c r="I34" i="11"/>
  <c r="I33" i="11" s="1"/>
  <c r="J34" i="11"/>
  <c r="J33" i="11" s="1"/>
  <c r="H34" i="11"/>
  <c r="H33" i="11" s="1"/>
  <c r="F34" i="11"/>
  <c r="F33" i="11" s="1"/>
  <c r="G34" i="11"/>
  <c r="G33" i="11" s="1"/>
  <c r="E34" i="11"/>
  <c r="E33" i="11" s="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L38" i="11"/>
  <c r="K38" i="11" s="1"/>
  <c r="L37" i="11"/>
  <c r="K37" i="11" s="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L35" i="11"/>
  <c r="K35" i="11" s="1"/>
  <c r="M34" i="11"/>
  <c r="M33" i="11" s="1"/>
  <c r="L34" i="11"/>
  <c r="L33" i="11" s="1"/>
  <c r="P25" i="1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N24" i="11"/>
  <c r="O24" i="11" s="1"/>
  <c r="P24" i="11" s="1"/>
  <c r="Q24" i="11" s="1"/>
  <c r="R24" i="11" s="1"/>
  <c r="S24" i="11" s="1"/>
  <c r="T24" i="11" s="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W24" i="11" s="1"/>
  <c r="P23" i="1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V23" i="11" s="1"/>
  <c r="AW23" i="11" s="1"/>
  <c r="P22" i="1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AO22" i="11" s="1"/>
  <c r="AP22" i="11" s="1"/>
  <c r="AQ22" i="11" s="1"/>
  <c r="AR22" i="11" s="1"/>
  <c r="AS22" i="11" s="1"/>
  <c r="AT22" i="11" s="1"/>
  <c r="AU22" i="11" s="1"/>
  <c r="AV22" i="11" s="1"/>
  <c r="AW22" i="11" s="1"/>
  <c r="H14" i="11"/>
  <c r="C14" i="11"/>
  <c r="D14" i="11" s="1"/>
  <c r="E14" i="11" s="1"/>
  <c r="M13" i="11"/>
  <c r="H13" i="11"/>
  <c r="R9" i="11"/>
  <c r="Q9" i="11"/>
  <c r="G9" i="11"/>
  <c r="F9" i="11"/>
  <c r="R8" i="11"/>
  <c r="Q8" i="11"/>
  <c r="N8" i="11"/>
  <c r="G8" i="11"/>
  <c r="F8" i="11"/>
  <c r="C8" i="11"/>
  <c r="AC7" i="11"/>
  <c r="AB7" i="11"/>
  <c r="Y7" i="11"/>
  <c r="R7" i="11"/>
  <c r="Q7" i="11"/>
  <c r="N7" i="11"/>
  <c r="P7" i="11" s="1"/>
  <c r="G7" i="11"/>
  <c r="F7" i="11"/>
  <c r="E7" i="11"/>
  <c r="D7" i="11"/>
  <c r="C7" i="11"/>
  <c r="I12" i="9"/>
  <c r="J12" i="9"/>
  <c r="K12" i="9"/>
  <c r="H12" i="9"/>
  <c r="M14" i="8"/>
  <c r="N14" i="8"/>
  <c r="O14" i="8"/>
  <c r="L14" i="8"/>
  <c r="M14" i="6"/>
  <c r="N14" i="6"/>
  <c r="O14" i="6"/>
  <c r="L14" i="6"/>
  <c r="M14" i="5"/>
  <c r="N14" i="5"/>
  <c r="O14" i="5"/>
  <c r="M15" i="5"/>
  <c r="N15" i="5"/>
  <c r="O15" i="5"/>
  <c r="L15" i="5"/>
  <c r="L14" i="5"/>
  <c r="M14" i="1"/>
  <c r="N14" i="1"/>
  <c r="O14" i="1"/>
  <c r="M15" i="1"/>
  <c r="N15" i="1"/>
  <c r="O15" i="1"/>
  <c r="M16" i="1"/>
  <c r="M17" i="1"/>
  <c r="N17" i="1"/>
  <c r="O17" i="1"/>
  <c r="L15" i="1"/>
  <c r="L16" i="1"/>
  <c r="L17" i="1"/>
  <c r="L14" i="1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L37" i="10"/>
  <c r="L36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L34" i="10"/>
  <c r="M33" i="10"/>
  <c r="L33" i="10"/>
  <c r="O15" i="9"/>
  <c r="P15" i="9" s="1"/>
  <c r="Q15" i="9" s="1"/>
  <c r="R15" i="9" s="1"/>
  <c r="S15" i="9" s="1"/>
  <c r="T15" i="9" s="1"/>
  <c r="U15" i="9" s="1"/>
  <c r="N15" i="9"/>
  <c r="M15" i="9"/>
  <c r="P25" i="10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AR25" i="10" s="1"/>
  <c r="AS25" i="10" s="1"/>
  <c r="AT25" i="10" s="1"/>
  <c r="AU25" i="10" s="1"/>
  <c r="AV25" i="10" s="1"/>
  <c r="AW25" i="10" s="1"/>
  <c r="N24" i="10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AR24" i="10" s="1"/>
  <c r="AS24" i="10" s="1"/>
  <c r="AT24" i="10" s="1"/>
  <c r="AU24" i="10" s="1"/>
  <c r="AV24" i="10" s="1"/>
  <c r="AW24" i="10" s="1"/>
  <c r="P23" i="10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P22" i="10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L14" i="1" s="1"/>
  <c r="M13" i="10"/>
  <c r="N13" i="10" s="1"/>
  <c r="H14" i="10"/>
  <c r="I14" i="10" s="1"/>
  <c r="J14" i="10" s="1"/>
  <c r="H13" i="10"/>
  <c r="C14" i="10"/>
  <c r="G9" i="10"/>
  <c r="F9" i="10"/>
  <c r="R9" i="10"/>
  <c r="Q9" i="10"/>
  <c r="AC7" i="10"/>
  <c r="AB7" i="10"/>
  <c r="Y7" i="10"/>
  <c r="R8" i="10"/>
  <c r="Q8" i="10"/>
  <c r="R7" i="10"/>
  <c r="G8" i="10"/>
  <c r="F8" i="10"/>
  <c r="Q7" i="10"/>
  <c r="N8" i="10"/>
  <c r="O8" i="10" s="1"/>
  <c r="N7" i="10"/>
  <c r="P7" i="10" s="1"/>
  <c r="T7" i="10" s="1"/>
  <c r="C8" i="10"/>
  <c r="E8" i="10" s="1"/>
  <c r="G7" i="10"/>
  <c r="F7" i="10"/>
  <c r="E7" i="10"/>
  <c r="D7" i="10"/>
  <c r="C7" i="10"/>
  <c r="G20" i="9"/>
  <c r="G19" i="9"/>
  <c r="G18" i="9"/>
  <c r="G23" i="9"/>
  <c r="G26" i="9"/>
  <c r="G29" i="9"/>
  <c r="G32" i="9"/>
  <c r="G35" i="9"/>
  <c r="G41" i="9"/>
  <c r="G52" i="9"/>
  <c r="G51" i="9"/>
  <c r="G48" i="9"/>
  <c r="G49" i="9"/>
  <c r="G50" i="9"/>
  <c r="G47" i="9"/>
  <c r="G54" i="9"/>
  <c r="G55" i="9"/>
  <c r="G58" i="9"/>
  <c r="G65" i="9"/>
  <c r="G69" i="9"/>
  <c r="G70" i="9"/>
  <c r="G71" i="9"/>
  <c r="H76" i="9"/>
  <c r="V75" i="9"/>
  <c r="H75" i="9"/>
  <c r="I75" i="9"/>
  <c r="J75" i="9"/>
  <c r="L75" i="9"/>
  <c r="V71" i="9"/>
  <c r="U71" i="9"/>
  <c r="U70" i="9"/>
  <c r="T70" i="9"/>
  <c r="S70" i="9"/>
  <c r="R70" i="9"/>
  <c r="Q70" i="9"/>
  <c r="P70" i="9"/>
  <c r="O70" i="9"/>
  <c r="N70" i="9"/>
  <c r="M70" i="9"/>
  <c r="K69" i="9"/>
  <c r="K75" i="9" s="1"/>
  <c r="J69" i="9"/>
  <c r="E69" i="9"/>
  <c r="U54" i="9"/>
  <c r="T54" i="9"/>
  <c r="S54" i="9"/>
  <c r="R54" i="9"/>
  <c r="Q54" i="9"/>
  <c r="P54" i="9"/>
  <c r="O54" i="9"/>
  <c r="N54" i="9"/>
  <c r="M54" i="9"/>
  <c r="U41" i="9"/>
  <c r="T41" i="9"/>
  <c r="S41" i="9"/>
  <c r="R41" i="9"/>
  <c r="Q41" i="9"/>
  <c r="Q50" i="9" s="1"/>
  <c r="Q55" i="9" s="1"/>
  <c r="P41" i="9"/>
  <c r="O41" i="9"/>
  <c r="O50" i="9" s="1"/>
  <c r="O55" i="9" s="1"/>
  <c r="N41" i="9"/>
  <c r="N50" i="9" s="1"/>
  <c r="N55" i="9" s="1"/>
  <c r="M41" i="9"/>
  <c r="T49" i="9"/>
  <c r="S49" i="9"/>
  <c r="R49" i="9"/>
  <c r="O49" i="9"/>
  <c r="P49" i="9" s="1"/>
  <c r="N49" i="9"/>
  <c r="P48" i="9"/>
  <c r="O48" i="9"/>
  <c r="U49" i="9"/>
  <c r="Q49" i="9"/>
  <c r="M49" i="9"/>
  <c r="T48" i="9"/>
  <c r="S48" i="9"/>
  <c r="R48" i="9"/>
  <c r="Q48" i="9"/>
  <c r="M48" i="9"/>
  <c r="N48" i="9" s="1"/>
  <c r="U47" i="9"/>
  <c r="T47" i="9"/>
  <c r="S47" i="9"/>
  <c r="R47" i="9"/>
  <c r="Q47" i="9"/>
  <c r="P47" i="9"/>
  <c r="O47" i="9"/>
  <c r="N47" i="9"/>
  <c r="M47" i="9"/>
  <c r="U48" i="9"/>
  <c r="N32" i="9"/>
  <c r="O32" i="9" s="1"/>
  <c r="N26" i="9"/>
  <c r="O26" i="9" s="1"/>
  <c r="P26" i="9" s="1"/>
  <c r="Q26" i="9" s="1"/>
  <c r="R26" i="9" s="1"/>
  <c r="S26" i="9" s="1"/>
  <c r="T26" i="9" s="1"/>
  <c r="U26" i="9" s="1"/>
  <c r="O23" i="9"/>
  <c r="Q23" i="9"/>
  <c r="R23" i="9"/>
  <c r="S23" i="9"/>
  <c r="S29" i="9" s="1"/>
  <c r="T23" i="9"/>
  <c r="T29" i="9" s="1"/>
  <c r="U23" i="9"/>
  <c r="M23" i="9"/>
  <c r="M29" i="9" s="1"/>
  <c r="M35" i="9" s="1"/>
  <c r="U18" i="9"/>
  <c r="S18" i="9"/>
  <c r="T18" i="9"/>
  <c r="R18" i="9"/>
  <c r="Q18" i="9"/>
  <c r="O18" i="9"/>
  <c r="M18" i="9"/>
  <c r="P19" i="9"/>
  <c r="P23" i="9" s="1"/>
  <c r="P29" i="9" s="1"/>
  <c r="N19" i="9"/>
  <c r="N23" i="9" s="1"/>
  <c r="N29" i="9" s="1"/>
  <c r="G15" i="9"/>
  <c r="H15" i="9"/>
  <c r="I15" i="9" s="1"/>
  <c r="J15" i="9" s="1"/>
  <c r="K15" i="9" s="1"/>
  <c r="L15" i="9" s="1"/>
  <c r="F15" i="9"/>
  <c r="P7" i="9"/>
  <c r="K7" i="9"/>
  <c r="F7" i="9"/>
  <c r="K76" i="8"/>
  <c r="K75" i="8"/>
  <c r="K71" i="8"/>
  <c r="K62" i="8"/>
  <c r="K63" i="8"/>
  <c r="K61" i="8"/>
  <c r="K59" i="8"/>
  <c r="K58" i="8"/>
  <c r="K57" i="8"/>
  <c r="K51" i="8"/>
  <c r="K45" i="8"/>
  <c r="K42" i="8"/>
  <c r="J81" i="8"/>
  <c r="I81" i="8"/>
  <c r="R62" i="8"/>
  <c r="S62" i="8"/>
  <c r="T62" i="8"/>
  <c r="U62" i="8"/>
  <c r="V62" i="8"/>
  <c r="W62" i="8"/>
  <c r="X62" i="8"/>
  <c r="Y62" i="8"/>
  <c r="P62" i="8"/>
  <c r="Q62" i="8"/>
  <c r="Q63" i="8" s="1"/>
  <c r="O62" i="8"/>
  <c r="M62" i="8"/>
  <c r="L62" i="8"/>
  <c r="N62" i="8"/>
  <c r="J78" i="8"/>
  <c r="I78" i="8"/>
  <c r="O77" i="8"/>
  <c r="P77" i="8"/>
  <c r="Q77" i="8"/>
  <c r="R77" i="8"/>
  <c r="S77" i="8"/>
  <c r="T77" i="8"/>
  <c r="U77" i="8"/>
  <c r="V77" i="8"/>
  <c r="W77" i="8"/>
  <c r="X77" i="8"/>
  <c r="Y77" i="8"/>
  <c r="N77" i="8"/>
  <c r="N76" i="8"/>
  <c r="P76" i="8"/>
  <c r="Q76" i="8"/>
  <c r="R76" i="8"/>
  <c r="S76" i="8"/>
  <c r="T76" i="8"/>
  <c r="U76" i="8"/>
  <c r="V76" i="8"/>
  <c r="W76" i="8"/>
  <c r="X76" i="8"/>
  <c r="Y76" i="8"/>
  <c r="O76" i="8"/>
  <c r="M76" i="8"/>
  <c r="L76" i="8"/>
  <c r="Q75" i="8"/>
  <c r="R75" i="8"/>
  <c r="S75" i="8"/>
  <c r="T75" i="8"/>
  <c r="U75" i="8"/>
  <c r="V75" i="8"/>
  <c r="W75" i="8"/>
  <c r="X75" i="8"/>
  <c r="Y75" i="8"/>
  <c r="P75" i="8"/>
  <c r="O75" i="8"/>
  <c r="M75" i="8"/>
  <c r="N75" i="8"/>
  <c r="L75" i="8"/>
  <c r="N71" i="8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M71" i="8"/>
  <c r="J71" i="8"/>
  <c r="I71" i="8"/>
  <c r="J63" i="8"/>
  <c r="I63" i="8"/>
  <c r="M61" i="8"/>
  <c r="N61" i="8"/>
  <c r="O61" i="8"/>
  <c r="L61" i="8"/>
  <c r="O58" i="8"/>
  <c r="O63" i="8" s="1"/>
  <c r="L58" i="8"/>
  <c r="L63" i="8" s="1"/>
  <c r="J57" i="8"/>
  <c r="I57" i="8"/>
  <c r="J48" i="8"/>
  <c r="J45" i="8"/>
  <c r="J59" i="8" s="1"/>
  <c r="K18" i="8"/>
  <c r="K19" i="5"/>
  <c r="K18" i="5"/>
  <c r="O30" i="8"/>
  <c r="M36" i="8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M29" i="8"/>
  <c r="M28" i="8" s="1"/>
  <c r="N29" i="8"/>
  <c r="N28" i="8" s="1"/>
  <c r="L29" i="8"/>
  <c r="L28" i="8" s="1"/>
  <c r="I28" i="8"/>
  <c r="J33" i="8"/>
  <c r="I33" i="8"/>
  <c r="I36" i="8" s="1"/>
  <c r="L17" i="8"/>
  <c r="J25" i="8"/>
  <c r="L25" i="8" s="1"/>
  <c r="K25" i="8" s="1"/>
  <c r="J22" i="8"/>
  <c r="L22" i="8" s="1"/>
  <c r="K22" i="8" s="1"/>
  <c r="J21" i="8"/>
  <c r="L21" i="8" s="1"/>
  <c r="K21" i="8" s="1"/>
  <c r="J18" i="8"/>
  <c r="L18" i="8" s="1"/>
  <c r="F7" i="8"/>
  <c r="K17" i="8" s="1"/>
  <c r="J28" i="8"/>
  <c r="K9" i="8"/>
  <c r="L9" i="8" s="1"/>
  <c r="M8" i="8"/>
  <c r="H8" i="8"/>
  <c r="R7" i="8"/>
  <c r="M7" i="8"/>
  <c r="K42" i="6"/>
  <c r="K36" i="6"/>
  <c r="J78" i="6"/>
  <c r="I78" i="6"/>
  <c r="B21" i="7"/>
  <c r="B20" i="7"/>
  <c r="D18" i="7"/>
  <c r="E18" i="7"/>
  <c r="F18" i="7"/>
  <c r="G18" i="7"/>
  <c r="H18" i="7"/>
  <c r="I18" i="7"/>
  <c r="J18" i="7"/>
  <c r="K18" i="7"/>
  <c r="L18" i="7"/>
  <c r="C18" i="7"/>
  <c r="D16" i="7"/>
  <c r="E16" i="7"/>
  <c r="F16" i="7"/>
  <c r="G16" i="7"/>
  <c r="H16" i="7"/>
  <c r="I16" i="7"/>
  <c r="J16" i="7"/>
  <c r="K16" i="7"/>
  <c r="L16" i="7"/>
  <c r="M16" i="7"/>
  <c r="N16" i="7"/>
  <c r="C16" i="7"/>
  <c r="O73" i="6"/>
  <c r="M73" i="6"/>
  <c r="N73" i="6"/>
  <c r="L73" i="6"/>
  <c r="O72" i="6"/>
  <c r="M72" i="6"/>
  <c r="N72" i="6"/>
  <c r="L72" i="6"/>
  <c r="N67" i="6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AF67" i="6" s="1"/>
  <c r="AG67" i="6" s="1"/>
  <c r="AH67" i="6" s="1"/>
  <c r="AI67" i="6" s="1"/>
  <c r="AJ67" i="6" s="1"/>
  <c r="AK67" i="6" s="1"/>
  <c r="AL67" i="6" s="1"/>
  <c r="AM67" i="6" s="1"/>
  <c r="AN67" i="6" s="1"/>
  <c r="AO67" i="6" s="1"/>
  <c r="AP67" i="6" s="1"/>
  <c r="AQ67" i="6" s="1"/>
  <c r="AR67" i="6" s="1"/>
  <c r="AS67" i="6" s="1"/>
  <c r="AT67" i="6" s="1"/>
  <c r="AU67" i="6" s="1"/>
  <c r="AV67" i="6" s="1"/>
  <c r="AW67" i="6" s="1"/>
  <c r="M67" i="6"/>
  <c r="I67" i="6"/>
  <c r="C11" i="7"/>
  <c r="F9" i="7"/>
  <c r="G9" i="7"/>
  <c r="H9" i="7"/>
  <c r="I9" i="7"/>
  <c r="J9" i="7"/>
  <c r="K9" i="7"/>
  <c r="L9" i="7"/>
  <c r="M9" i="7"/>
  <c r="N9" i="7"/>
  <c r="O9" i="7"/>
  <c r="D9" i="7"/>
  <c r="E9" i="7"/>
  <c r="C4" i="7"/>
  <c r="C9" i="7"/>
  <c r="E4" i="7"/>
  <c r="J59" i="6"/>
  <c r="J75" i="6" s="1"/>
  <c r="I59" i="6"/>
  <c r="I75" i="6" s="1"/>
  <c r="M57" i="6"/>
  <c r="M104" i="11" s="1"/>
  <c r="N57" i="6"/>
  <c r="N104" i="11" s="1"/>
  <c r="O57" i="6"/>
  <c r="O104" i="11" s="1"/>
  <c r="L57" i="6"/>
  <c r="L59" i="6" s="1"/>
  <c r="M54" i="6"/>
  <c r="M89" i="11" s="1"/>
  <c r="M91" i="11" s="1"/>
  <c r="L54" i="6"/>
  <c r="L89" i="11" s="1"/>
  <c r="L91" i="11" s="1"/>
  <c r="J53" i="6"/>
  <c r="I53" i="6"/>
  <c r="I45" i="6"/>
  <c r="I48" i="6" s="1"/>
  <c r="I72" i="11" s="1"/>
  <c r="J45" i="6"/>
  <c r="J48" i="6" s="1"/>
  <c r="J72" i="11" s="1"/>
  <c r="H45" i="6"/>
  <c r="H48" i="6" s="1"/>
  <c r="H72" i="11" s="1"/>
  <c r="O21" i="1"/>
  <c r="O19" i="5"/>
  <c r="M30" i="6"/>
  <c r="M33" i="6" s="1"/>
  <c r="M39" i="6" s="1"/>
  <c r="M45" i="6" s="1"/>
  <c r="M48" i="6" s="1"/>
  <c r="N30" i="6"/>
  <c r="L30" i="6"/>
  <c r="L33" i="6" s="1"/>
  <c r="L39" i="6" s="1"/>
  <c r="L54" i="11" s="1"/>
  <c r="P28" i="6"/>
  <c r="M28" i="6"/>
  <c r="L28" i="6"/>
  <c r="J25" i="6"/>
  <c r="L25" i="6" s="1"/>
  <c r="J22" i="6"/>
  <c r="L22" i="6" s="1"/>
  <c r="J21" i="6"/>
  <c r="L21" i="6" s="1"/>
  <c r="J18" i="6"/>
  <c r="K18" i="6" s="1"/>
  <c r="N29" i="6"/>
  <c r="N28" i="6" s="1"/>
  <c r="H33" i="6"/>
  <c r="H36" i="6" s="1"/>
  <c r="I33" i="6"/>
  <c r="I36" i="6" s="1"/>
  <c r="J33" i="6"/>
  <c r="J36" i="6" s="1"/>
  <c r="R7" i="6"/>
  <c r="M8" i="6"/>
  <c r="M7" i="6"/>
  <c r="K9" i="6"/>
  <c r="L9" i="6" s="1"/>
  <c r="H8" i="6"/>
  <c r="F7" i="6"/>
  <c r="L17" i="6" s="1"/>
  <c r="K17" i="6" s="1"/>
  <c r="J28" i="6"/>
  <c r="I28" i="6"/>
  <c r="H28" i="6"/>
  <c r="K86" i="5"/>
  <c r="F96" i="5"/>
  <c r="G96" i="5"/>
  <c r="H96" i="5"/>
  <c r="I96" i="5"/>
  <c r="J96" i="5"/>
  <c r="E96" i="5"/>
  <c r="F93" i="5"/>
  <c r="G93" i="5"/>
  <c r="H93" i="5"/>
  <c r="I93" i="5"/>
  <c r="J93" i="5"/>
  <c r="E93" i="5"/>
  <c r="Y75" i="5"/>
  <c r="Z75" i="5"/>
  <c r="M75" i="5"/>
  <c r="N75" i="5"/>
  <c r="O75" i="5"/>
  <c r="L75" i="5"/>
  <c r="K39" i="5"/>
  <c r="M91" i="5"/>
  <c r="N91" i="5"/>
  <c r="L91" i="5"/>
  <c r="Y90" i="5"/>
  <c r="Z90" i="5"/>
  <c r="M90" i="5"/>
  <c r="N90" i="5"/>
  <c r="O90" i="5"/>
  <c r="L90" i="5"/>
  <c r="N86" i="5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M86" i="5"/>
  <c r="F86" i="5"/>
  <c r="G86" i="5"/>
  <c r="H86" i="5"/>
  <c r="I86" i="5"/>
  <c r="J86" i="5"/>
  <c r="E86" i="5"/>
  <c r="F76" i="5"/>
  <c r="G76" i="5"/>
  <c r="H76" i="5"/>
  <c r="I76" i="5"/>
  <c r="N69" i="5"/>
  <c r="F69" i="5"/>
  <c r="G69" i="5"/>
  <c r="H69" i="5"/>
  <c r="I69" i="5"/>
  <c r="J69" i="5"/>
  <c r="E69" i="5"/>
  <c r="F71" i="5"/>
  <c r="G71" i="5"/>
  <c r="H71" i="5"/>
  <c r="I71" i="5"/>
  <c r="J71" i="5"/>
  <c r="J76" i="5" s="1"/>
  <c r="E71" i="5"/>
  <c r="E76" i="5" s="1"/>
  <c r="E85" i="1"/>
  <c r="K85" i="10" l="1"/>
  <c r="K87" i="10"/>
  <c r="K86" i="10"/>
  <c r="F83" i="10"/>
  <c r="H125" i="11"/>
  <c r="H131" i="11" s="1"/>
  <c r="F125" i="11"/>
  <c r="F84" i="10" s="1"/>
  <c r="G83" i="10"/>
  <c r="K82" i="10"/>
  <c r="E140" i="11"/>
  <c r="E91" i="10" s="1"/>
  <c r="E84" i="10"/>
  <c r="N124" i="11"/>
  <c r="H83" i="10"/>
  <c r="G125" i="11"/>
  <c r="M125" i="11"/>
  <c r="M84" i="10" s="1"/>
  <c r="E131" i="11"/>
  <c r="E133" i="11" s="1"/>
  <c r="T12" i="9"/>
  <c r="AA14" i="6"/>
  <c r="AK16" i="1"/>
  <c r="Y16" i="1"/>
  <c r="U15" i="5"/>
  <c r="AA15" i="1"/>
  <c r="V14" i="8"/>
  <c r="W14" i="5"/>
  <c r="AI17" i="1"/>
  <c r="AC14" i="1"/>
  <c r="W17" i="1"/>
  <c r="Q14" i="1"/>
  <c r="AN23" i="10"/>
  <c r="AM14" i="6"/>
  <c r="AB17" i="1"/>
  <c r="P17" i="1"/>
  <c r="AD16" i="1"/>
  <c r="R16" i="1"/>
  <c r="AF15" i="1"/>
  <c r="T15" i="1"/>
  <c r="AH14" i="1"/>
  <c r="V14" i="1"/>
  <c r="Z15" i="5"/>
  <c r="P14" i="5"/>
  <c r="AF14" i="6"/>
  <c r="T14" i="6"/>
  <c r="AM22" i="10"/>
  <c r="AN22" i="10" s="1"/>
  <c r="AO22" i="10" s="1"/>
  <c r="AP22" i="10" s="1"/>
  <c r="AQ22" i="10" s="1"/>
  <c r="AR22" i="10" s="1"/>
  <c r="AS22" i="10" s="1"/>
  <c r="AT22" i="10" s="1"/>
  <c r="AU22" i="10" s="1"/>
  <c r="AV22" i="10" s="1"/>
  <c r="AW22" i="10" s="1"/>
  <c r="M12" i="9"/>
  <c r="AA17" i="1"/>
  <c r="AC16" i="1"/>
  <c r="Q16" i="1"/>
  <c r="AE15" i="1"/>
  <c r="S15" i="1"/>
  <c r="AG14" i="1"/>
  <c r="U14" i="1"/>
  <c r="Y15" i="5"/>
  <c r="AE14" i="6"/>
  <c r="S14" i="6"/>
  <c r="L12" i="9"/>
  <c r="AL17" i="1"/>
  <c r="Z17" i="1"/>
  <c r="AB16" i="1"/>
  <c r="P16" i="1"/>
  <c r="AD15" i="1"/>
  <c r="R15" i="1"/>
  <c r="AF14" i="1"/>
  <c r="T14" i="1"/>
  <c r="X15" i="5"/>
  <c r="Z14" i="5"/>
  <c r="AD14" i="6"/>
  <c r="R14" i="6"/>
  <c r="Y14" i="8"/>
  <c r="AK17" i="1"/>
  <c r="Y17" i="1"/>
  <c r="AA16" i="1"/>
  <c r="O16" i="1"/>
  <c r="AC15" i="1"/>
  <c r="Q15" i="1"/>
  <c r="AE14" i="1"/>
  <c r="S14" i="1"/>
  <c r="W15" i="5"/>
  <c r="Y14" i="5"/>
  <c r="AC14" i="6"/>
  <c r="Q14" i="6"/>
  <c r="X14" i="8"/>
  <c r="AJ17" i="1"/>
  <c r="X17" i="1"/>
  <c r="AL16" i="1"/>
  <c r="Z16" i="1"/>
  <c r="N16" i="1"/>
  <c r="AB15" i="1"/>
  <c r="P15" i="1"/>
  <c r="AD14" i="1"/>
  <c r="R14" i="1"/>
  <c r="V15" i="5"/>
  <c r="X14" i="5"/>
  <c r="AB14" i="6"/>
  <c r="P14" i="6"/>
  <c r="W14" i="8"/>
  <c r="U12" i="9"/>
  <c r="AH17" i="1"/>
  <c r="V17" i="1"/>
  <c r="AJ16" i="1"/>
  <c r="X16" i="1"/>
  <c r="AL15" i="1"/>
  <c r="Z15" i="1"/>
  <c r="AB14" i="1"/>
  <c r="P14" i="1"/>
  <c r="T15" i="5"/>
  <c r="V14" i="5"/>
  <c r="AL14" i="6"/>
  <c r="Z14" i="6"/>
  <c r="U14" i="8"/>
  <c r="S12" i="9"/>
  <c r="AG17" i="1"/>
  <c r="U17" i="1"/>
  <c r="AI16" i="1"/>
  <c r="W16" i="1"/>
  <c r="AK15" i="1"/>
  <c r="Y15" i="1"/>
  <c r="AA14" i="1"/>
  <c r="S15" i="5"/>
  <c r="U14" i="5"/>
  <c r="AK14" i="6"/>
  <c r="Y14" i="6"/>
  <c r="T14" i="8"/>
  <c r="R12" i="9"/>
  <c r="AF17" i="1"/>
  <c r="T17" i="1"/>
  <c r="AH16" i="1"/>
  <c r="V16" i="1"/>
  <c r="AJ15" i="1"/>
  <c r="X15" i="1"/>
  <c r="Z14" i="1"/>
  <c r="R15" i="5"/>
  <c r="T14" i="5"/>
  <c r="AJ14" i="6"/>
  <c r="X14" i="6"/>
  <c r="S14" i="8"/>
  <c r="Q12" i="9"/>
  <c r="AE17" i="1"/>
  <c r="S17" i="1"/>
  <c r="AG16" i="1"/>
  <c r="U16" i="1"/>
  <c r="AI15" i="1"/>
  <c r="W15" i="1"/>
  <c r="AK14" i="1"/>
  <c r="Y14" i="1"/>
  <c r="Q15" i="5"/>
  <c r="S14" i="5"/>
  <c r="AI14" i="6"/>
  <c r="W14" i="6"/>
  <c r="R14" i="8"/>
  <c r="P12" i="9"/>
  <c r="AD17" i="1"/>
  <c r="R17" i="1"/>
  <c r="AF16" i="1"/>
  <c r="T16" i="1"/>
  <c r="AH15" i="1"/>
  <c r="V15" i="1"/>
  <c r="AJ14" i="1"/>
  <c r="X14" i="1"/>
  <c r="P15" i="5"/>
  <c r="R14" i="5"/>
  <c r="AH14" i="6"/>
  <c r="V14" i="6"/>
  <c r="Q14" i="8"/>
  <c r="O12" i="9"/>
  <c r="AC17" i="1"/>
  <c r="Q17" i="1"/>
  <c r="AE16" i="1"/>
  <c r="S16" i="1"/>
  <c r="AG15" i="1"/>
  <c r="U15" i="1"/>
  <c r="AI14" i="1"/>
  <c r="W14" i="1"/>
  <c r="Q14" i="5"/>
  <c r="AG14" i="6"/>
  <c r="U14" i="6"/>
  <c r="P14" i="8"/>
  <c r="N12" i="9"/>
  <c r="E132" i="11"/>
  <c r="E88" i="10" s="1"/>
  <c r="J125" i="11"/>
  <c r="F140" i="11"/>
  <c r="F91" i="10" s="1"/>
  <c r="F131" i="11"/>
  <c r="J124" i="11"/>
  <c r="J83" i="10" s="1"/>
  <c r="I125" i="11"/>
  <c r="K25" i="11"/>
  <c r="K24" i="11"/>
  <c r="K23" i="11"/>
  <c r="L42" i="11"/>
  <c r="N34" i="11"/>
  <c r="N33" i="11" s="1"/>
  <c r="K67" i="6"/>
  <c r="N33" i="10"/>
  <c r="M42" i="11"/>
  <c r="L45" i="6"/>
  <c r="N74" i="6"/>
  <c r="C13" i="11"/>
  <c r="C15" i="11" s="1"/>
  <c r="M9" i="6"/>
  <c r="L35" i="10"/>
  <c r="N35" i="10"/>
  <c r="L36" i="11"/>
  <c r="N36" i="11"/>
  <c r="L55" i="6"/>
  <c r="M35" i="10"/>
  <c r="M36" i="11"/>
  <c r="K21" i="6"/>
  <c r="K22" i="6"/>
  <c r="J42" i="11"/>
  <c r="J48" i="11" s="1"/>
  <c r="L104" i="11"/>
  <c r="K25" i="6"/>
  <c r="I42" i="11"/>
  <c r="I48" i="11" s="1"/>
  <c r="H42" i="11"/>
  <c r="H48" i="11" s="1"/>
  <c r="M54" i="11"/>
  <c r="J66" i="11"/>
  <c r="M66" i="11"/>
  <c r="M92" i="11" s="1"/>
  <c r="I66" i="11"/>
  <c r="C13" i="10"/>
  <c r="D13" i="10" s="1"/>
  <c r="H66" i="11"/>
  <c r="E88" i="11"/>
  <c r="E75" i="11"/>
  <c r="E94" i="11" s="1"/>
  <c r="H92" i="11"/>
  <c r="H93" i="11"/>
  <c r="G93" i="11"/>
  <c r="G92" i="11"/>
  <c r="F93" i="11"/>
  <c r="F92" i="11"/>
  <c r="J92" i="11"/>
  <c r="J93" i="11"/>
  <c r="I92" i="11"/>
  <c r="I93" i="11"/>
  <c r="E92" i="11"/>
  <c r="E93" i="11"/>
  <c r="U90" i="11"/>
  <c r="V90" i="11" s="1"/>
  <c r="W90" i="11" s="1"/>
  <c r="X90" i="11" s="1"/>
  <c r="Y90" i="11" s="1"/>
  <c r="Z90" i="11" s="1"/>
  <c r="AA90" i="11" s="1"/>
  <c r="AB90" i="11" s="1"/>
  <c r="AC90" i="11" s="1"/>
  <c r="AD90" i="11" s="1"/>
  <c r="AE90" i="11" s="1"/>
  <c r="AF90" i="11" s="1"/>
  <c r="J88" i="11"/>
  <c r="I88" i="11"/>
  <c r="L88" i="11"/>
  <c r="F47" i="11"/>
  <c r="AM47" i="11"/>
  <c r="AA47" i="11"/>
  <c r="O47" i="11"/>
  <c r="H60" i="11"/>
  <c r="AS59" i="11"/>
  <c r="AG59" i="11"/>
  <c r="U59" i="11"/>
  <c r="H88" i="11"/>
  <c r="M88" i="11"/>
  <c r="G88" i="11"/>
  <c r="F88" i="11"/>
  <c r="J75" i="11"/>
  <c r="J97" i="11" s="1"/>
  <c r="L47" i="11"/>
  <c r="AL47" i="11"/>
  <c r="Z47" i="11"/>
  <c r="N47" i="11"/>
  <c r="G60" i="11"/>
  <c r="AR59" i="11"/>
  <c r="AF59" i="11"/>
  <c r="T59" i="11"/>
  <c r="H75" i="11"/>
  <c r="AW47" i="11"/>
  <c r="AK47" i="11"/>
  <c r="Y47" i="11"/>
  <c r="M47" i="11"/>
  <c r="F60" i="11"/>
  <c r="AQ59" i="11"/>
  <c r="AE59" i="11"/>
  <c r="S59" i="11"/>
  <c r="F75" i="11"/>
  <c r="F96" i="11" s="1"/>
  <c r="AO59" i="11"/>
  <c r="AC59" i="11"/>
  <c r="Q59" i="11"/>
  <c r="AT47" i="11"/>
  <c r="AH47" i="11"/>
  <c r="V47" i="11"/>
  <c r="I59" i="11"/>
  <c r="AS47" i="11"/>
  <c r="AG47" i="11"/>
  <c r="U47" i="11"/>
  <c r="E47" i="11"/>
  <c r="G48" i="11"/>
  <c r="L59" i="11"/>
  <c r="K59" i="11" s="1"/>
  <c r="AL59" i="11"/>
  <c r="Z59" i="11"/>
  <c r="N59" i="11"/>
  <c r="AP47" i="11"/>
  <c r="AD47" i="11"/>
  <c r="R47" i="11"/>
  <c r="AV47" i="11"/>
  <c r="AJ47" i="11"/>
  <c r="X47" i="11"/>
  <c r="E48" i="11"/>
  <c r="E59" i="11"/>
  <c r="AP59" i="11"/>
  <c r="AD59" i="11"/>
  <c r="R59" i="11"/>
  <c r="G75" i="11"/>
  <c r="G112" i="11" s="1"/>
  <c r="AU47" i="11"/>
  <c r="AI47" i="11"/>
  <c r="W47" i="11"/>
  <c r="J59" i="11"/>
  <c r="H59" i="11"/>
  <c r="AR47" i="11"/>
  <c r="AF47" i="11"/>
  <c r="T47" i="11"/>
  <c r="G59" i="11"/>
  <c r="J47" i="11"/>
  <c r="AQ47" i="11"/>
  <c r="AE47" i="11"/>
  <c r="S47" i="11"/>
  <c r="F48" i="11"/>
  <c r="F59" i="11"/>
  <c r="AW59" i="11"/>
  <c r="AK59" i="11"/>
  <c r="Y59" i="11"/>
  <c r="M59" i="11"/>
  <c r="I47" i="11"/>
  <c r="L48" i="11"/>
  <c r="E60" i="11"/>
  <c r="AV59" i="11"/>
  <c r="AJ59" i="11"/>
  <c r="X59" i="11"/>
  <c r="I75" i="11"/>
  <c r="I94" i="11" s="1"/>
  <c r="H47" i="11"/>
  <c r="AO47" i="11"/>
  <c r="AC47" i="11"/>
  <c r="Q47" i="11"/>
  <c r="M48" i="11"/>
  <c r="J60" i="11"/>
  <c r="AU59" i="11"/>
  <c r="AI59" i="11"/>
  <c r="W59" i="11"/>
  <c r="G47" i="11"/>
  <c r="AN47" i="11"/>
  <c r="AB47" i="11"/>
  <c r="P47" i="11"/>
  <c r="I60" i="11"/>
  <c r="AT59" i="11"/>
  <c r="AH59" i="11"/>
  <c r="V59" i="11"/>
  <c r="AN59" i="11"/>
  <c r="AB59" i="11"/>
  <c r="P59" i="11"/>
  <c r="AM59" i="11"/>
  <c r="AA59" i="11"/>
  <c r="O59" i="11"/>
  <c r="K7" i="11"/>
  <c r="V8" i="11"/>
  <c r="P8" i="11"/>
  <c r="T8" i="11" s="1"/>
  <c r="AA7" i="11"/>
  <c r="AE7" i="11" s="1"/>
  <c r="L30" i="11"/>
  <c r="K8" i="11"/>
  <c r="K9" i="11" s="1"/>
  <c r="AF7" i="11"/>
  <c r="AG7" i="11"/>
  <c r="O7" i="11"/>
  <c r="S7" i="11" s="1"/>
  <c r="D8" i="11"/>
  <c r="H8" i="11" s="1"/>
  <c r="V7" i="11"/>
  <c r="V9" i="11" s="1"/>
  <c r="U7" i="11"/>
  <c r="U8" i="11"/>
  <c r="O8" i="11"/>
  <c r="S8" i="11" s="1"/>
  <c r="T7" i="11"/>
  <c r="I14" i="11"/>
  <c r="J14" i="11" s="1"/>
  <c r="H7" i="11"/>
  <c r="E8" i="11"/>
  <c r="I8" i="11" s="1"/>
  <c r="I7" i="11"/>
  <c r="N9" i="11"/>
  <c r="J7" i="11"/>
  <c r="Z7" i="11"/>
  <c r="AD7" i="11" s="1"/>
  <c r="I13" i="11"/>
  <c r="J13" i="11" s="1"/>
  <c r="C9" i="11"/>
  <c r="H15" i="11"/>
  <c r="J8" i="11"/>
  <c r="N13" i="11"/>
  <c r="O13" i="11" s="1"/>
  <c r="AO23" i="10"/>
  <c r="AN14" i="6"/>
  <c r="D8" i="10"/>
  <c r="H8" i="10" s="1"/>
  <c r="Z7" i="10"/>
  <c r="AD7" i="10" s="1"/>
  <c r="K8" i="10"/>
  <c r="H15" i="10"/>
  <c r="I8" i="10"/>
  <c r="AA7" i="10"/>
  <c r="AE7" i="10" s="1"/>
  <c r="I13" i="10"/>
  <c r="N9" i="10"/>
  <c r="L29" i="10" s="1"/>
  <c r="O7" i="10"/>
  <c r="S7" i="10" s="1"/>
  <c r="I7" i="10"/>
  <c r="P8" i="10"/>
  <c r="T8" i="10" s="1"/>
  <c r="T9" i="10" s="1"/>
  <c r="D14" i="10"/>
  <c r="H7" i="10"/>
  <c r="AF7" i="10"/>
  <c r="L30" i="10"/>
  <c r="AG7" i="10"/>
  <c r="S8" i="10"/>
  <c r="U8" i="10"/>
  <c r="V8" i="10"/>
  <c r="V7" i="10"/>
  <c r="O13" i="10"/>
  <c r="U7" i="10"/>
  <c r="C9" i="10"/>
  <c r="E9" i="10" s="1"/>
  <c r="J8" i="10"/>
  <c r="J7" i="10"/>
  <c r="K7" i="10"/>
  <c r="K9" i="10" s="1"/>
  <c r="P50" i="9"/>
  <c r="P55" i="9" s="1"/>
  <c r="U50" i="9"/>
  <c r="U55" i="9" s="1"/>
  <c r="S50" i="9"/>
  <c r="S55" i="9" s="1"/>
  <c r="T50" i="9"/>
  <c r="T55" i="9" s="1"/>
  <c r="R50" i="9"/>
  <c r="R55" i="9" s="1"/>
  <c r="M50" i="9"/>
  <c r="M55" i="9" s="1"/>
  <c r="N35" i="9"/>
  <c r="U29" i="9"/>
  <c r="R29" i="9"/>
  <c r="R51" i="9"/>
  <c r="Q29" i="9"/>
  <c r="Q35" i="9" s="1"/>
  <c r="S51" i="9"/>
  <c r="N51" i="9"/>
  <c r="O29" i="9"/>
  <c r="O35" i="9" s="1"/>
  <c r="O38" i="9" s="1"/>
  <c r="M38" i="9"/>
  <c r="T51" i="9"/>
  <c r="O51" i="9"/>
  <c r="P32" i="9"/>
  <c r="Q32" i="9" s="1"/>
  <c r="R32" i="9" s="1"/>
  <c r="S32" i="9" s="1"/>
  <c r="T32" i="9" s="1"/>
  <c r="U32" i="9" s="1"/>
  <c r="U35" i="9" s="1"/>
  <c r="Q51" i="9"/>
  <c r="N38" i="9"/>
  <c r="N18" i="9"/>
  <c r="P18" i="9"/>
  <c r="O28" i="8"/>
  <c r="M58" i="8"/>
  <c r="M63" i="8" s="1"/>
  <c r="P28" i="8"/>
  <c r="N33" i="8"/>
  <c r="N39" i="8" s="1"/>
  <c r="N45" i="8" s="1"/>
  <c r="M33" i="8"/>
  <c r="M39" i="8" s="1"/>
  <c r="M45" i="8" s="1"/>
  <c r="M51" i="8" s="1"/>
  <c r="K36" i="8"/>
  <c r="L57" i="8"/>
  <c r="M57" i="8"/>
  <c r="N58" i="8"/>
  <c r="L33" i="8"/>
  <c r="L39" i="8" s="1"/>
  <c r="L45" i="8" s="1"/>
  <c r="M22" i="8"/>
  <c r="M18" i="8"/>
  <c r="M17" i="8"/>
  <c r="M25" i="8"/>
  <c r="Y28" i="8"/>
  <c r="X28" i="8"/>
  <c r="W28" i="8"/>
  <c r="V28" i="8"/>
  <c r="M9" i="8"/>
  <c r="U28" i="8"/>
  <c r="M21" i="8"/>
  <c r="T28" i="8"/>
  <c r="S28" i="8"/>
  <c r="R28" i="8"/>
  <c r="Q28" i="8"/>
  <c r="N17" i="8"/>
  <c r="F9" i="8"/>
  <c r="G9" i="8" s="1"/>
  <c r="H7" i="8"/>
  <c r="H9" i="8" s="1"/>
  <c r="M55" i="6"/>
  <c r="M62" i="6"/>
  <c r="M63" i="6"/>
  <c r="M59" i="6"/>
  <c r="N54" i="6"/>
  <c r="I55" i="6"/>
  <c r="J55" i="6"/>
  <c r="L18" i="6"/>
  <c r="M25" i="6" s="1"/>
  <c r="N33" i="6"/>
  <c r="H7" i="6"/>
  <c r="H9" i="6" s="1"/>
  <c r="F9" i="6"/>
  <c r="G9" i="6" s="1"/>
  <c r="M22" i="6"/>
  <c r="M21" i="6"/>
  <c r="M18" i="6"/>
  <c r="M17" i="6"/>
  <c r="N17" i="6" s="1"/>
  <c r="Q28" i="6"/>
  <c r="O69" i="5"/>
  <c r="H136" i="11" l="1"/>
  <c r="H133" i="11"/>
  <c r="H134" i="11"/>
  <c r="H135" i="11"/>
  <c r="H140" i="11"/>
  <c r="H91" i="10" s="1"/>
  <c r="H84" i="10"/>
  <c r="G140" i="11"/>
  <c r="G91" i="10" s="1"/>
  <c r="G84" i="10"/>
  <c r="G131" i="11"/>
  <c r="G135" i="11" s="1"/>
  <c r="I140" i="11"/>
  <c r="I91" i="10" s="1"/>
  <c r="I84" i="10"/>
  <c r="J140" i="11"/>
  <c r="J91" i="10" s="1"/>
  <c r="J84" i="10"/>
  <c r="O124" i="11"/>
  <c r="N83" i="10"/>
  <c r="N125" i="11"/>
  <c r="N84" i="10" s="1"/>
  <c r="M66" i="6"/>
  <c r="M68" i="6" s="1"/>
  <c r="C15" i="10"/>
  <c r="G12" i="9"/>
  <c r="U9" i="10"/>
  <c r="Q38" i="9"/>
  <c r="S9" i="10"/>
  <c r="V9" i="10"/>
  <c r="E13" i="10"/>
  <c r="H132" i="11"/>
  <c r="H88" i="10" s="1"/>
  <c r="H137" i="11"/>
  <c r="I131" i="11"/>
  <c r="D13" i="11"/>
  <c r="E13" i="11" s="1"/>
  <c r="E15" i="11" s="1"/>
  <c r="K47" i="11"/>
  <c r="E134" i="11"/>
  <c r="E136" i="11"/>
  <c r="M60" i="11"/>
  <c r="F137" i="11"/>
  <c r="F135" i="11"/>
  <c r="F132" i="11"/>
  <c r="F88" i="10" s="1"/>
  <c r="F133" i="11"/>
  <c r="F136" i="11"/>
  <c r="F134" i="11"/>
  <c r="E135" i="11"/>
  <c r="J131" i="11"/>
  <c r="E137" i="11"/>
  <c r="M29" i="10"/>
  <c r="M30" i="11"/>
  <c r="M30" i="10"/>
  <c r="N39" i="6"/>
  <c r="N42" i="11"/>
  <c r="N89" i="11"/>
  <c r="M78" i="6"/>
  <c r="M75" i="6"/>
  <c r="L48" i="6"/>
  <c r="L66" i="11"/>
  <c r="F97" i="11"/>
  <c r="I15" i="10"/>
  <c r="E80" i="11"/>
  <c r="I77" i="11"/>
  <c r="I112" i="11"/>
  <c r="E77" i="11"/>
  <c r="J95" i="11"/>
  <c r="H79" i="11"/>
  <c r="H112" i="11"/>
  <c r="E100" i="11"/>
  <c r="E101" i="11" s="1"/>
  <c r="E112" i="11"/>
  <c r="I78" i="11"/>
  <c r="E78" i="11"/>
  <c r="J100" i="11"/>
  <c r="J101" i="11" s="1"/>
  <c r="J112" i="11"/>
  <c r="J79" i="11"/>
  <c r="E96" i="11"/>
  <c r="J80" i="11"/>
  <c r="H96" i="11"/>
  <c r="E79" i="11"/>
  <c r="E95" i="11"/>
  <c r="F100" i="11"/>
  <c r="F101" i="11" s="1"/>
  <c r="F112" i="11"/>
  <c r="E97" i="11"/>
  <c r="G100" i="11"/>
  <c r="G101" i="11" s="1"/>
  <c r="G78" i="11"/>
  <c r="H97" i="11"/>
  <c r="J96" i="11"/>
  <c r="F94" i="11"/>
  <c r="G77" i="11"/>
  <c r="H94" i="11"/>
  <c r="F77" i="11"/>
  <c r="G96" i="11"/>
  <c r="I80" i="11"/>
  <c r="G79" i="11"/>
  <c r="AG90" i="11"/>
  <c r="H77" i="11"/>
  <c r="J77" i="11"/>
  <c r="I97" i="11"/>
  <c r="H78" i="11"/>
  <c r="G80" i="11"/>
  <c r="F78" i="11"/>
  <c r="I100" i="11"/>
  <c r="I101" i="11" s="1"/>
  <c r="I79" i="11"/>
  <c r="F80" i="11"/>
  <c r="I96" i="11"/>
  <c r="D9" i="11"/>
  <c r="G95" i="11"/>
  <c r="F79" i="11"/>
  <c r="H100" i="11"/>
  <c r="H101" i="11" s="1"/>
  <c r="H80" i="11"/>
  <c r="I95" i="11"/>
  <c r="G97" i="11"/>
  <c r="H95" i="11"/>
  <c r="J78" i="11"/>
  <c r="J94" i="11"/>
  <c r="F95" i="11"/>
  <c r="G94" i="11"/>
  <c r="U9" i="11"/>
  <c r="S9" i="11"/>
  <c r="J9" i="11"/>
  <c r="E9" i="11"/>
  <c r="J15" i="11"/>
  <c r="P9" i="11"/>
  <c r="M29" i="11"/>
  <c r="L29" i="11"/>
  <c r="H9" i="11"/>
  <c r="M28" i="11"/>
  <c r="L28" i="11"/>
  <c r="I15" i="11"/>
  <c r="I9" i="11"/>
  <c r="D15" i="11"/>
  <c r="O9" i="11"/>
  <c r="T9" i="11"/>
  <c r="AO14" i="6"/>
  <c r="AP23" i="10"/>
  <c r="P9" i="10"/>
  <c r="J13" i="10"/>
  <c r="J15" i="10" s="1"/>
  <c r="O9" i="10"/>
  <c r="D15" i="10"/>
  <c r="D9" i="10"/>
  <c r="M28" i="10"/>
  <c r="L28" i="10"/>
  <c r="E14" i="10"/>
  <c r="E15" i="10" s="1"/>
  <c r="J9" i="10"/>
  <c r="I9" i="10"/>
  <c r="Q42" i="9"/>
  <c r="P51" i="9"/>
  <c r="M42" i="9"/>
  <c r="O42" i="9"/>
  <c r="N42" i="9"/>
  <c r="U51" i="9"/>
  <c r="M51" i="9"/>
  <c r="T35" i="9"/>
  <c r="T38" i="9" s="1"/>
  <c r="M52" i="9"/>
  <c r="N52" i="9"/>
  <c r="U38" i="9"/>
  <c r="U52" i="9"/>
  <c r="Q52" i="9"/>
  <c r="T52" i="9"/>
  <c r="O52" i="9"/>
  <c r="R35" i="9"/>
  <c r="P35" i="9"/>
  <c r="S35" i="9"/>
  <c r="N48" i="8"/>
  <c r="N51" i="8"/>
  <c r="N18" i="8"/>
  <c r="L48" i="8"/>
  <c r="K28" i="8"/>
  <c r="N63" i="8"/>
  <c r="N59" i="8"/>
  <c r="N57" i="8"/>
  <c r="N22" i="8"/>
  <c r="M48" i="8"/>
  <c r="M52" i="8" s="1"/>
  <c r="M59" i="8"/>
  <c r="L59" i="8"/>
  <c r="N25" i="8"/>
  <c r="N21" i="8"/>
  <c r="O17" i="8"/>
  <c r="O21" i="8"/>
  <c r="O18" i="8"/>
  <c r="N59" i="6"/>
  <c r="N18" i="6"/>
  <c r="N28" i="10" s="1"/>
  <c r="O17" i="6"/>
  <c r="P17" i="6" s="1"/>
  <c r="O18" i="6"/>
  <c r="N25" i="6"/>
  <c r="R28" i="6"/>
  <c r="N22" i="6"/>
  <c r="N21" i="6"/>
  <c r="G137" i="11" l="1"/>
  <c r="G132" i="11"/>
  <c r="G88" i="10" s="1"/>
  <c r="G133" i="11"/>
  <c r="P124" i="11"/>
  <c r="O83" i="10"/>
  <c r="O125" i="11"/>
  <c r="G134" i="11"/>
  <c r="G136" i="11"/>
  <c r="I137" i="11"/>
  <c r="I135" i="11"/>
  <c r="I132" i="11"/>
  <c r="I88" i="10" s="1"/>
  <c r="I133" i="11"/>
  <c r="I136" i="11"/>
  <c r="I134" i="11"/>
  <c r="J137" i="11"/>
  <c r="J135" i="11"/>
  <c r="J132" i="11"/>
  <c r="J88" i="10" s="1"/>
  <c r="J133" i="11"/>
  <c r="J136" i="11"/>
  <c r="J134" i="11"/>
  <c r="N29" i="10"/>
  <c r="N91" i="11"/>
  <c r="N88" i="11"/>
  <c r="N28" i="11"/>
  <c r="N29" i="11"/>
  <c r="N30" i="11"/>
  <c r="N30" i="10"/>
  <c r="O28" i="10"/>
  <c r="N45" i="6"/>
  <c r="N54" i="11"/>
  <c r="O28" i="11"/>
  <c r="L60" i="11"/>
  <c r="L92" i="11"/>
  <c r="L62" i="6"/>
  <c r="L63" i="6"/>
  <c r="AH90" i="11"/>
  <c r="AP14" i="6"/>
  <c r="AQ23" i="10"/>
  <c r="H9" i="10"/>
  <c r="O59" i="9"/>
  <c r="O61" i="9"/>
  <c r="O60" i="9"/>
  <c r="U42" i="9"/>
  <c r="M61" i="9"/>
  <c r="M59" i="9"/>
  <c r="M60" i="9"/>
  <c r="T42" i="9"/>
  <c r="N59" i="9"/>
  <c r="N61" i="9"/>
  <c r="N60" i="9"/>
  <c r="Q61" i="9"/>
  <c r="Q59" i="9"/>
  <c r="Q60" i="9"/>
  <c r="R38" i="9"/>
  <c r="R52" i="9"/>
  <c r="S38" i="9"/>
  <c r="S52" i="9"/>
  <c r="P38" i="9"/>
  <c r="P52" i="9"/>
  <c r="L52" i="8"/>
  <c r="O25" i="8"/>
  <c r="M67" i="8"/>
  <c r="M66" i="8"/>
  <c r="M78" i="8" s="1"/>
  <c r="N52" i="8"/>
  <c r="O22" i="8"/>
  <c r="O29" i="8" s="1"/>
  <c r="P22" i="8"/>
  <c r="P17" i="8"/>
  <c r="P21" i="8"/>
  <c r="P18" i="8"/>
  <c r="Q17" i="6"/>
  <c r="P30" i="6"/>
  <c r="O25" i="6"/>
  <c r="O21" i="6"/>
  <c r="O22" i="6"/>
  <c r="S28" i="6"/>
  <c r="P18" i="6"/>
  <c r="P28" i="10" s="1"/>
  <c r="O84" i="10" l="1"/>
  <c r="Q124" i="11"/>
  <c r="P83" i="10"/>
  <c r="P125" i="11"/>
  <c r="P84" i="10" s="1"/>
  <c r="L66" i="6"/>
  <c r="L68" i="6" s="1"/>
  <c r="G38" i="9"/>
  <c r="N48" i="11"/>
  <c r="P25" i="6"/>
  <c r="O29" i="10"/>
  <c r="O29" i="11"/>
  <c r="N48" i="6"/>
  <c r="N66" i="11"/>
  <c r="N55" i="6"/>
  <c r="O30" i="10"/>
  <c r="O30" i="11"/>
  <c r="Q28" i="11"/>
  <c r="L78" i="6"/>
  <c r="L75" i="6"/>
  <c r="P22" i="6"/>
  <c r="N92" i="11"/>
  <c r="P28" i="11"/>
  <c r="P21" i="6"/>
  <c r="Q25" i="6" s="1"/>
  <c r="AI90" i="11"/>
  <c r="M70" i="8"/>
  <c r="M72" i="8" s="1"/>
  <c r="M81" i="8" s="1"/>
  <c r="AQ14" i="6"/>
  <c r="AR23" i="10"/>
  <c r="N72" i="9"/>
  <c r="N64" i="9"/>
  <c r="N66" i="9" s="1"/>
  <c r="N75" i="9" s="1"/>
  <c r="P42" i="9"/>
  <c r="M64" i="9"/>
  <c r="M72" i="9"/>
  <c r="T61" i="9"/>
  <c r="T59" i="9"/>
  <c r="T60" i="9"/>
  <c r="S42" i="9"/>
  <c r="R42" i="9"/>
  <c r="U61" i="9"/>
  <c r="U59" i="9"/>
  <c r="U60" i="9"/>
  <c r="Q72" i="9"/>
  <c r="Q64" i="9"/>
  <c r="Q66" i="9" s="1"/>
  <c r="Q75" i="9" s="1"/>
  <c r="O72" i="9"/>
  <c r="O64" i="9"/>
  <c r="O66" i="9" s="1"/>
  <c r="O75" i="9" s="1"/>
  <c r="N67" i="8"/>
  <c r="N66" i="8"/>
  <c r="P25" i="8"/>
  <c r="Q25" i="8" s="1"/>
  <c r="Q29" i="8" s="1"/>
  <c r="L67" i="8"/>
  <c r="L66" i="8"/>
  <c r="P29" i="8"/>
  <c r="P30" i="8"/>
  <c r="P33" i="8" s="1"/>
  <c r="P39" i="8" s="1"/>
  <c r="P45" i="8" s="1"/>
  <c r="O33" i="8"/>
  <c r="O39" i="8" s="1"/>
  <c r="O45" i="8" s="1"/>
  <c r="O51" i="8" s="1"/>
  <c r="O57" i="8"/>
  <c r="Q22" i="8"/>
  <c r="Q21" i="8"/>
  <c r="Q18" i="8"/>
  <c r="Q17" i="8"/>
  <c r="R17" i="6"/>
  <c r="Q30" i="6"/>
  <c r="O29" i="6"/>
  <c r="T28" i="6"/>
  <c r="Q21" i="6"/>
  <c r="Q18" i="6"/>
  <c r="Q28" i="10" s="1"/>
  <c r="Q22" i="6"/>
  <c r="R124" i="11" l="1"/>
  <c r="Q125" i="11"/>
  <c r="Q83" i="10"/>
  <c r="G42" i="9"/>
  <c r="N60" i="11"/>
  <c r="Q30" i="11"/>
  <c r="Q30" i="10"/>
  <c r="Q29" i="11"/>
  <c r="Q29" i="10"/>
  <c r="N62" i="6"/>
  <c r="N63" i="6"/>
  <c r="P29" i="11"/>
  <c r="P29" i="10"/>
  <c r="O34" i="11"/>
  <c r="O33" i="10"/>
  <c r="O36" i="11"/>
  <c r="O35" i="10"/>
  <c r="O74" i="6"/>
  <c r="P29" i="6"/>
  <c r="P57" i="6" s="1"/>
  <c r="P30" i="11"/>
  <c r="P30" i="10"/>
  <c r="AJ90" i="11"/>
  <c r="M66" i="9"/>
  <c r="N78" i="8"/>
  <c r="N70" i="8"/>
  <c r="N72" i="8" s="1"/>
  <c r="N81" i="8" s="1"/>
  <c r="L78" i="8"/>
  <c r="L70" i="8"/>
  <c r="AR14" i="6"/>
  <c r="AS23" i="10"/>
  <c r="L79" i="6"/>
  <c r="R61" i="9"/>
  <c r="R60" i="9"/>
  <c r="R59" i="9"/>
  <c r="T72" i="9"/>
  <c r="T64" i="9"/>
  <c r="T66" i="9" s="1"/>
  <c r="T75" i="9" s="1"/>
  <c r="U72" i="9"/>
  <c r="U64" i="9"/>
  <c r="U66" i="9" s="1"/>
  <c r="U75" i="9" s="1"/>
  <c r="P59" i="9"/>
  <c r="P61" i="9"/>
  <c r="P60" i="9"/>
  <c r="S61" i="9"/>
  <c r="S59" i="9"/>
  <c r="S60" i="9"/>
  <c r="P48" i="8"/>
  <c r="P51" i="8"/>
  <c r="Q30" i="8"/>
  <c r="Q33" i="8" s="1"/>
  <c r="Q39" i="8" s="1"/>
  <c r="Q45" i="8" s="1"/>
  <c r="Q61" i="8"/>
  <c r="O48" i="8"/>
  <c r="O59" i="8"/>
  <c r="P61" i="8"/>
  <c r="R21" i="8"/>
  <c r="R18" i="8"/>
  <c r="R25" i="8"/>
  <c r="R17" i="8"/>
  <c r="R22" i="8"/>
  <c r="O33" i="6"/>
  <c r="O54" i="6"/>
  <c r="P33" i="6"/>
  <c r="P53" i="6"/>
  <c r="R30" i="6"/>
  <c r="S17" i="6"/>
  <c r="Q29" i="6"/>
  <c r="U28" i="6"/>
  <c r="R21" i="6"/>
  <c r="R18" i="6"/>
  <c r="R28" i="11" s="1"/>
  <c r="R25" i="6"/>
  <c r="R22" i="6"/>
  <c r="Q84" i="10" l="1"/>
  <c r="S124" i="11"/>
  <c r="R83" i="10"/>
  <c r="R125" i="11"/>
  <c r="R84" i="10" s="1"/>
  <c r="N66" i="6"/>
  <c r="N68" i="6" s="1"/>
  <c r="O33" i="11"/>
  <c r="R28" i="10"/>
  <c r="Q74" i="6"/>
  <c r="Q34" i="11"/>
  <c r="Q33" i="11" s="1"/>
  <c r="Q33" i="10"/>
  <c r="Q73" i="6"/>
  <c r="Q36" i="11"/>
  <c r="Q35" i="10"/>
  <c r="N75" i="6"/>
  <c r="P54" i="6"/>
  <c r="P89" i="11" s="1"/>
  <c r="N78" i="6"/>
  <c r="P104" i="11"/>
  <c r="P34" i="11"/>
  <c r="P33" i="11" s="1"/>
  <c r="P33" i="10"/>
  <c r="P73" i="6"/>
  <c r="P36" i="11"/>
  <c r="P35" i="10"/>
  <c r="P74" i="6"/>
  <c r="P39" i="6"/>
  <c r="P42" i="11"/>
  <c r="O89" i="11"/>
  <c r="O39" i="6"/>
  <c r="O42" i="11"/>
  <c r="R30" i="11"/>
  <c r="R30" i="10"/>
  <c r="R29" i="10"/>
  <c r="R29" i="11"/>
  <c r="AK90" i="11"/>
  <c r="G60" i="9"/>
  <c r="G61" i="9"/>
  <c r="G59" i="9"/>
  <c r="M75" i="9"/>
  <c r="O52" i="8"/>
  <c r="O66" i="8" s="1"/>
  <c r="L72" i="8"/>
  <c r="AS14" i="6"/>
  <c r="AT23" i="10"/>
  <c r="P72" i="9"/>
  <c r="P64" i="9"/>
  <c r="R72" i="9"/>
  <c r="R64" i="9"/>
  <c r="R66" i="9" s="1"/>
  <c r="R75" i="9" s="1"/>
  <c r="S72" i="9"/>
  <c r="S64" i="9"/>
  <c r="S66" i="9" s="1"/>
  <c r="S75" i="9" s="1"/>
  <c r="Q48" i="8"/>
  <c r="Q51" i="8"/>
  <c r="R30" i="8"/>
  <c r="P52" i="8"/>
  <c r="R29" i="8"/>
  <c r="S21" i="8"/>
  <c r="S18" i="8"/>
  <c r="S25" i="8"/>
  <c r="S17" i="8"/>
  <c r="S22" i="8"/>
  <c r="Q33" i="6"/>
  <c r="Q57" i="6"/>
  <c r="Q104" i="11" s="1"/>
  <c r="O59" i="6"/>
  <c r="Q53" i="6"/>
  <c r="Q54" i="6" s="1"/>
  <c r="Q89" i="11" s="1"/>
  <c r="T17" i="6"/>
  <c r="R29" i="6"/>
  <c r="V28" i="6"/>
  <c r="S21" i="6"/>
  <c r="S18" i="6"/>
  <c r="S28" i="10" s="1"/>
  <c r="S25" i="6"/>
  <c r="S22" i="6"/>
  <c r="T124" i="11" l="1"/>
  <c r="S83" i="10"/>
  <c r="S125" i="11"/>
  <c r="O67" i="8"/>
  <c r="O45" i="6"/>
  <c r="O54" i="11"/>
  <c r="P91" i="11"/>
  <c r="P88" i="11"/>
  <c r="S30" i="11"/>
  <c r="S30" i="10"/>
  <c r="O91" i="11"/>
  <c r="O88" i="11"/>
  <c r="S29" i="11"/>
  <c r="S29" i="10"/>
  <c r="Q39" i="6"/>
  <c r="Q42" i="11"/>
  <c r="P55" i="6"/>
  <c r="R74" i="6"/>
  <c r="R36" i="11"/>
  <c r="R34" i="11"/>
  <c r="R33" i="11" s="1"/>
  <c r="R33" i="10"/>
  <c r="R35" i="10"/>
  <c r="R73" i="6"/>
  <c r="P45" i="6"/>
  <c r="P54" i="11"/>
  <c r="P48" i="11" s="1"/>
  <c r="S28" i="11"/>
  <c r="Q91" i="11"/>
  <c r="Q88" i="11"/>
  <c r="AL90" i="11"/>
  <c r="P66" i="9"/>
  <c r="G64" i="9"/>
  <c r="O78" i="8"/>
  <c r="O70" i="8"/>
  <c r="L81" i="8"/>
  <c r="AT14" i="6"/>
  <c r="AU23" i="10"/>
  <c r="G72" i="9"/>
  <c r="P67" i="8"/>
  <c r="P66" i="8"/>
  <c r="Q52" i="8"/>
  <c r="R33" i="8"/>
  <c r="R39" i="8" s="1"/>
  <c r="R45" i="8" s="1"/>
  <c r="R61" i="8"/>
  <c r="S29" i="8"/>
  <c r="T21" i="8"/>
  <c r="T18" i="8"/>
  <c r="T25" i="8"/>
  <c r="T17" i="8"/>
  <c r="T22" i="8"/>
  <c r="S30" i="8" s="1"/>
  <c r="R33" i="6"/>
  <c r="R57" i="6"/>
  <c r="R104" i="11" s="1"/>
  <c r="R53" i="6"/>
  <c r="U17" i="6"/>
  <c r="S29" i="6"/>
  <c r="W28" i="6"/>
  <c r="T18" i="6"/>
  <c r="S30" i="6" s="1"/>
  <c r="T25" i="6"/>
  <c r="T21" i="6"/>
  <c r="T22" i="6"/>
  <c r="S84" i="10" l="1"/>
  <c r="U124" i="11"/>
  <c r="T83" i="10"/>
  <c r="T125" i="11"/>
  <c r="T84" i="10" s="1"/>
  <c r="O48" i="11"/>
  <c r="R39" i="6"/>
  <c r="R42" i="11"/>
  <c r="T29" i="11"/>
  <c r="T29" i="10"/>
  <c r="T30" i="10"/>
  <c r="T30" i="11"/>
  <c r="T28" i="10"/>
  <c r="T28" i="11"/>
  <c r="S53" i="6"/>
  <c r="S54" i="6" s="1"/>
  <c r="S89" i="11" s="1"/>
  <c r="S36" i="11"/>
  <c r="S35" i="10"/>
  <c r="S73" i="6"/>
  <c r="S74" i="6"/>
  <c r="S34" i="11"/>
  <c r="S33" i="11" s="1"/>
  <c r="S33" i="10"/>
  <c r="P48" i="6"/>
  <c r="P66" i="11"/>
  <c r="P60" i="11" s="1"/>
  <c r="Q45" i="6"/>
  <c r="Q54" i="11"/>
  <c r="Q48" i="11" s="1"/>
  <c r="O48" i="6"/>
  <c r="O66" i="11"/>
  <c r="O55" i="6"/>
  <c r="R54" i="6"/>
  <c r="AM90" i="11"/>
  <c r="P75" i="9"/>
  <c r="G66" i="9"/>
  <c r="O72" i="8"/>
  <c r="L82" i="8"/>
  <c r="AU14" i="6"/>
  <c r="AV23" i="10"/>
  <c r="R48" i="8"/>
  <c r="R51" i="8"/>
  <c r="Q67" i="8"/>
  <c r="Q66" i="8"/>
  <c r="S61" i="8"/>
  <c r="S33" i="8"/>
  <c r="S39" i="8" s="1"/>
  <c r="T30" i="8"/>
  <c r="T33" i="8" s="1"/>
  <c r="T39" i="8" s="1"/>
  <c r="T45" i="8" s="1"/>
  <c r="T29" i="8"/>
  <c r="U21" i="8"/>
  <c r="U18" i="8"/>
  <c r="U25" i="8"/>
  <c r="U17" i="8"/>
  <c r="U22" i="8"/>
  <c r="S57" i="6"/>
  <c r="S104" i="11" s="1"/>
  <c r="S33" i="6"/>
  <c r="V17" i="6"/>
  <c r="T30" i="6"/>
  <c r="U22" i="6"/>
  <c r="T29" i="6"/>
  <c r="X28" i="6"/>
  <c r="U25" i="6"/>
  <c r="U18" i="6"/>
  <c r="U30" i="6" s="1"/>
  <c r="U21" i="6"/>
  <c r="V124" i="11" l="1"/>
  <c r="U83" i="10"/>
  <c r="U125" i="11"/>
  <c r="O60" i="11"/>
  <c r="O62" i="6"/>
  <c r="O63" i="6"/>
  <c r="S39" i="6"/>
  <c r="S42" i="11"/>
  <c r="Q48" i="6"/>
  <c r="Q66" i="11"/>
  <c r="Q55" i="6"/>
  <c r="S91" i="11"/>
  <c r="S88" i="11"/>
  <c r="P62" i="6"/>
  <c r="P66" i="6" s="1"/>
  <c r="P68" i="6" s="1"/>
  <c r="P63" i="6"/>
  <c r="P92" i="11"/>
  <c r="U28" i="11"/>
  <c r="V22" i="6"/>
  <c r="U29" i="11"/>
  <c r="U29" i="10"/>
  <c r="U28" i="10"/>
  <c r="R89" i="11"/>
  <c r="U30" i="10"/>
  <c r="U30" i="11"/>
  <c r="O92" i="11"/>
  <c r="R45" i="6"/>
  <c r="R54" i="11"/>
  <c r="R48" i="11" s="1"/>
  <c r="T73" i="6"/>
  <c r="T36" i="11"/>
  <c r="T35" i="10"/>
  <c r="T74" i="6"/>
  <c r="T34" i="11"/>
  <c r="T33" i="11" s="1"/>
  <c r="T33" i="10"/>
  <c r="AN90" i="11"/>
  <c r="G75" i="9"/>
  <c r="O81" i="8"/>
  <c r="AV14" i="6"/>
  <c r="AW23" i="10"/>
  <c r="AW14" i="6" s="1"/>
  <c r="K14" i="6" s="1"/>
  <c r="T48" i="8"/>
  <c r="T51" i="8"/>
  <c r="K14" i="8"/>
  <c r="R52" i="8"/>
  <c r="T61" i="8"/>
  <c r="U29" i="8"/>
  <c r="U30" i="8"/>
  <c r="U33" i="8" s="1"/>
  <c r="U39" i="8" s="1"/>
  <c r="U45" i="8" s="1"/>
  <c r="S45" i="8"/>
  <c r="V18" i="8"/>
  <c r="V25" i="8"/>
  <c r="V17" i="8"/>
  <c r="V21" i="8"/>
  <c r="V22" i="8"/>
  <c r="T33" i="6"/>
  <c r="T57" i="6"/>
  <c r="T104" i="11" s="1"/>
  <c r="T53" i="6"/>
  <c r="W17" i="6"/>
  <c r="U29" i="6"/>
  <c r="Y28" i="6"/>
  <c r="V25" i="6"/>
  <c r="V21" i="6"/>
  <c r="V18" i="6"/>
  <c r="V30" i="6" s="1"/>
  <c r="U84" i="10" l="1"/>
  <c r="W124" i="11"/>
  <c r="V83" i="10"/>
  <c r="V125" i="11"/>
  <c r="V84" i="10" s="1"/>
  <c r="O66" i="6"/>
  <c r="O68" i="6" s="1"/>
  <c r="O78" i="6" s="1"/>
  <c r="U73" i="6"/>
  <c r="U36" i="11"/>
  <c r="U35" i="10"/>
  <c r="U74" i="6"/>
  <c r="U34" i="11"/>
  <c r="U33" i="11" s="1"/>
  <c r="U33" i="10"/>
  <c r="T54" i="6"/>
  <c r="R48" i="6"/>
  <c r="R66" i="11"/>
  <c r="R55" i="6"/>
  <c r="Q62" i="6"/>
  <c r="Q63" i="6"/>
  <c r="T39" i="6"/>
  <c r="T42" i="11"/>
  <c r="S45" i="6"/>
  <c r="S54" i="11"/>
  <c r="S48" i="11" s="1"/>
  <c r="Q60" i="11"/>
  <c r="Q92" i="11"/>
  <c r="V28" i="11"/>
  <c r="V28" i="10"/>
  <c r="R91" i="11"/>
  <c r="R88" i="11"/>
  <c r="O75" i="6"/>
  <c r="V29" i="10"/>
  <c r="V29" i="11"/>
  <c r="V30" i="11"/>
  <c r="V30" i="10"/>
  <c r="AO90" i="11"/>
  <c r="S48" i="8"/>
  <c r="S51" i="8"/>
  <c r="U48" i="8"/>
  <c r="U51" i="8"/>
  <c r="R67" i="8"/>
  <c r="R66" i="8"/>
  <c r="T52" i="8"/>
  <c r="U61" i="8"/>
  <c r="V30" i="8"/>
  <c r="V33" i="8" s="1"/>
  <c r="V39" i="8" s="1"/>
  <c r="V45" i="8" s="1"/>
  <c r="V29" i="8"/>
  <c r="W22" i="8"/>
  <c r="W18" i="8"/>
  <c r="W25" i="8"/>
  <c r="W17" i="8"/>
  <c r="W21" i="8"/>
  <c r="U33" i="6"/>
  <c r="U57" i="6"/>
  <c r="U104" i="11" s="1"/>
  <c r="U53" i="6"/>
  <c r="U54" i="6" s="1"/>
  <c r="U89" i="11" s="1"/>
  <c r="X17" i="6"/>
  <c r="V29" i="6"/>
  <c r="Z28" i="6"/>
  <c r="W25" i="6"/>
  <c r="W21" i="6"/>
  <c r="W18" i="6"/>
  <c r="W30" i="6" s="1"/>
  <c r="W22" i="6"/>
  <c r="X124" i="11" l="1"/>
  <c r="W83" i="10"/>
  <c r="W125" i="11"/>
  <c r="W84" i="10" s="1"/>
  <c r="Q66" i="6"/>
  <c r="Q68" i="6" s="1"/>
  <c r="R60" i="11"/>
  <c r="U39" i="6"/>
  <c r="U42" i="11"/>
  <c r="R62" i="6"/>
  <c r="R63" i="6"/>
  <c r="R92" i="11"/>
  <c r="T89" i="11"/>
  <c r="S48" i="6"/>
  <c r="S66" i="11"/>
  <c r="S55" i="6"/>
  <c r="W29" i="10"/>
  <c r="W29" i="11"/>
  <c r="W28" i="10"/>
  <c r="W30" i="10"/>
  <c r="W30" i="11"/>
  <c r="W28" i="11"/>
  <c r="T45" i="6"/>
  <c r="T54" i="11"/>
  <c r="T48" i="11" s="1"/>
  <c r="V73" i="6"/>
  <c r="V36" i="11"/>
  <c r="V35" i="10"/>
  <c r="V74" i="6"/>
  <c r="V34" i="11"/>
  <c r="V33" i="11" s="1"/>
  <c r="V33" i="10"/>
  <c r="X28" i="11"/>
  <c r="V53" i="6"/>
  <c r="U88" i="11"/>
  <c r="U91" i="11"/>
  <c r="AP90" i="11"/>
  <c r="V48" i="8"/>
  <c r="V51" i="8"/>
  <c r="T67" i="8"/>
  <c r="T66" i="8"/>
  <c r="X22" i="8"/>
  <c r="U52" i="8"/>
  <c r="S52" i="8"/>
  <c r="V61" i="8"/>
  <c r="W30" i="8"/>
  <c r="W33" i="8" s="1"/>
  <c r="W39" i="8" s="1"/>
  <c r="W45" i="8" s="1"/>
  <c r="W29" i="8"/>
  <c r="X18" i="8"/>
  <c r="X25" i="8"/>
  <c r="X17" i="8"/>
  <c r="X21" i="8"/>
  <c r="V33" i="6"/>
  <c r="V54" i="6"/>
  <c r="V89" i="11" s="1"/>
  <c r="V57" i="6"/>
  <c r="V104" i="11" s="1"/>
  <c r="Y17" i="6"/>
  <c r="W29" i="6"/>
  <c r="AA28" i="6"/>
  <c r="X25" i="6"/>
  <c r="X21" i="6"/>
  <c r="X18" i="6"/>
  <c r="X30" i="6" s="1"/>
  <c r="X22" i="6"/>
  <c r="Y124" i="11" l="1"/>
  <c r="X83" i="10"/>
  <c r="X125" i="11"/>
  <c r="X84" i="10" s="1"/>
  <c r="R66" i="6"/>
  <c r="R68" i="6" s="1"/>
  <c r="W53" i="6"/>
  <c r="X28" i="10"/>
  <c r="T48" i="6"/>
  <c r="T66" i="11"/>
  <c r="T60" i="11" s="1"/>
  <c r="T55" i="6"/>
  <c r="T88" i="11"/>
  <c r="T91" i="11"/>
  <c r="X29" i="11"/>
  <c r="X29" i="10"/>
  <c r="X30" i="11"/>
  <c r="X30" i="10"/>
  <c r="W73" i="6"/>
  <c r="W36" i="11"/>
  <c r="W35" i="10"/>
  <c r="W74" i="6"/>
  <c r="W34" i="11"/>
  <c r="W33" i="11" s="1"/>
  <c r="W33" i="10"/>
  <c r="S60" i="11"/>
  <c r="S92" i="11"/>
  <c r="S62" i="6"/>
  <c r="S63" i="6"/>
  <c r="V91" i="11"/>
  <c r="V88" i="11"/>
  <c r="U45" i="6"/>
  <c r="U54" i="11"/>
  <c r="U48" i="11" s="1"/>
  <c r="V39" i="6"/>
  <c r="V42" i="11"/>
  <c r="AQ90" i="11"/>
  <c r="S67" i="8"/>
  <c r="S66" i="8"/>
  <c r="U67" i="8"/>
  <c r="U66" i="8"/>
  <c r="W48" i="8"/>
  <c r="W51" i="8"/>
  <c r="V52" i="8"/>
  <c r="W61" i="8"/>
  <c r="Y22" i="8"/>
  <c r="X30" i="8"/>
  <c r="X29" i="8"/>
  <c r="Y25" i="8"/>
  <c r="Y17" i="8"/>
  <c r="Y18" i="8"/>
  <c r="Y21" i="8"/>
  <c r="W33" i="6"/>
  <c r="W54" i="6"/>
  <c r="W89" i="11" s="1"/>
  <c r="W57" i="6"/>
  <c r="W104" i="11" s="1"/>
  <c r="Z17" i="6"/>
  <c r="X29" i="6"/>
  <c r="AB28" i="6"/>
  <c r="Y25" i="6"/>
  <c r="Y21" i="6"/>
  <c r="Y18" i="6"/>
  <c r="Y30" i="6" s="1"/>
  <c r="Y22" i="6"/>
  <c r="Z124" i="11" l="1"/>
  <c r="Y83" i="10"/>
  <c r="Y125" i="11"/>
  <c r="Y84" i="10" s="1"/>
  <c r="S66" i="6"/>
  <c r="S68" i="6" s="1"/>
  <c r="Y30" i="11"/>
  <c r="Y30" i="10"/>
  <c r="V45" i="6"/>
  <c r="V54" i="11"/>
  <c r="V48" i="11" s="1"/>
  <c r="T92" i="11"/>
  <c r="X73" i="6"/>
  <c r="X36" i="11"/>
  <c r="X35" i="10"/>
  <c r="X74" i="6"/>
  <c r="X34" i="11"/>
  <c r="X33" i="11" s="1"/>
  <c r="X33" i="10"/>
  <c r="Y28" i="10"/>
  <c r="W88" i="11"/>
  <c r="W91" i="11"/>
  <c r="W39" i="6"/>
  <c r="W42" i="11"/>
  <c r="U48" i="6"/>
  <c r="U66" i="11"/>
  <c r="U55" i="6"/>
  <c r="Y28" i="11"/>
  <c r="T62" i="6"/>
  <c r="T63" i="6"/>
  <c r="Y29" i="10"/>
  <c r="Y29" i="11"/>
  <c r="AR90" i="11"/>
  <c r="V67" i="8"/>
  <c r="V66" i="8"/>
  <c r="W52" i="8"/>
  <c r="X61" i="8"/>
  <c r="X33" i="8"/>
  <c r="X39" i="8" s="1"/>
  <c r="X45" i="8" s="1"/>
  <c r="Y30" i="8"/>
  <c r="Y33" i="8" s="1"/>
  <c r="Y29" i="8"/>
  <c r="K30" i="8"/>
  <c r="X33" i="6"/>
  <c r="X57" i="6"/>
  <c r="X104" i="11" s="1"/>
  <c r="X53" i="6"/>
  <c r="X54" i="6" s="1"/>
  <c r="X89" i="11" s="1"/>
  <c r="AA17" i="6"/>
  <c r="Z22" i="6"/>
  <c r="Y29" i="6"/>
  <c r="Y53" i="6" s="1"/>
  <c r="AC28" i="6"/>
  <c r="Z25" i="6"/>
  <c r="Z21" i="6"/>
  <c r="Z18" i="6"/>
  <c r="Z30" i="6" s="1"/>
  <c r="AA124" i="11" l="1"/>
  <c r="Z125" i="11"/>
  <c r="Z84" i="10" s="1"/>
  <c r="Z83" i="10"/>
  <c r="T66" i="6"/>
  <c r="T68" i="6" s="1"/>
  <c r="Z28" i="11"/>
  <c r="U60" i="11"/>
  <c r="U92" i="11"/>
  <c r="Z28" i="10"/>
  <c r="Y73" i="6"/>
  <c r="Y36" i="11"/>
  <c r="Y35" i="10"/>
  <c r="Y74" i="6"/>
  <c r="Y34" i="11"/>
  <c r="Y33" i="11" s="1"/>
  <c r="Y33" i="10"/>
  <c r="U63" i="6"/>
  <c r="U62" i="6"/>
  <c r="Z29" i="10"/>
  <c r="Z29" i="11"/>
  <c r="W45" i="6"/>
  <c r="W54" i="11"/>
  <c r="W48" i="11" s="1"/>
  <c r="V48" i="6"/>
  <c r="V66" i="11"/>
  <c r="V55" i="6"/>
  <c r="X39" i="6"/>
  <c r="X42" i="11"/>
  <c r="Z30" i="11"/>
  <c r="Z30" i="10"/>
  <c r="X88" i="11"/>
  <c r="X91" i="11"/>
  <c r="AS90" i="11"/>
  <c r="W67" i="8"/>
  <c r="W66" i="8"/>
  <c r="X48" i="8"/>
  <c r="X51" i="8"/>
  <c r="K29" i="8"/>
  <c r="K20" i="2"/>
  <c r="Y58" i="8" s="1"/>
  <c r="Y61" i="8"/>
  <c r="C20" i="2"/>
  <c r="Q58" i="8" s="1"/>
  <c r="B20" i="2"/>
  <c r="P58" i="8" s="1"/>
  <c r="D20" i="2"/>
  <c r="R58" i="8" s="1"/>
  <c r="I20" i="2"/>
  <c r="W58" i="8" s="1"/>
  <c r="F20" i="2"/>
  <c r="T58" i="8" s="1"/>
  <c r="G20" i="2"/>
  <c r="U58" i="8" s="1"/>
  <c r="J20" i="2"/>
  <c r="X58" i="8" s="1"/>
  <c r="H20" i="2"/>
  <c r="V58" i="8" s="1"/>
  <c r="E20" i="2"/>
  <c r="S58" i="8" s="1"/>
  <c r="Y39" i="8"/>
  <c r="K33" i="8"/>
  <c r="Y33" i="6"/>
  <c r="Y54" i="6"/>
  <c r="Y89" i="11" s="1"/>
  <c r="Y57" i="6"/>
  <c r="Y104" i="11" s="1"/>
  <c r="AB17" i="6"/>
  <c r="Z29" i="6"/>
  <c r="AD28" i="6"/>
  <c r="AA18" i="6"/>
  <c r="AA30" i="6" s="1"/>
  <c r="AA21" i="6"/>
  <c r="AA25" i="6"/>
  <c r="AA22" i="6"/>
  <c r="AB124" i="11" l="1"/>
  <c r="AA83" i="10"/>
  <c r="AA125" i="11"/>
  <c r="AA84" i="10" s="1"/>
  <c r="U66" i="6"/>
  <c r="U68" i="6" s="1"/>
  <c r="AA29" i="10"/>
  <c r="AA29" i="11"/>
  <c r="V63" i="6"/>
  <c r="V62" i="6"/>
  <c r="V66" i="6" s="1"/>
  <c r="V68" i="6" s="1"/>
  <c r="W48" i="6"/>
  <c r="W66" i="11"/>
  <c r="W55" i="6"/>
  <c r="AA28" i="10"/>
  <c r="X45" i="6"/>
  <c r="X54" i="11"/>
  <c r="X48" i="11" s="1"/>
  <c r="AA28" i="11"/>
  <c r="Z33" i="10"/>
  <c r="Z73" i="6"/>
  <c r="Z36" i="11"/>
  <c r="Z35" i="10"/>
  <c r="Z74" i="6"/>
  <c r="Z34" i="11"/>
  <c r="Z33" i="11" s="1"/>
  <c r="Z53" i="6"/>
  <c r="Z54" i="6" s="1"/>
  <c r="Z89" i="11" s="1"/>
  <c r="Y88" i="11"/>
  <c r="Y91" i="11"/>
  <c r="Y39" i="6"/>
  <c r="Y42" i="11"/>
  <c r="AA30" i="10"/>
  <c r="AA30" i="11"/>
  <c r="V60" i="11"/>
  <c r="V92" i="11"/>
  <c r="AT90" i="11"/>
  <c r="X52" i="8"/>
  <c r="V59" i="8"/>
  <c r="V63" i="8"/>
  <c r="V57" i="8"/>
  <c r="T59" i="8"/>
  <c r="T57" i="8"/>
  <c r="T63" i="8"/>
  <c r="W59" i="8"/>
  <c r="W57" i="8"/>
  <c r="W63" i="8"/>
  <c r="R57" i="8"/>
  <c r="R63" i="8"/>
  <c r="R59" i="8"/>
  <c r="S59" i="8"/>
  <c r="S57" i="8"/>
  <c r="S63" i="8"/>
  <c r="P63" i="8"/>
  <c r="P59" i="8"/>
  <c r="P57" i="8"/>
  <c r="X59" i="8"/>
  <c r="X57" i="8"/>
  <c r="X63" i="8"/>
  <c r="Q57" i="8"/>
  <c r="Q59" i="8"/>
  <c r="Y63" i="8"/>
  <c r="Y57" i="8"/>
  <c r="U57" i="8"/>
  <c r="U59" i="8"/>
  <c r="U63" i="8"/>
  <c r="Y45" i="8"/>
  <c r="K39" i="8"/>
  <c r="Z33" i="6"/>
  <c r="Z57" i="6"/>
  <c r="Z104" i="11" s="1"/>
  <c r="AC17" i="6"/>
  <c r="AE28" i="6"/>
  <c r="AA29" i="6"/>
  <c r="AB18" i="6"/>
  <c r="AB30" i="6" s="1"/>
  <c r="AB22" i="6"/>
  <c r="AB25" i="6"/>
  <c r="AB21" i="6"/>
  <c r="AC124" i="11" l="1"/>
  <c r="AB83" i="10"/>
  <c r="AB125" i="11"/>
  <c r="AB84" i="10" s="1"/>
  <c r="AB28" i="11"/>
  <c r="W60" i="11"/>
  <c r="W92" i="11"/>
  <c r="W62" i="6"/>
  <c r="W63" i="6"/>
  <c r="Z39" i="6"/>
  <c r="Z42" i="11"/>
  <c r="AC21" i="6"/>
  <c r="AB29" i="11"/>
  <c r="AB29" i="10"/>
  <c r="AB30" i="11"/>
  <c r="AB30" i="10"/>
  <c r="Y45" i="6"/>
  <c r="Y54" i="11"/>
  <c r="Y48" i="11" s="1"/>
  <c r="Z88" i="11"/>
  <c r="Z91" i="11"/>
  <c r="AA34" i="11"/>
  <c r="AA33" i="11" s="1"/>
  <c r="AA33" i="10"/>
  <c r="AA73" i="6"/>
  <c r="AA36" i="11"/>
  <c r="AA35" i="10"/>
  <c r="AA74" i="6"/>
  <c r="X48" i="6"/>
  <c r="X66" i="11"/>
  <c r="X55" i="6"/>
  <c r="AB28" i="10"/>
  <c r="AU90" i="11"/>
  <c r="T78" i="8"/>
  <c r="T70" i="8"/>
  <c r="T72" i="8" s="1"/>
  <c r="T81" i="8" s="1"/>
  <c r="U78" i="8"/>
  <c r="U70" i="8"/>
  <c r="U72" i="8" s="1"/>
  <c r="U81" i="8" s="1"/>
  <c r="S70" i="8"/>
  <c r="S72" i="8" s="1"/>
  <c r="S81" i="8" s="1"/>
  <c r="S78" i="8"/>
  <c r="V78" i="8"/>
  <c r="V70" i="8"/>
  <c r="V72" i="8" s="1"/>
  <c r="V81" i="8" s="1"/>
  <c r="R78" i="8"/>
  <c r="R70" i="8"/>
  <c r="R72" i="8" s="1"/>
  <c r="R81" i="8" s="1"/>
  <c r="W70" i="8"/>
  <c r="W72" i="8" s="1"/>
  <c r="W81" i="8" s="1"/>
  <c r="W78" i="8"/>
  <c r="Q78" i="8"/>
  <c r="Q70" i="8"/>
  <c r="Q72" i="8" s="1"/>
  <c r="Q81" i="8" s="1"/>
  <c r="P78" i="8"/>
  <c r="P70" i="8"/>
  <c r="Y48" i="8"/>
  <c r="K48" i="8" s="1"/>
  <c r="Y51" i="8"/>
  <c r="X67" i="8"/>
  <c r="X66" i="8"/>
  <c r="Y59" i="8"/>
  <c r="AA33" i="6"/>
  <c r="AA57" i="6"/>
  <c r="AA104" i="11" s="1"/>
  <c r="AA53" i="6"/>
  <c r="AA54" i="6" s="1"/>
  <c r="AA89" i="11" s="1"/>
  <c r="AD17" i="6"/>
  <c r="AB29" i="6"/>
  <c r="AB53" i="6" s="1"/>
  <c r="AF28" i="6"/>
  <c r="AC22" i="6"/>
  <c r="AC18" i="6"/>
  <c r="AC25" i="6"/>
  <c r="AD124" i="11" l="1"/>
  <c r="AC83" i="10"/>
  <c r="AC125" i="11"/>
  <c r="AC84" i="10" s="1"/>
  <c r="X78" i="8"/>
  <c r="W66" i="6"/>
  <c r="W68" i="6" s="1"/>
  <c r="AC29" i="11"/>
  <c r="AC29" i="10"/>
  <c r="AA39" i="6"/>
  <c r="AA42" i="11"/>
  <c r="Z45" i="6"/>
  <c r="Z54" i="11"/>
  <c r="Z48" i="11" s="1"/>
  <c r="AA88" i="11"/>
  <c r="AA91" i="11"/>
  <c r="Y48" i="6"/>
  <c r="Y66" i="11"/>
  <c r="Y55" i="6"/>
  <c r="AC29" i="6"/>
  <c r="AC30" i="11"/>
  <c r="AC30" i="10"/>
  <c r="X60" i="11"/>
  <c r="X92" i="11"/>
  <c r="X63" i="6"/>
  <c r="X62" i="6"/>
  <c r="X66" i="6" s="1"/>
  <c r="X68" i="6" s="1"/>
  <c r="AC28" i="10"/>
  <c r="AD28" i="11"/>
  <c r="AB34" i="11"/>
  <c r="AB33" i="11" s="1"/>
  <c r="AB33" i="10"/>
  <c r="AB74" i="6"/>
  <c r="AB73" i="6"/>
  <c r="AB36" i="11"/>
  <c r="AB35" i="10"/>
  <c r="AC28" i="11"/>
  <c r="AV90" i="11"/>
  <c r="P72" i="8"/>
  <c r="X70" i="8"/>
  <c r="X72" i="8" s="1"/>
  <c r="X81" i="8" s="1"/>
  <c r="Y52" i="8"/>
  <c r="K52" i="8" s="1"/>
  <c r="AC57" i="6"/>
  <c r="AC104" i="11" s="1"/>
  <c r="AB33" i="6"/>
  <c r="AB54" i="6"/>
  <c r="AB89" i="11" s="1"/>
  <c r="AB57" i="6"/>
  <c r="AB104" i="11" s="1"/>
  <c r="AE17" i="6"/>
  <c r="AG28" i="6"/>
  <c r="AD18" i="6"/>
  <c r="AD28" i="10" s="1"/>
  <c r="AD25" i="6"/>
  <c r="AD22" i="6"/>
  <c r="AC30" i="6" s="1"/>
  <c r="AC33" i="6" s="1"/>
  <c r="AD21" i="6"/>
  <c r="AE124" i="11" l="1"/>
  <c r="AD83" i="10"/>
  <c r="AD125" i="11"/>
  <c r="AD84" i="10" s="1"/>
  <c r="AC74" i="6"/>
  <c r="AC34" i="11"/>
  <c r="AC33" i="11" s="1"/>
  <c r="AC33" i="10"/>
  <c r="AC73" i="6"/>
  <c r="AC36" i="11"/>
  <c r="AC35" i="10"/>
  <c r="AD30" i="11"/>
  <c r="AD30" i="10"/>
  <c r="Y60" i="11"/>
  <c r="Y92" i="11"/>
  <c r="AC39" i="6"/>
  <c r="AC42" i="11"/>
  <c r="Y62" i="6"/>
  <c r="Y63" i="6"/>
  <c r="Z48" i="6"/>
  <c r="Z66" i="11"/>
  <c r="Z55" i="6"/>
  <c r="AC53" i="6"/>
  <c r="AC54" i="6" s="1"/>
  <c r="AC89" i="11" s="1"/>
  <c r="AA45" i="6"/>
  <c r="AA54" i="11"/>
  <c r="AA48" i="11" s="1"/>
  <c r="AE21" i="6"/>
  <c r="AD29" i="11"/>
  <c r="AD29" i="10"/>
  <c r="AB88" i="11"/>
  <c r="AB91" i="11"/>
  <c r="AB39" i="6"/>
  <c r="AB42" i="11"/>
  <c r="AW90" i="11"/>
  <c r="K90" i="11" s="1"/>
  <c r="P81" i="8"/>
  <c r="Y67" i="8"/>
  <c r="K67" i="8" s="1"/>
  <c r="Y66" i="8"/>
  <c r="AD30" i="6"/>
  <c r="AF17" i="6"/>
  <c r="AD29" i="6"/>
  <c r="AH28" i="6"/>
  <c r="AE25" i="6"/>
  <c r="AE18" i="6"/>
  <c r="AF18" i="6" s="1"/>
  <c r="AE22" i="6"/>
  <c r="AF124" i="11" l="1"/>
  <c r="AE83" i="10"/>
  <c r="AE125" i="11"/>
  <c r="AE84" i="10" s="1"/>
  <c r="Y66" i="6"/>
  <c r="Y68" i="6" s="1"/>
  <c r="AF22" i="6"/>
  <c r="AD36" i="11"/>
  <c r="AD74" i="6"/>
  <c r="AD34" i="11"/>
  <c r="AD33" i="11" s="1"/>
  <c r="AD33" i="10"/>
  <c r="AD35" i="10"/>
  <c r="AD73" i="6"/>
  <c r="AC88" i="11"/>
  <c r="AC91" i="11"/>
  <c r="AF28" i="11"/>
  <c r="AF28" i="10"/>
  <c r="AC45" i="6"/>
  <c r="AC54" i="11"/>
  <c r="AC48" i="11" s="1"/>
  <c r="AB45" i="6"/>
  <c r="AB54" i="11"/>
  <c r="AB48" i="11" s="1"/>
  <c r="Z60" i="11"/>
  <c r="Z92" i="11"/>
  <c r="Z62" i="6"/>
  <c r="Z63" i="6"/>
  <c r="AE28" i="11"/>
  <c r="AE29" i="10"/>
  <c r="AE29" i="11"/>
  <c r="AE28" i="10"/>
  <c r="AG18" i="6"/>
  <c r="AC55" i="6"/>
  <c r="AE30" i="10"/>
  <c r="AE30" i="11"/>
  <c r="AA48" i="6"/>
  <c r="AA66" i="11"/>
  <c r="AA55" i="6"/>
  <c r="K66" i="8"/>
  <c r="Y78" i="8"/>
  <c r="K78" i="8" s="1"/>
  <c r="Y70" i="8"/>
  <c r="AD57" i="6"/>
  <c r="AD104" i="11" s="1"/>
  <c r="AD53" i="6"/>
  <c r="AD54" i="6" s="1"/>
  <c r="AD89" i="11" s="1"/>
  <c r="AD33" i="6"/>
  <c r="AE30" i="6"/>
  <c r="AG17" i="6"/>
  <c r="AE29" i="6"/>
  <c r="AI28" i="6"/>
  <c r="AF21" i="6"/>
  <c r="AH18" i="6"/>
  <c r="AF25" i="6"/>
  <c r="AG124" i="11" l="1"/>
  <c r="AF83" i="10"/>
  <c r="AF125" i="11"/>
  <c r="AF84" i="10" s="1"/>
  <c r="Z66" i="6"/>
  <c r="Z68" i="6" s="1"/>
  <c r="AD39" i="6"/>
  <c r="AD42" i="11"/>
  <c r="AD88" i="11"/>
  <c r="AD91" i="11"/>
  <c r="AA62" i="6"/>
  <c r="AA63" i="6"/>
  <c r="AF30" i="10"/>
  <c r="AF30" i="11"/>
  <c r="AA60" i="11"/>
  <c r="AA92" i="11"/>
  <c r="AB48" i="6"/>
  <c r="AB66" i="11"/>
  <c r="AB55" i="6"/>
  <c r="AG21" i="6"/>
  <c r="AF29" i="11"/>
  <c r="AF29" i="10"/>
  <c r="AE36" i="11"/>
  <c r="AE35" i="10"/>
  <c r="AE74" i="6"/>
  <c r="AE34" i="11"/>
  <c r="AE33" i="11" s="1"/>
  <c r="AE33" i="10"/>
  <c r="AE73" i="6"/>
  <c r="AC48" i="6"/>
  <c r="AC66" i="11"/>
  <c r="AC60" i="11" s="1"/>
  <c r="AG28" i="10"/>
  <c r="AG28" i="11"/>
  <c r="Y72" i="8"/>
  <c r="K70" i="8"/>
  <c r="AE57" i="6"/>
  <c r="AE104" i="11" s="1"/>
  <c r="AE53" i="6"/>
  <c r="AE54" i="6" s="1"/>
  <c r="AE89" i="11" s="1"/>
  <c r="AE33" i="6"/>
  <c r="AH17" i="6"/>
  <c r="AF30" i="6"/>
  <c r="AG25" i="6"/>
  <c r="AF29" i="6"/>
  <c r="AJ28" i="6"/>
  <c r="AG22" i="6"/>
  <c r="AH124" i="11" l="1"/>
  <c r="AG83" i="10"/>
  <c r="AG125" i="11"/>
  <c r="AG84" i="10" s="1"/>
  <c r="AA66" i="6"/>
  <c r="AA68" i="6" s="1"/>
  <c r="AH22" i="6"/>
  <c r="AG30" i="11"/>
  <c r="AG30" i="10"/>
  <c r="AH21" i="6"/>
  <c r="AG29" i="10"/>
  <c r="AG29" i="11"/>
  <c r="AE39" i="6"/>
  <c r="AE42" i="11"/>
  <c r="AC62" i="6"/>
  <c r="AC63" i="6"/>
  <c r="AF53" i="6"/>
  <c r="AF54" i="6" s="1"/>
  <c r="AF89" i="11" s="1"/>
  <c r="AB60" i="11"/>
  <c r="AB92" i="11"/>
  <c r="AC92" i="11"/>
  <c r="AB62" i="6"/>
  <c r="AB63" i="6"/>
  <c r="AF73" i="6"/>
  <c r="AF36" i="11"/>
  <c r="AF35" i="10"/>
  <c r="AF74" i="6"/>
  <c r="AF34" i="11"/>
  <c r="AF33" i="11" s="1"/>
  <c r="AF33" i="10"/>
  <c r="AH28" i="10"/>
  <c r="AH28" i="11"/>
  <c r="AD45" i="6"/>
  <c r="AD54" i="11"/>
  <c r="AD48" i="11" s="1"/>
  <c r="AI22" i="6"/>
  <c r="AE88" i="11"/>
  <c r="AE91" i="11"/>
  <c r="Y81" i="8"/>
  <c r="K72" i="8"/>
  <c r="AF57" i="6"/>
  <c r="AF104" i="11" s="1"/>
  <c r="AF33" i="6"/>
  <c r="AG30" i="6"/>
  <c r="AI17" i="6"/>
  <c r="AI18" i="6"/>
  <c r="AK28" i="6"/>
  <c r="AG29" i="6"/>
  <c r="AH25" i="6"/>
  <c r="AI124" i="11" l="1"/>
  <c r="AH83" i="10"/>
  <c r="AH125" i="11"/>
  <c r="AH84" i="10" s="1"/>
  <c r="AB66" i="6"/>
  <c r="AB68" i="6" s="1"/>
  <c r="AC66" i="6"/>
  <c r="AC68" i="6" s="1"/>
  <c r="AI28" i="11"/>
  <c r="AI28" i="10"/>
  <c r="AE45" i="6"/>
  <c r="AE54" i="11"/>
  <c r="AE48" i="11" s="1"/>
  <c r="AF39" i="6"/>
  <c r="AF42" i="11"/>
  <c r="AF88" i="11"/>
  <c r="AF91" i="11"/>
  <c r="AD48" i="6"/>
  <c r="AD66" i="11"/>
  <c r="AD55" i="6"/>
  <c r="AH29" i="10"/>
  <c r="AH29" i="11"/>
  <c r="AI21" i="6"/>
  <c r="AJ22" i="6" s="1"/>
  <c r="AH30" i="6"/>
  <c r="AH30" i="11"/>
  <c r="AH30" i="10"/>
  <c r="AG53" i="6"/>
  <c r="AG73" i="6"/>
  <c r="AG36" i="11"/>
  <c r="AG35" i="10"/>
  <c r="AG74" i="6"/>
  <c r="AG34" i="11"/>
  <c r="AG33" i="11" s="1"/>
  <c r="AG33" i="10"/>
  <c r="AJ18" i="6"/>
  <c r="K81" i="8"/>
  <c r="AG33" i="6"/>
  <c r="AG54" i="6"/>
  <c r="AG89" i="11" s="1"/>
  <c r="AG57" i="6"/>
  <c r="AG104" i="11" s="1"/>
  <c r="AJ17" i="6"/>
  <c r="AL28" i="6"/>
  <c r="AI25" i="6"/>
  <c r="AH29" i="6"/>
  <c r="AJ124" i="11" l="1"/>
  <c r="AI83" i="10"/>
  <c r="AI125" i="11"/>
  <c r="AI84" i="10" s="1"/>
  <c r="AJ21" i="6"/>
  <c r="AJ29" i="10"/>
  <c r="AJ29" i="11"/>
  <c r="AI30" i="6"/>
  <c r="AI30" i="10"/>
  <c r="AI30" i="11"/>
  <c r="AJ28" i="11"/>
  <c r="AJ28" i="10"/>
  <c r="AI29" i="11"/>
  <c r="AI29" i="10"/>
  <c r="AF45" i="6"/>
  <c r="AF54" i="11"/>
  <c r="AF48" i="11" s="1"/>
  <c r="AH73" i="6"/>
  <c r="AH36" i="11"/>
  <c r="AH35" i="10"/>
  <c r="AH74" i="6"/>
  <c r="AH34" i="11"/>
  <c r="AH33" i="11" s="1"/>
  <c r="AH33" i="10"/>
  <c r="AG88" i="11"/>
  <c r="AG91" i="11"/>
  <c r="AG39" i="6"/>
  <c r="AG42" i="11"/>
  <c r="AD60" i="11"/>
  <c r="AD92" i="11"/>
  <c r="AE48" i="6"/>
  <c r="AE66" i="11"/>
  <c r="AE55" i="6"/>
  <c r="AD62" i="6"/>
  <c r="AD63" i="6"/>
  <c r="AH33" i="6"/>
  <c r="AH57" i="6"/>
  <c r="AH104" i="11" s="1"/>
  <c r="AH53" i="6"/>
  <c r="AH54" i="6" s="1"/>
  <c r="AH89" i="11" s="1"/>
  <c r="AK21" i="6"/>
  <c r="AK18" i="6"/>
  <c r="AK17" i="6"/>
  <c r="AK22" i="6"/>
  <c r="AJ25" i="6"/>
  <c r="AI29" i="6"/>
  <c r="AM28" i="6"/>
  <c r="AK124" i="11" l="1"/>
  <c r="AJ83" i="10"/>
  <c r="AJ125" i="11"/>
  <c r="AJ84" i="10" s="1"/>
  <c r="AD66" i="6"/>
  <c r="AD68" i="6" s="1"/>
  <c r="AH88" i="11"/>
  <c r="AH91" i="11"/>
  <c r="AH39" i="6"/>
  <c r="AH42" i="11"/>
  <c r="AG45" i="6"/>
  <c r="AG54" i="11"/>
  <c r="AG48" i="11" s="1"/>
  <c r="AF48" i="6"/>
  <c r="AF66" i="11"/>
  <c r="AF55" i="6"/>
  <c r="AI73" i="6"/>
  <c r="AI36" i="11"/>
  <c r="AI35" i="10"/>
  <c r="AI74" i="6"/>
  <c r="AI34" i="11"/>
  <c r="AI33" i="11" s="1"/>
  <c r="AI33" i="10"/>
  <c r="AJ30" i="6"/>
  <c r="AJ30" i="11"/>
  <c r="AJ30" i="10"/>
  <c r="AK28" i="10"/>
  <c r="AK28" i="11"/>
  <c r="AE60" i="11"/>
  <c r="AE92" i="11"/>
  <c r="AE62" i="6"/>
  <c r="AE66" i="6" s="1"/>
  <c r="AE68" i="6" s="1"/>
  <c r="AE63" i="6"/>
  <c r="AK29" i="10"/>
  <c r="AK29" i="11"/>
  <c r="AI33" i="6"/>
  <c r="AI57" i="6"/>
  <c r="AI104" i="11" s="1"/>
  <c r="AI53" i="6"/>
  <c r="AI54" i="6" s="1"/>
  <c r="AI89" i="11" s="1"/>
  <c r="AL18" i="6"/>
  <c r="AL17" i="6"/>
  <c r="AL22" i="6"/>
  <c r="AL21" i="6"/>
  <c r="AN28" i="6"/>
  <c r="AK25" i="6"/>
  <c r="AJ29" i="6"/>
  <c r="AL124" i="11" l="1"/>
  <c r="AK83" i="10"/>
  <c r="AK125" i="11"/>
  <c r="AK84" i="10" s="1"/>
  <c r="AM22" i="6"/>
  <c r="AL29" i="11"/>
  <c r="AL29" i="10"/>
  <c r="AL28" i="10"/>
  <c r="AL28" i="11"/>
  <c r="AF60" i="11"/>
  <c r="AF92" i="11"/>
  <c r="AF63" i="6"/>
  <c r="AF62" i="6"/>
  <c r="AF66" i="6" s="1"/>
  <c r="AF68" i="6" s="1"/>
  <c r="AJ53" i="6"/>
  <c r="AJ54" i="6" s="1"/>
  <c r="AJ89" i="11" s="1"/>
  <c r="AI88" i="11"/>
  <c r="AI91" i="11"/>
  <c r="AG48" i="6"/>
  <c r="AG66" i="11"/>
  <c r="AG55" i="6"/>
  <c r="AI39" i="6"/>
  <c r="AI42" i="11"/>
  <c r="AH45" i="6"/>
  <c r="AH54" i="11"/>
  <c r="AH48" i="11" s="1"/>
  <c r="AK30" i="6"/>
  <c r="AK30" i="10"/>
  <c r="AK30" i="11"/>
  <c r="AJ73" i="6"/>
  <c r="AJ36" i="11"/>
  <c r="AJ35" i="10"/>
  <c r="AJ74" i="6"/>
  <c r="AJ34" i="11"/>
  <c r="AJ33" i="11" s="1"/>
  <c r="AJ33" i="10"/>
  <c r="AJ33" i="6"/>
  <c r="AJ57" i="6"/>
  <c r="AJ104" i="11" s="1"/>
  <c r="AM17" i="6"/>
  <c r="AM18" i="6"/>
  <c r="AM21" i="6"/>
  <c r="AL25" i="6"/>
  <c r="AK29" i="6"/>
  <c r="AO28" i="6"/>
  <c r="AM124" i="11" l="1"/>
  <c r="AL83" i="10"/>
  <c r="AL125" i="11"/>
  <c r="AL84" i="10" s="1"/>
  <c r="AL30" i="6"/>
  <c r="AL30" i="11"/>
  <c r="AL30" i="10"/>
  <c r="AH48" i="6"/>
  <c r="AH66" i="11"/>
  <c r="AH55" i="6"/>
  <c r="AM28" i="10"/>
  <c r="AM28" i="11"/>
  <c r="AI45" i="6"/>
  <c r="AI54" i="11"/>
  <c r="AI48" i="11" s="1"/>
  <c r="AM29" i="11"/>
  <c r="AM29" i="10"/>
  <c r="AK73" i="6"/>
  <c r="AK36" i="11"/>
  <c r="AK35" i="10"/>
  <c r="AK74" i="6"/>
  <c r="AK34" i="11"/>
  <c r="AK33" i="11" s="1"/>
  <c r="AK33" i="10"/>
  <c r="AJ88" i="11"/>
  <c r="AJ91" i="11"/>
  <c r="AG60" i="11"/>
  <c r="AG92" i="11"/>
  <c r="AJ39" i="6"/>
  <c r="AJ42" i="11"/>
  <c r="AG63" i="6"/>
  <c r="AG62" i="6"/>
  <c r="AG66" i="6" s="1"/>
  <c r="AG68" i="6" s="1"/>
  <c r="AK33" i="6"/>
  <c r="AK57" i="6"/>
  <c r="AK104" i="11" s="1"/>
  <c r="AK53" i="6"/>
  <c r="AK54" i="6" s="1"/>
  <c r="AK89" i="11" s="1"/>
  <c r="AN17" i="6"/>
  <c r="AN18" i="6"/>
  <c r="AN21" i="6"/>
  <c r="AN22" i="6"/>
  <c r="AP28" i="6"/>
  <c r="AM25" i="6"/>
  <c r="AL29" i="6"/>
  <c r="AN124" i="11" l="1"/>
  <c r="AM83" i="10"/>
  <c r="AM125" i="11"/>
  <c r="AM84" i="10" s="1"/>
  <c r="AJ45" i="6"/>
  <c r="AJ54" i="11"/>
  <c r="AJ48" i="11" s="1"/>
  <c r="AH60" i="11"/>
  <c r="AH92" i="11"/>
  <c r="AH63" i="6"/>
  <c r="AH62" i="6"/>
  <c r="AL34" i="11"/>
  <c r="AL33" i="11" s="1"/>
  <c r="AL33" i="10"/>
  <c r="AL73" i="6"/>
  <c r="AL36" i="11"/>
  <c r="AL35" i="10"/>
  <c r="AL74" i="6"/>
  <c r="AN28" i="11"/>
  <c r="AN28" i="10"/>
  <c r="AM30" i="6"/>
  <c r="AM30" i="11"/>
  <c r="AM30" i="10"/>
  <c r="AK88" i="11"/>
  <c r="AK91" i="11"/>
  <c r="AN29" i="10"/>
  <c r="AN29" i="11"/>
  <c r="AK39" i="6"/>
  <c r="AK42" i="11"/>
  <c r="AI48" i="6"/>
  <c r="AI66" i="11"/>
  <c r="AI55" i="6"/>
  <c r="AM53" i="6"/>
  <c r="AL33" i="6"/>
  <c r="AL57" i="6"/>
  <c r="AL104" i="11" s="1"/>
  <c r="AL53" i="6"/>
  <c r="AL54" i="6" s="1"/>
  <c r="AL89" i="11" s="1"/>
  <c r="AO17" i="6"/>
  <c r="AO18" i="6"/>
  <c r="AO21" i="6"/>
  <c r="AO22" i="6"/>
  <c r="AQ28" i="6"/>
  <c r="AN25" i="6"/>
  <c r="AM29" i="6"/>
  <c r="AO124" i="11" l="1"/>
  <c r="AN83" i="10"/>
  <c r="AN125" i="11"/>
  <c r="AN84" i="10" s="1"/>
  <c r="AH66" i="6"/>
  <c r="AH68" i="6" s="1"/>
  <c r="AL39" i="6"/>
  <c r="AL42" i="11"/>
  <c r="AM34" i="11"/>
  <c r="AM33" i="11" s="1"/>
  <c r="AM33" i="10"/>
  <c r="AM73" i="6"/>
  <c r="AM36" i="11"/>
  <c r="AM35" i="10"/>
  <c r="AM74" i="6"/>
  <c r="AI60" i="11"/>
  <c r="AI92" i="11"/>
  <c r="AO29" i="11"/>
  <c r="AO29" i="10"/>
  <c r="AI62" i="6"/>
  <c r="AI63" i="6"/>
  <c r="AN30" i="6"/>
  <c r="AN30" i="11"/>
  <c r="AN30" i="10"/>
  <c r="AO28" i="10"/>
  <c r="AO28" i="11"/>
  <c r="AL88" i="11"/>
  <c r="AL91" i="11"/>
  <c r="AK45" i="6"/>
  <c r="AK54" i="11"/>
  <c r="AK48" i="11" s="1"/>
  <c r="AJ48" i="6"/>
  <c r="AJ66" i="11"/>
  <c r="AJ55" i="6"/>
  <c r="AN53" i="6"/>
  <c r="AM33" i="6"/>
  <c r="AM54" i="6"/>
  <c r="AM89" i="11" s="1"/>
  <c r="AM57" i="6"/>
  <c r="AM104" i="11" s="1"/>
  <c r="AP18" i="6"/>
  <c r="AP21" i="6"/>
  <c r="AP22" i="6"/>
  <c r="AP17" i="6"/>
  <c r="AO25" i="6"/>
  <c r="AN29" i="6"/>
  <c r="AR28" i="6"/>
  <c r="AP124" i="11" l="1"/>
  <c r="AO125" i="11"/>
  <c r="AO84" i="10" s="1"/>
  <c r="AO83" i="10"/>
  <c r="AI66" i="6"/>
  <c r="AI68" i="6" s="1"/>
  <c r="AP28" i="10"/>
  <c r="AP28" i="11"/>
  <c r="AM88" i="11"/>
  <c r="AM91" i="11"/>
  <c r="AM39" i="6"/>
  <c r="AM42" i="11"/>
  <c r="AJ63" i="6"/>
  <c r="AJ62" i="6"/>
  <c r="AJ66" i="6" s="1"/>
  <c r="AJ68" i="6" s="1"/>
  <c r="AP29" i="10"/>
  <c r="AP29" i="11"/>
  <c r="AK48" i="6"/>
  <c r="AK66" i="11"/>
  <c r="AK55" i="6"/>
  <c r="AJ60" i="11"/>
  <c r="AJ92" i="11"/>
  <c r="AN34" i="11"/>
  <c r="AN33" i="11" s="1"/>
  <c r="AN33" i="10"/>
  <c r="AN74" i="6"/>
  <c r="AN73" i="6"/>
  <c r="AN36" i="11"/>
  <c r="AN35" i="10"/>
  <c r="AO30" i="6"/>
  <c r="AO30" i="11"/>
  <c r="AO30" i="10"/>
  <c r="AL45" i="6"/>
  <c r="AL54" i="11"/>
  <c r="AL48" i="11" s="1"/>
  <c r="AN33" i="6"/>
  <c r="AN54" i="6"/>
  <c r="AN89" i="11" s="1"/>
  <c r="AN57" i="6"/>
  <c r="AN104" i="11" s="1"/>
  <c r="AQ22" i="6"/>
  <c r="AQ18" i="6"/>
  <c r="AQ17" i="6"/>
  <c r="AQ21" i="6"/>
  <c r="AS28" i="6"/>
  <c r="AP25" i="6"/>
  <c r="AO29" i="6"/>
  <c r="AQ124" i="11" l="1"/>
  <c r="AP83" i="10"/>
  <c r="AP125" i="11"/>
  <c r="AP84" i="10" s="1"/>
  <c r="AO74" i="6"/>
  <c r="AO34" i="11"/>
  <c r="AO33" i="11" s="1"/>
  <c r="AO33" i="10"/>
  <c r="AO73" i="6"/>
  <c r="AO36" i="11"/>
  <c r="AO35" i="10"/>
  <c r="AN88" i="11"/>
  <c r="AN91" i="11"/>
  <c r="AP30" i="6"/>
  <c r="AP30" i="11"/>
  <c r="AP30" i="10"/>
  <c r="AM45" i="6"/>
  <c r="AM54" i="11"/>
  <c r="AM48" i="11" s="1"/>
  <c r="AQ29" i="10"/>
  <c r="AQ29" i="11"/>
  <c r="AQ28" i="11"/>
  <c r="AQ28" i="10"/>
  <c r="AL48" i="6"/>
  <c r="AL66" i="11"/>
  <c r="AL55" i="6"/>
  <c r="AK60" i="11"/>
  <c r="AK92" i="11"/>
  <c r="AN39" i="6"/>
  <c r="AN42" i="11"/>
  <c r="AK62" i="6"/>
  <c r="AK63" i="6"/>
  <c r="AO33" i="6"/>
  <c r="AO57" i="6"/>
  <c r="AO104" i="11" s="1"/>
  <c r="AO53" i="6"/>
  <c r="AO54" i="6" s="1"/>
  <c r="AO89" i="11" s="1"/>
  <c r="AR18" i="6"/>
  <c r="AR21" i="6"/>
  <c r="AR17" i="6"/>
  <c r="AR22" i="6"/>
  <c r="AP29" i="6"/>
  <c r="AQ25" i="6"/>
  <c r="AT28" i="6"/>
  <c r="AR124" i="11" l="1"/>
  <c r="AQ83" i="10"/>
  <c r="AQ125" i="11"/>
  <c r="AQ84" i="10" s="1"/>
  <c r="AK66" i="6"/>
  <c r="AK68" i="6" s="1"/>
  <c r="AL62" i="6"/>
  <c r="AL63" i="6"/>
  <c r="AM48" i="6"/>
  <c r="AM66" i="11"/>
  <c r="AM55" i="6"/>
  <c r="AL60" i="11"/>
  <c r="AL92" i="11"/>
  <c r="AQ30" i="6"/>
  <c r="AQ30" i="11"/>
  <c r="AQ30" i="10"/>
  <c r="AO88" i="11"/>
  <c r="AO91" i="11"/>
  <c r="AR29" i="11"/>
  <c r="AR29" i="10"/>
  <c r="AN45" i="6"/>
  <c r="AN54" i="11"/>
  <c r="AN48" i="11" s="1"/>
  <c r="AR28" i="11"/>
  <c r="AR28" i="10"/>
  <c r="AO39" i="6"/>
  <c r="AO42" i="11"/>
  <c r="AP35" i="10"/>
  <c r="AP74" i="6"/>
  <c r="AP36" i="11"/>
  <c r="AP34" i="11"/>
  <c r="AP33" i="11" s="1"/>
  <c r="AP33" i="10"/>
  <c r="AP73" i="6"/>
  <c r="AP33" i="6"/>
  <c r="AP57" i="6"/>
  <c r="AP104" i="11" s="1"/>
  <c r="AP53" i="6"/>
  <c r="AP54" i="6" s="1"/>
  <c r="AP89" i="11" s="1"/>
  <c r="AS22" i="6"/>
  <c r="AS21" i="6"/>
  <c r="AS18" i="6"/>
  <c r="AS17" i="6"/>
  <c r="AR25" i="6"/>
  <c r="AQ29" i="6"/>
  <c r="AU28" i="6"/>
  <c r="AS124" i="11" l="1"/>
  <c r="AR83" i="10"/>
  <c r="AR125" i="11"/>
  <c r="AR84" i="10" s="1"/>
  <c r="AL66" i="6"/>
  <c r="AL68" i="6" s="1"/>
  <c r="AQ36" i="11"/>
  <c r="AQ35" i="10"/>
  <c r="AQ74" i="6"/>
  <c r="AQ34" i="11"/>
  <c r="AQ33" i="11" s="1"/>
  <c r="AQ33" i="10"/>
  <c r="AQ73" i="6"/>
  <c r="AO45" i="6"/>
  <c r="AO54" i="11"/>
  <c r="AO48" i="11" s="1"/>
  <c r="AR30" i="6"/>
  <c r="AR30" i="10"/>
  <c r="AR30" i="11"/>
  <c r="AM60" i="11"/>
  <c r="AM92" i="11"/>
  <c r="AS29" i="11"/>
  <c r="AS29" i="10"/>
  <c r="AN48" i="6"/>
  <c r="AN66" i="11"/>
  <c r="AN55" i="6"/>
  <c r="AM72" i="11"/>
  <c r="AM63" i="6"/>
  <c r="AM62" i="6"/>
  <c r="AS28" i="10"/>
  <c r="AS28" i="11"/>
  <c r="AP88" i="11"/>
  <c r="AP91" i="11"/>
  <c r="AP39" i="6"/>
  <c r="AP42" i="11"/>
  <c r="AQ33" i="6"/>
  <c r="AQ57" i="6"/>
  <c r="AQ104" i="11" s="1"/>
  <c r="AQ53" i="6"/>
  <c r="AQ54" i="6" s="1"/>
  <c r="AQ89" i="11" s="1"/>
  <c r="AT17" i="6"/>
  <c r="AT22" i="6"/>
  <c r="AT18" i="6"/>
  <c r="AT21" i="6"/>
  <c r="AV28" i="6"/>
  <c r="AR29" i="6"/>
  <c r="AS25" i="6"/>
  <c r="AT124" i="11" l="1"/>
  <c r="AS83" i="10"/>
  <c r="AS125" i="11"/>
  <c r="AS84" i="10" s="1"/>
  <c r="AM115" i="11"/>
  <c r="AM66" i="6"/>
  <c r="AQ39" i="6"/>
  <c r="AQ42" i="11"/>
  <c r="AN72" i="11"/>
  <c r="AN62" i="6"/>
  <c r="AN63" i="6"/>
  <c r="AO48" i="6"/>
  <c r="AO66" i="11"/>
  <c r="AO55" i="6"/>
  <c r="AP45" i="6"/>
  <c r="AP54" i="11"/>
  <c r="AP48" i="11" s="1"/>
  <c r="AT29" i="10"/>
  <c r="AT29" i="11"/>
  <c r="AT28" i="11"/>
  <c r="AT28" i="10"/>
  <c r="AR73" i="6"/>
  <c r="AR36" i="11"/>
  <c r="AR35" i="10"/>
  <c r="AR74" i="6"/>
  <c r="AR34" i="11"/>
  <c r="AR33" i="11" s="1"/>
  <c r="AR33" i="10"/>
  <c r="AM75" i="11"/>
  <c r="AM95" i="11" s="1"/>
  <c r="AM93" i="11"/>
  <c r="AQ88" i="11"/>
  <c r="AQ91" i="11"/>
  <c r="AS30" i="6"/>
  <c r="AS30" i="11"/>
  <c r="AS30" i="10"/>
  <c r="AN60" i="11"/>
  <c r="AN92" i="11"/>
  <c r="AR33" i="6"/>
  <c r="AR57" i="6"/>
  <c r="AR104" i="11" s="1"/>
  <c r="AR53" i="6"/>
  <c r="AR54" i="6" s="1"/>
  <c r="AR89" i="11" s="1"/>
  <c r="AU21" i="6"/>
  <c r="AU17" i="6"/>
  <c r="AU22" i="6"/>
  <c r="AU18" i="6"/>
  <c r="AW28" i="6"/>
  <c r="K28" i="6" s="1"/>
  <c r="AS29" i="6"/>
  <c r="AT25" i="6"/>
  <c r="AU124" i="11" l="1"/>
  <c r="AT83" i="10"/>
  <c r="AT125" i="11"/>
  <c r="AT84" i="10" s="1"/>
  <c r="AN115" i="11"/>
  <c r="AM118" i="11"/>
  <c r="AM68" i="6"/>
  <c r="AN66" i="6"/>
  <c r="AM78" i="11"/>
  <c r="AM105" i="11"/>
  <c r="AM77" i="11"/>
  <c r="AM79" i="11"/>
  <c r="AM80" i="11"/>
  <c r="AM85" i="11"/>
  <c r="AM106" i="11"/>
  <c r="AM100" i="11"/>
  <c r="AM101" i="11" s="1"/>
  <c r="AM96" i="11"/>
  <c r="AM94" i="11"/>
  <c r="AM97" i="11"/>
  <c r="AO60" i="11"/>
  <c r="AO92" i="11"/>
  <c r="AS73" i="6"/>
  <c r="AS36" i="11"/>
  <c r="AS35" i="10"/>
  <c r="AS74" i="6"/>
  <c r="AS34" i="11"/>
  <c r="AS33" i="11" s="1"/>
  <c r="AS33" i="10"/>
  <c r="AP48" i="6"/>
  <c r="AP66" i="11"/>
  <c r="AP55" i="6"/>
  <c r="AO72" i="11"/>
  <c r="AO63" i="6"/>
  <c r="AO62" i="6"/>
  <c r="AO115" i="11" s="1"/>
  <c r="AN75" i="11"/>
  <c r="AN78" i="11" s="1"/>
  <c r="AN93" i="11"/>
  <c r="AU28" i="10"/>
  <c r="AU28" i="11"/>
  <c r="AR88" i="11"/>
  <c r="AR91" i="11"/>
  <c r="AR39" i="6"/>
  <c r="AR42" i="11"/>
  <c r="AQ45" i="6"/>
  <c r="AQ54" i="11"/>
  <c r="AQ48" i="11" s="1"/>
  <c r="AT30" i="6"/>
  <c r="AT30" i="11"/>
  <c r="AT30" i="10"/>
  <c r="AU29" i="10"/>
  <c r="AU29" i="11"/>
  <c r="AS33" i="6"/>
  <c r="AS57" i="6"/>
  <c r="AS104" i="11" s="1"/>
  <c r="AS53" i="6"/>
  <c r="AS54" i="6" s="1"/>
  <c r="AS89" i="11" s="1"/>
  <c r="AV17" i="6"/>
  <c r="AV18" i="6"/>
  <c r="AV22" i="6"/>
  <c r="AV21" i="6"/>
  <c r="AT29" i="6"/>
  <c r="AU25" i="6"/>
  <c r="AV124" i="11" l="1"/>
  <c r="AU83" i="10"/>
  <c r="AU125" i="11"/>
  <c r="AU84" i="10" s="1"/>
  <c r="AN95" i="11"/>
  <c r="AN118" i="11"/>
  <c r="AN68" i="6"/>
  <c r="AO66" i="6"/>
  <c r="AP60" i="11"/>
  <c r="AP92" i="11"/>
  <c r="AP72" i="11"/>
  <c r="AP62" i="6"/>
  <c r="AP63" i="6"/>
  <c r="AS39" i="6"/>
  <c r="AS42" i="11"/>
  <c r="AN105" i="11"/>
  <c r="AN106" i="11"/>
  <c r="AN85" i="11"/>
  <c r="AN77" i="11"/>
  <c r="AN79" i="11"/>
  <c r="AN80" i="11"/>
  <c r="AN100" i="11"/>
  <c r="AN101" i="11" s="1"/>
  <c r="AN94" i="11"/>
  <c r="AN97" i="11"/>
  <c r="AN96" i="11"/>
  <c r="AT73" i="6"/>
  <c r="AT36" i="11"/>
  <c r="AT35" i="10"/>
  <c r="AT74" i="6"/>
  <c r="AT34" i="11"/>
  <c r="AT33" i="11" s="1"/>
  <c r="AT33" i="10"/>
  <c r="AU30" i="6"/>
  <c r="AU30" i="11"/>
  <c r="AU30" i="10"/>
  <c r="AV29" i="11"/>
  <c r="AV29" i="10"/>
  <c r="AV28" i="10"/>
  <c r="AV28" i="11"/>
  <c r="AR45" i="6"/>
  <c r="AR54" i="11"/>
  <c r="AR48" i="11" s="1"/>
  <c r="AS88" i="11"/>
  <c r="AS91" i="11"/>
  <c r="AO75" i="11"/>
  <c r="AO78" i="11" s="1"/>
  <c r="AO93" i="11"/>
  <c r="AQ48" i="6"/>
  <c r="AQ66" i="11"/>
  <c r="AQ55" i="6"/>
  <c r="AT33" i="6"/>
  <c r="AT57" i="6"/>
  <c r="AT104" i="11" s="1"/>
  <c r="AT53" i="6"/>
  <c r="AT54" i="6" s="1"/>
  <c r="AT89" i="11" s="1"/>
  <c r="AW17" i="6"/>
  <c r="AW21" i="6"/>
  <c r="AW22" i="6"/>
  <c r="AW18" i="6"/>
  <c r="AU29" i="6"/>
  <c r="AV25" i="6"/>
  <c r="AW124" i="11" l="1"/>
  <c r="AV83" i="10"/>
  <c r="AV125" i="11"/>
  <c r="AV84" i="10" s="1"/>
  <c r="AP115" i="11"/>
  <c r="AO68" i="6"/>
  <c r="AO118" i="11"/>
  <c r="AP66" i="6"/>
  <c r="AU73" i="6"/>
  <c r="AU36" i="11"/>
  <c r="AU35" i="10"/>
  <c r="AU74" i="6"/>
  <c r="AU34" i="11"/>
  <c r="AU33" i="11" s="1"/>
  <c r="AU33" i="10"/>
  <c r="AS45" i="6"/>
  <c r="AS54" i="11"/>
  <c r="AS48" i="11" s="1"/>
  <c r="AV30" i="6"/>
  <c r="AV30" i="10"/>
  <c r="AV30" i="11"/>
  <c r="AW29" i="10"/>
  <c r="AW29" i="11"/>
  <c r="AW28" i="11"/>
  <c r="AW28" i="10"/>
  <c r="AP75" i="11"/>
  <c r="AP78" i="11" s="1"/>
  <c r="AP93" i="11"/>
  <c r="AO77" i="11"/>
  <c r="AO85" i="11"/>
  <c r="AO79" i="11"/>
  <c r="AO80" i="11"/>
  <c r="AO105" i="11"/>
  <c r="AO106" i="11"/>
  <c r="AO100" i="11"/>
  <c r="AO101" i="11" s="1"/>
  <c r="AO97" i="11"/>
  <c r="AO96" i="11"/>
  <c r="AO94" i="11"/>
  <c r="AR48" i="6"/>
  <c r="AR66" i="11"/>
  <c r="AR55" i="6"/>
  <c r="AQ60" i="11"/>
  <c r="AQ92" i="11"/>
  <c r="AT39" i="6"/>
  <c r="AT42" i="11"/>
  <c r="AT88" i="11"/>
  <c r="AT91" i="11"/>
  <c r="AQ72" i="11"/>
  <c r="AQ63" i="6"/>
  <c r="AQ62" i="6"/>
  <c r="AQ115" i="11" s="1"/>
  <c r="AO95" i="11"/>
  <c r="AU33" i="6"/>
  <c r="AU57" i="6"/>
  <c r="AU104" i="11" s="1"/>
  <c r="AU53" i="6"/>
  <c r="AU54" i="6" s="1"/>
  <c r="AU89" i="11" s="1"/>
  <c r="AW25" i="6"/>
  <c r="AV29" i="6"/>
  <c r="AW83" i="10" l="1"/>
  <c r="AW125" i="11"/>
  <c r="K124" i="11"/>
  <c r="AP68" i="6"/>
  <c r="AP118" i="11"/>
  <c r="AQ66" i="6"/>
  <c r="AP95" i="11"/>
  <c r="AS48" i="6"/>
  <c r="AS66" i="11"/>
  <c r="AS55" i="6"/>
  <c r="AP79" i="11"/>
  <c r="AP77" i="11"/>
  <c r="AP105" i="11"/>
  <c r="AP106" i="11"/>
  <c r="AP80" i="11"/>
  <c r="AP85" i="11"/>
  <c r="AP100" i="11"/>
  <c r="AP101" i="11" s="1"/>
  <c r="AP96" i="11"/>
  <c r="AP94" i="11"/>
  <c r="AP97" i="11"/>
  <c r="AW29" i="6"/>
  <c r="AW30" i="11"/>
  <c r="AW30" i="10"/>
  <c r="AU88" i="11"/>
  <c r="AU91" i="11"/>
  <c r="AT45" i="6"/>
  <c r="AT54" i="11"/>
  <c r="AT48" i="11" s="1"/>
  <c r="AR72" i="11"/>
  <c r="AR62" i="6"/>
  <c r="AR63" i="6"/>
  <c r="AH17" i="2"/>
  <c r="AV72" i="6" s="1"/>
  <c r="AV58" i="6" s="1"/>
  <c r="AV107" i="11" s="1"/>
  <c r="AV73" i="6"/>
  <c r="AV36" i="11"/>
  <c r="AV35" i="10"/>
  <c r="AV74" i="6"/>
  <c r="AV34" i="11"/>
  <c r="AV33" i="11" s="1"/>
  <c r="AV33" i="10"/>
  <c r="AF17" i="2"/>
  <c r="AT72" i="6" s="1"/>
  <c r="AT58" i="6" s="1"/>
  <c r="AQ75" i="11"/>
  <c r="AQ78" i="11" s="1"/>
  <c r="AQ93" i="11"/>
  <c r="AR60" i="11"/>
  <c r="AR92" i="11"/>
  <c r="AU39" i="6"/>
  <c r="AU42" i="11"/>
  <c r="AV33" i="6"/>
  <c r="AV57" i="6"/>
  <c r="AV104" i="11" s="1"/>
  <c r="AV53" i="6"/>
  <c r="AV54" i="6" s="1"/>
  <c r="AV89" i="11" s="1"/>
  <c r="AW53" i="6"/>
  <c r="AW57" i="6"/>
  <c r="AW30" i="6"/>
  <c r="AW84" i="10" l="1"/>
  <c r="K84" i="10" s="1"/>
  <c r="K125" i="11"/>
  <c r="AR115" i="11"/>
  <c r="AQ68" i="6"/>
  <c r="AQ118" i="11"/>
  <c r="AR66" i="6"/>
  <c r="AQ106" i="11"/>
  <c r="AQ80" i="11"/>
  <c r="AQ85" i="11"/>
  <c r="AQ77" i="11"/>
  <c r="AQ105" i="11"/>
  <c r="AQ79" i="11"/>
  <c r="AQ100" i="11"/>
  <c r="AQ101" i="11" s="1"/>
  <c r="AQ97" i="11"/>
  <c r="AQ94" i="11"/>
  <c r="AQ96" i="11"/>
  <c r="AT107" i="11"/>
  <c r="AT59" i="6"/>
  <c r="AR75" i="11"/>
  <c r="AR78" i="11" s="1"/>
  <c r="AR93" i="11"/>
  <c r="AV88" i="11"/>
  <c r="AV91" i="11"/>
  <c r="AT48" i="6"/>
  <c r="AT66" i="11"/>
  <c r="AT55" i="6"/>
  <c r="AV39" i="6"/>
  <c r="AV42" i="11"/>
  <c r="AU45" i="6"/>
  <c r="AU54" i="11"/>
  <c r="AU48" i="11" s="1"/>
  <c r="AW54" i="6"/>
  <c r="K53" i="6"/>
  <c r="AI17" i="2"/>
  <c r="AW72" i="6" s="1"/>
  <c r="AW58" i="6" s="1"/>
  <c r="AW107" i="11" s="1"/>
  <c r="AW73" i="6"/>
  <c r="K73" i="6" s="1"/>
  <c r="AW36" i="11"/>
  <c r="K36" i="11" s="1"/>
  <c r="AW35" i="10"/>
  <c r="AW74" i="6"/>
  <c r="K74" i="6" s="1"/>
  <c r="AW34" i="11"/>
  <c r="AW33" i="10"/>
  <c r="K29" i="6"/>
  <c r="B17" i="2"/>
  <c r="P72" i="6" s="1"/>
  <c r="D17" i="2"/>
  <c r="R72" i="6" s="1"/>
  <c r="R58" i="6" s="1"/>
  <c r="C17" i="2"/>
  <c r="Q72" i="6" s="1"/>
  <c r="Q58" i="6" s="1"/>
  <c r="E17" i="2"/>
  <c r="S72" i="6" s="1"/>
  <c r="S58" i="6" s="1"/>
  <c r="G17" i="2"/>
  <c r="U72" i="6" s="1"/>
  <c r="U58" i="6" s="1"/>
  <c r="F17" i="2"/>
  <c r="T72" i="6" s="1"/>
  <c r="T58" i="6" s="1"/>
  <c r="H17" i="2"/>
  <c r="V72" i="6" s="1"/>
  <c r="V58" i="6" s="1"/>
  <c r="K17" i="2"/>
  <c r="Y72" i="6" s="1"/>
  <c r="Y58" i="6" s="1"/>
  <c r="I17" i="2"/>
  <c r="W72" i="6" s="1"/>
  <c r="W58" i="6" s="1"/>
  <c r="J17" i="2"/>
  <c r="X72" i="6" s="1"/>
  <c r="X58" i="6" s="1"/>
  <c r="L17" i="2"/>
  <c r="Z72" i="6" s="1"/>
  <c r="Z58" i="6" s="1"/>
  <c r="N17" i="2"/>
  <c r="AB72" i="6" s="1"/>
  <c r="AB58" i="6" s="1"/>
  <c r="M17" i="2"/>
  <c r="AA72" i="6" s="1"/>
  <c r="AA58" i="6" s="1"/>
  <c r="O17" i="2"/>
  <c r="AC72" i="6" s="1"/>
  <c r="AC58" i="6" s="1"/>
  <c r="Q17" i="2"/>
  <c r="AE72" i="6" s="1"/>
  <c r="AE58" i="6" s="1"/>
  <c r="P17" i="2"/>
  <c r="AD72" i="6" s="1"/>
  <c r="AD58" i="6" s="1"/>
  <c r="S17" i="2"/>
  <c r="AG72" i="6" s="1"/>
  <c r="AG58" i="6" s="1"/>
  <c r="T17" i="2"/>
  <c r="AH72" i="6" s="1"/>
  <c r="AH58" i="6" s="1"/>
  <c r="R17" i="2"/>
  <c r="AF72" i="6" s="1"/>
  <c r="AF58" i="6" s="1"/>
  <c r="V17" i="2"/>
  <c r="AJ72" i="6" s="1"/>
  <c r="AJ58" i="6" s="1"/>
  <c r="W17" i="2"/>
  <c r="AK72" i="6" s="1"/>
  <c r="AK58" i="6" s="1"/>
  <c r="U17" i="2"/>
  <c r="AI72" i="6" s="1"/>
  <c r="AI58" i="6" s="1"/>
  <c r="X17" i="2"/>
  <c r="AL72" i="6" s="1"/>
  <c r="AL58" i="6" s="1"/>
  <c r="Z17" i="2"/>
  <c r="AN72" i="6" s="1"/>
  <c r="AN58" i="6" s="1"/>
  <c r="Y17" i="2"/>
  <c r="AM72" i="6" s="1"/>
  <c r="AM58" i="6" s="1"/>
  <c r="AA17" i="2"/>
  <c r="AO72" i="6" s="1"/>
  <c r="AO58" i="6" s="1"/>
  <c r="AB17" i="2"/>
  <c r="AP72" i="6" s="1"/>
  <c r="AP58" i="6" s="1"/>
  <c r="AD17" i="2"/>
  <c r="AR72" i="6" s="1"/>
  <c r="AR58" i="6" s="1"/>
  <c r="AE17" i="2"/>
  <c r="AS72" i="6" s="1"/>
  <c r="AS58" i="6" s="1"/>
  <c r="AC17" i="2"/>
  <c r="AQ72" i="6" s="1"/>
  <c r="AQ58" i="6" s="1"/>
  <c r="AS60" i="11"/>
  <c r="AS92" i="11"/>
  <c r="AW33" i="6"/>
  <c r="K30" i="6"/>
  <c r="AQ95" i="11"/>
  <c r="AS72" i="11"/>
  <c r="AS62" i="6"/>
  <c r="AS63" i="6"/>
  <c r="AW104" i="11"/>
  <c r="K104" i="11" s="1"/>
  <c r="K57" i="6"/>
  <c r="AG17" i="2"/>
  <c r="AU72" i="6" s="1"/>
  <c r="AU58" i="6" s="1"/>
  <c r="AV59" i="6"/>
  <c r="AW59" i="6"/>
  <c r="AS115" i="11" l="1"/>
  <c r="AR68" i="6"/>
  <c r="AR118" i="11"/>
  <c r="AS66" i="6"/>
  <c r="AW33" i="11"/>
  <c r="K33" i="11" s="1"/>
  <c r="K34" i="11"/>
  <c r="AR95" i="11"/>
  <c r="AG107" i="11"/>
  <c r="AG59" i="6"/>
  <c r="U107" i="11"/>
  <c r="U59" i="6"/>
  <c r="AD107" i="11"/>
  <c r="AD59" i="6"/>
  <c r="S107" i="11"/>
  <c r="S59" i="6"/>
  <c r="AP107" i="11"/>
  <c r="AP108" i="11" s="1"/>
  <c r="AP59" i="6"/>
  <c r="AE107" i="11"/>
  <c r="AE59" i="6"/>
  <c r="Q107" i="11"/>
  <c r="Q59" i="6"/>
  <c r="AW89" i="11"/>
  <c r="K89" i="11" s="1"/>
  <c r="K54" i="6"/>
  <c r="AO107" i="11"/>
  <c r="AO108" i="11" s="1"/>
  <c r="AO59" i="6"/>
  <c r="AC107" i="11"/>
  <c r="AC59" i="6"/>
  <c r="R107" i="11"/>
  <c r="R70" i="10" s="1"/>
  <c r="K70" i="10" s="1"/>
  <c r="R59" i="6"/>
  <c r="AM107" i="11"/>
  <c r="AM108" i="11" s="1"/>
  <c r="AM59" i="6"/>
  <c r="AA107" i="11"/>
  <c r="AA59" i="6"/>
  <c r="P58" i="6"/>
  <c r="K72" i="6"/>
  <c r="AU48" i="6"/>
  <c r="AU66" i="11"/>
  <c r="AU55" i="6"/>
  <c r="AT60" i="11"/>
  <c r="AT92" i="11"/>
  <c r="AN107" i="11"/>
  <c r="AN108" i="11" s="1"/>
  <c r="AN59" i="6"/>
  <c r="AB107" i="11"/>
  <c r="AB59" i="6"/>
  <c r="AT72" i="11"/>
  <c r="AT63" i="6"/>
  <c r="AT62" i="6"/>
  <c r="AR107" i="11"/>
  <c r="AR59" i="6"/>
  <c r="AS75" i="11"/>
  <c r="AS95" i="11" s="1"/>
  <c r="AS93" i="11"/>
  <c r="AL107" i="11"/>
  <c r="AL59" i="6"/>
  <c r="Z107" i="11"/>
  <c r="Z59" i="6"/>
  <c r="AV45" i="6"/>
  <c r="AV54" i="11"/>
  <c r="AV48" i="11" s="1"/>
  <c r="AI107" i="11"/>
  <c r="AI59" i="6"/>
  <c r="X107" i="11"/>
  <c r="X59" i="6"/>
  <c r="AS107" i="11"/>
  <c r="AS59" i="6"/>
  <c r="AK107" i="11"/>
  <c r="AK59" i="6"/>
  <c r="W107" i="11"/>
  <c r="W59" i="6"/>
  <c r="AJ107" i="11"/>
  <c r="AJ59" i="6"/>
  <c r="Y107" i="11"/>
  <c r="Y59" i="6"/>
  <c r="AW39" i="6"/>
  <c r="AW42" i="11"/>
  <c r="K42" i="11" s="1"/>
  <c r="K33" i="6"/>
  <c r="AF107" i="11"/>
  <c r="AF59" i="6"/>
  <c r="V107" i="11"/>
  <c r="V59" i="6"/>
  <c r="AU107" i="11"/>
  <c r="AU59" i="6"/>
  <c r="AQ107" i="11"/>
  <c r="AQ108" i="11" s="1"/>
  <c r="AQ59" i="6"/>
  <c r="AH107" i="11"/>
  <c r="AH59" i="6"/>
  <c r="T107" i="11"/>
  <c r="T59" i="6"/>
  <c r="AR80" i="11"/>
  <c r="AR77" i="11"/>
  <c r="AR85" i="11"/>
  <c r="AR105" i="11"/>
  <c r="AR106" i="11"/>
  <c r="AR79" i="11"/>
  <c r="AR100" i="11"/>
  <c r="AR101" i="11" s="1"/>
  <c r="AR97" i="11"/>
  <c r="AR96" i="11"/>
  <c r="AR94" i="11"/>
  <c r="AT75" i="6" l="1"/>
  <c r="AT115" i="11"/>
  <c r="AS78" i="11"/>
  <c r="AS68" i="6"/>
  <c r="AS118" i="11"/>
  <c r="AT66" i="6"/>
  <c r="AQ111" i="11"/>
  <c r="AQ131" i="11"/>
  <c r="AP111" i="11"/>
  <c r="AP131" i="11"/>
  <c r="AO111" i="11"/>
  <c r="AO131" i="11"/>
  <c r="AM111" i="11"/>
  <c r="AM131" i="11"/>
  <c r="AN111" i="11"/>
  <c r="AN131" i="11"/>
  <c r="AR108" i="11"/>
  <c r="V75" i="6"/>
  <c r="V78" i="6"/>
  <c r="W78" i="6"/>
  <c r="W75" i="6"/>
  <c r="AN78" i="6"/>
  <c r="AN75" i="6"/>
  <c r="R75" i="6"/>
  <c r="R78" i="6"/>
  <c r="AP75" i="6"/>
  <c r="AP78" i="6"/>
  <c r="AF75" i="6"/>
  <c r="AF78" i="6"/>
  <c r="AK75" i="6"/>
  <c r="AK78" i="6"/>
  <c r="AS80" i="11"/>
  <c r="AS106" i="11"/>
  <c r="AS79" i="11"/>
  <c r="AS77" i="11"/>
  <c r="AS105" i="11"/>
  <c r="AS85" i="11"/>
  <c r="AS100" i="11"/>
  <c r="AS101" i="11" s="1"/>
  <c r="AS97" i="11"/>
  <c r="AS94" i="11"/>
  <c r="AS96" i="11"/>
  <c r="AC78" i="6"/>
  <c r="AC75" i="6"/>
  <c r="S78" i="6"/>
  <c r="S75" i="6"/>
  <c r="T75" i="6"/>
  <c r="T78" i="6"/>
  <c r="AS75" i="6"/>
  <c r="AS78" i="6"/>
  <c r="AR75" i="6"/>
  <c r="AR78" i="6"/>
  <c r="AU60" i="11"/>
  <c r="AU92" i="11"/>
  <c r="AO75" i="6"/>
  <c r="AO78" i="6"/>
  <c r="AD75" i="6"/>
  <c r="AD78" i="6"/>
  <c r="AH78" i="6"/>
  <c r="AH75" i="6"/>
  <c r="AW45" i="6"/>
  <c r="AW54" i="11"/>
  <c r="K39" i="6"/>
  <c r="AU72" i="11"/>
  <c r="AU63" i="6"/>
  <c r="AU62" i="6"/>
  <c r="Y78" i="6"/>
  <c r="Y75" i="6"/>
  <c r="X75" i="6"/>
  <c r="X78" i="6"/>
  <c r="AV48" i="6"/>
  <c r="AV66" i="11"/>
  <c r="AV55" i="6"/>
  <c r="AQ75" i="6"/>
  <c r="AQ78" i="6"/>
  <c r="Z78" i="6"/>
  <c r="Z75" i="6"/>
  <c r="K58" i="6"/>
  <c r="P107" i="11"/>
  <c r="P59" i="6"/>
  <c r="AW88" i="11"/>
  <c r="K88" i="11" s="1"/>
  <c r="AW91" i="11"/>
  <c r="K91" i="11" s="1"/>
  <c r="U75" i="6"/>
  <c r="U78" i="6"/>
  <c r="AJ78" i="6"/>
  <c r="AJ75" i="6"/>
  <c r="AI75" i="6"/>
  <c r="AI78" i="6"/>
  <c r="AT75" i="11"/>
  <c r="AT93" i="11"/>
  <c r="AA75" i="6"/>
  <c r="AA78" i="6"/>
  <c r="Q75" i="6"/>
  <c r="Q78" i="6"/>
  <c r="AL75" i="6"/>
  <c r="AL78" i="6"/>
  <c r="AB78" i="6"/>
  <c r="AB75" i="6"/>
  <c r="AG75" i="6"/>
  <c r="AG78" i="6"/>
  <c r="AM78" i="6"/>
  <c r="AM75" i="6"/>
  <c r="AE75" i="6"/>
  <c r="AE78" i="6"/>
  <c r="AU115" i="11" l="1"/>
  <c r="AT68" i="6"/>
  <c r="AT78" i="6" s="1"/>
  <c r="AT118" i="11"/>
  <c r="AU66" i="6"/>
  <c r="AM112" i="11"/>
  <c r="AM117" i="11"/>
  <c r="AM133" i="11"/>
  <c r="AM134" i="11"/>
  <c r="AM135" i="11"/>
  <c r="AM136" i="11"/>
  <c r="AM137" i="11"/>
  <c r="AM132" i="11"/>
  <c r="AM88" i="10" s="1"/>
  <c r="K107" i="11"/>
  <c r="AO132" i="11"/>
  <c r="AO88" i="10" s="1"/>
  <c r="AO133" i="11"/>
  <c r="AO134" i="11"/>
  <c r="AO135" i="11"/>
  <c r="AO136" i="11"/>
  <c r="AO137" i="11"/>
  <c r="AR111" i="11"/>
  <c r="AR131" i="11"/>
  <c r="AO112" i="11"/>
  <c r="AO117" i="11"/>
  <c r="AN133" i="11"/>
  <c r="AN134" i="11"/>
  <c r="AN135" i="11"/>
  <c r="AN136" i="11"/>
  <c r="AN137" i="11"/>
  <c r="AN132" i="11"/>
  <c r="AN88" i="10" s="1"/>
  <c r="AP137" i="11"/>
  <c r="AP132" i="11"/>
  <c r="AP88" i="10" s="1"/>
  <c r="AP133" i="11"/>
  <c r="AP134" i="11"/>
  <c r="AP135" i="11"/>
  <c r="AP136" i="11"/>
  <c r="AN112" i="11"/>
  <c r="AN117" i="11"/>
  <c r="AP112" i="11"/>
  <c r="AP117" i="11"/>
  <c r="AW48" i="11"/>
  <c r="K48" i="11" s="1"/>
  <c r="K54" i="11"/>
  <c r="AS108" i="11"/>
  <c r="AQ136" i="11"/>
  <c r="AQ137" i="11"/>
  <c r="AQ132" i="11"/>
  <c r="AQ88" i="10" s="1"/>
  <c r="AQ134" i="11"/>
  <c r="AQ133" i="11"/>
  <c r="AQ135" i="11"/>
  <c r="AQ112" i="11"/>
  <c r="AQ117" i="11"/>
  <c r="AT106" i="11"/>
  <c r="AT105" i="11"/>
  <c r="AT80" i="11"/>
  <c r="AT79" i="11"/>
  <c r="AT77" i="11"/>
  <c r="AT85" i="11"/>
  <c r="AT100" i="11"/>
  <c r="AT101" i="11" s="1"/>
  <c r="AT97" i="11"/>
  <c r="AT96" i="11"/>
  <c r="AT94" i="11"/>
  <c r="AU75" i="6"/>
  <c r="AU75" i="11"/>
  <c r="AU95" i="11" s="1"/>
  <c r="AU93" i="11"/>
  <c r="AV60" i="11"/>
  <c r="AV92" i="11"/>
  <c r="AW48" i="6"/>
  <c r="AW66" i="11"/>
  <c r="K45" i="6"/>
  <c r="AW55" i="6"/>
  <c r="K55" i="6" s="1"/>
  <c r="AV72" i="11"/>
  <c r="AV62" i="6"/>
  <c r="AV63" i="6"/>
  <c r="AT95" i="11"/>
  <c r="P75" i="6"/>
  <c r="K59" i="6"/>
  <c r="AT78" i="11"/>
  <c r="AV115" i="11" l="1"/>
  <c r="AT108" i="11"/>
  <c r="AV66" i="6"/>
  <c r="AU118" i="11"/>
  <c r="AU68" i="6"/>
  <c r="AU78" i="6" s="1"/>
  <c r="AW60" i="11"/>
  <c r="K60" i="11" s="1"/>
  <c r="K66" i="11"/>
  <c r="AT111" i="11"/>
  <c r="AT131" i="11"/>
  <c r="AW92" i="11"/>
  <c r="K92" i="11" s="1"/>
  <c r="AR135" i="11"/>
  <c r="AR136" i="11"/>
  <c r="AR137" i="11"/>
  <c r="AR132" i="11"/>
  <c r="AR88" i="10" s="1"/>
  <c r="AR133" i="11"/>
  <c r="AR134" i="11"/>
  <c r="AS111" i="11"/>
  <c r="AS131" i="11"/>
  <c r="AR112" i="11"/>
  <c r="AR117" i="11"/>
  <c r="AV75" i="6"/>
  <c r="AV75" i="11"/>
  <c r="AV95" i="11" s="1"/>
  <c r="AV93" i="11"/>
  <c r="K48" i="6"/>
  <c r="AW72" i="11"/>
  <c r="AW62" i="6"/>
  <c r="AW63" i="6"/>
  <c r="K63" i="6" s="1"/>
  <c r="AU78" i="11"/>
  <c r="AU80" i="11"/>
  <c r="AU85" i="11"/>
  <c r="AU77" i="11"/>
  <c r="AU105" i="11"/>
  <c r="AU106" i="11"/>
  <c r="AU79" i="11"/>
  <c r="AU100" i="11"/>
  <c r="AU101" i="11" s="1"/>
  <c r="AU96" i="11"/>
  <c r="AU97" i="11"/>
  <c r="AU94" i="11"/>
  <c r="AV78" i="11" l="1"/>
  <c r="AW115" i="11"/>
  <c r="AW66" i="6"/>
  <c r="AV118" i="11"/>
  <c r="AV68" i="6"/>
  <c r="AV78" i="6" s="1"/>
  <c r="AS134" i="11"/>
  <c r="AS135" i="11"/>
  <c r="AS136" i="11"/>
  <c r="AS137" i="11"/>
  <c r="AS132" i="11"/>
  <c r="AS88" i="10" s="1"/>
  <c r="AS133" i="11"/>
  <c r="AS112" i="11"/>
  <c r="AS117" i="11"/>
  <c r="AT134" i="11"/>
  <c r="AT135" i="11"/>
  <c r="AT136" i="11"/>
  <c r="AT137" i="11"/>
  <c r="AT132" i="11"/>
  <c r="AT88" i="10" s="1"/>
  <c r="AT133" i="11"/>
  <c r="AT112" i="11"/>
  <c r="AT117" i="11"/>
  <c r="AW75" i="6"/>
  <c r="K75" i="6" s="1"/>
  <c r="AW75" i="11"/>
  <c r="AW95" i="11" s="1"/>
  <c r="AW93" i="11"/>
  <c r="AU108" i="11"/>
  <c r="AV80" i="11"/>
  <c r="AV106" i="11"/>
  <c r="AV79" i="11"/>
  <c r="AV85" i="11"/>
  <c r="AV77" i="11"/>
  <c r="AV105" i="11"/>
  <c r="AV100" i="11"/>
  <c r="AV101" i="11" s="1"/>
  <c r="AV96" i="11"/>
  <c r="AV94" i="11"/>
  <c r="AV97" i="11"/>
  <c r="K66" i="6"/>
  <c r="P78" i="6"/>
  <c r="K62" i="6"/>
  <c r="AW78" i="11" l="1"/>
  <c r="AW118" i="11"/>
  <c r="AW68" i="6"/>
  <c r="AU111" i="11"/>
  <c r="AU131" i="11"/>
  <c r="AW105" i="11"/>
  <c r="AW77" i="11"/>
  <c r="AW85" i="11"/>
  <c r="AW106" i="11"/>
  <c r="AW80" i="11"/>
  <c r="AW79" i="11"/>
  <c r="AW100" i="11"/>
  <c r="AW96" i="11"/>
  <c r="AW94" i="11"/>
  <c r="AW97" i="11"/>
  <c r="AV108" i="11"/>
  <c r="AW78" i="6" l="1"/>
  <c r="K78" i="6" s="1"/>
  <c r="K68" i="6"/>
  <c r="AV111" i="11"/>
  <c r="AV131" i="11"/>
  <c r="AU134" i="11"/>
  <c r="AU135" i="11"/>
  <c r="AU136" i="11"/>
  <c r="AU137" i="11"/>
  <c r="AU132" i="11"/>
  <c r="AU88" i="10" s="1"/>
  <c r="AU133" i="11"/>
  <c r="AU112" i="11"/>
  <c r="AU117" i="11"/>
  <c r="AW101" i="11"/>
  <c r="AW108" i="11"/>
  <c r="AW111" i="11" l="1"/>
  <c r="AW131" i="11"/>
  <c r="AV137" i="11"/>
  <c r="AV134" i="11"/>
  <c r="AV135" i="11"/>
  <c r="AV136" i="11"/>
  <c r="AV132" i="11"/>
  <c r="AV88" i="10" s="1"/>
  <c r="AV133" i="11"/>
  <c r="AV112" i="11"/>
  <c r="AV117" i="11"/>
  <c r="AW133" i="11" l="1"/>
  <c r="AW136" i="11"/>
  <c r="AW134" i="11"/>
  <c r="AW135" i="11"/>
  <c r="AW137" i="11"/>
  <c r="AW132" i="11"/>
  <c r="AW88" i="10" s="1"/>
  <c r="AW112" i="11"/>
  <c r="AW117" i="11"/>
  <c r="M48" i="5" l="1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L48" i="5"/>
  <c r="K48" i="5" s="1"/>
  <c r="N47" i="5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M47" i="5"/>
  <c r="E52" i="5"/>
  <c r="E56" i="5" s="1"/>
  <c r="F52" i="5"/>
  <c r="F56" i="5" s="1"/>
  <c r="G51" i="5"/>
  <c r="J51" i="5"/>
  <c r="F48" i="5"/>
  <c r="G48" i="5"/>
  <c r="G52" i="5" s="1"/>
  <c r="G56" i="5" s="1"/>
  <c r="H48" i="5"/>
  <c r="H52" i="5" s="1"/>
  <c r="H56" i="5" s="1"/>
  <c r="I48" i="5"/>
  <c r="I52" i="5" s="1"/>
  <c r="I56" i="5" s="1"/>
  <c r="J48" i="5"/>
  <c r="J52" i="5" s="1"/>
  <c r="J56" i="5" s="1"/>
  <c r="E48" i="5"/>
  <c r="J47" i="5"/>
  <c r="I47" i="5"/>
  <c r="I51" i="5" s="1"/>
  <c r="H47" i="5"/>
  <c r="H51" i="5" s="1"/>
  <c r="G47" i="5"/>
  <c r="F47" i="5"/>
  <c r="F51" i="5" s="1"/>
  <c r="E47" i="5"/>
  <c r="E51" i="5" s="1"/>
  <c r="I31" i="1"/>
  <c r="G31" i="1"/>
  <c r="F31" i="1"/>
  <c r="E31" i="1"/>
  <c r="AK31" i="1" s="1"/>
  <c r="O32" i="5"/>
  <c r="O31" i="5"/>
  <c r="N32" i="5"/>
  <c r="M32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L40" i="5"/>
  <c r="K106" i="1"/>
  <c r="K58" i="1"/>
  <c r="K59" i="1"/>
  <c r="K60" i="1"/>
  <c r="K57" i="1"/>
  <c r="K46" i="1"/>
  <c r="K47" i="1"/>
  <c r="K48" i="1"/>
  <c r="K45" i="1"/>
  <c r="AK110" i="1"/>
  <c r="AL110" i="1"/>
  <c r="AK91" i="1"/>
  <c r="AL91" i="1"/>
  <c r="AK57" i="1"/>
  <c r="AL57" i="1"/>
  <c r="AK58" i="1"/>
  <c r="AL58" i="1"/>
  <c r="AK59" i="1"/>
  <c r="AL59" i="1"/>
  <c r="AK60" i="1"/>
  <c r="AL60" i="1"/>
  <c r="AK45" i="1"/>
  <c r="AL45" i="1" s="1"/>
  <c r="AK46" i="1"/>
  <c r="AL46" i="1"/>
  <c r="AK47" i="1"/>
  <c r="AL47" i="1"/>
  <c r="AK48" i="1"/>
  <c r="AL48" i="1"/>
  <c r="J26" i="5"/>
  <c r="K26" i="5" s="1"/>
  <c r="J23" i="5"/>
  <c r="K23" i="5" s="1"/>
  <c r="J22" i="5"/>
  <c r="M30" i="5"/>
  <c r="M35" i="5" s="1"/>
  <c r="M43" i="5" s="1"/>
  <c r="M51" i="5" s="1"/>
  <c r="N30" i="5"/>
  <c r="N35" i="5" s="1"/>
  <c r="N43" i="5" s="1"/>
  <c r="N51" i="5" s="1"/>
  <c r="L30" i="5"/>
  <c r="L36" i="5" s="1"/>
  <c r="F36" i="5"/>
  <c r="G36" i="5"/>
  <c r="H36" i="5"/>
  <c r="I36" i="5"/>
  <c r="J36" i="5"/>
  <c r="E36" i="5"/>
  <c r="F35" i="5"/>
  <c r="G35" i="5"/>
  <c r="H35" i="5"/>
  <c r="I35" i="5"/>
  <c r="J35" i="5"/>
  <c r="E35" i="5"/>
  <c r="J29" i="5"/>
  <c r="H29" i="5"/>
  <c r="F29" i="5"/>
  <c r="S29" i="5" s="1"/>
  <c r="G29" i="5"/>
  <c r="I29" i="5"/>
  <c r="E29" i="5"/>
  <c r="L26" i="5"/>
  <c r="L23" i="5"/>
  <c r="J19" i="5"/>
  <c r="X7" i="5"/>
  <c r="W7" i="5"/>
  <c r="P8" i="5"/>
  <c r="Q8" i="5"/>
  <c r="Q7" i="5"/>
  <c r="P7" i="5"/>
  <c r="F8" i="5"/>
  <c r="J8" i="5" s="1"/>
  <c r="J7" i="5"/>
  <c r="C20" i="4"/>
  <c r="F72" i="5" l="1"/>
  <c r="F55" i="5"/>
  <c r="I72" i="5"/>
  <c r="I55" i="5"/>
  <c r="N55" i="5"/>
  <c r="M55" i="5"/>
  <c r="E72" i="5"/>
  <c r="E55" i="5"/>
  <c r="H72" i="5"/>
  <c r="H55" i="5"/>
  <c r="V29" i="5"/>
  <c r="L35" i="5"/>
  <c r="U29" i="5"/>
  <c r="T29" i="5"/>
  <c r="L29" i="5"/>
  <c r="L62" i="5"/>
  <c r="L70" i="5"/>
  <c r="L74" i="5"/>
  <c r="K47" i="5"/>
  <c r="J72" i="5"/>
  <c r="J55" i="5"/>
  <c r="N29" i="5"/>
  <c r="N74" i="5"/>
  <c r="N92" i="5"/>
  <c r="N62" i="5"/>
  <c r="N70" i="5"/>
  <c r="M29" i="5"/>
  <c r="M74" i="5"/>
  <c r="M70" i="5"/>
  <c r="M62" i="5"/>
  <c r="L22" i="5"/>
  <c r="M23" i="5" s="1"/>
  <c r="K22" i="5"/>
  <c r="G72" i="5"/>
  <c r="G55" i="5"/>
  <c r="K40" i="5"/>
  <c r="N36" i="5"/>
  <c r="N44" i="5" s="1"/>
  <c r="N52" i="5" s="1"/>
  <c r="N56" i="5" s="1"/>
  <c r="Y29" i="5"/>
  <c r="X29" i="5"/>
  <c r="M36" i="5"/>
  <c r="M44" i="5" s="1"/>
  <c r="M52" i="5" s="1"/>
  <c r="M56" i="5" s="1"/>
  <c r="P9" i="5"/>
  <c r="W29" i="5"/>
  <c r="L44" i="5"/>
  <c r="AL31" i="1"/>
  <c r="R29" i="5"/>
  <c r="L19" i="5"/>
  <c r="M19" i="5" s="1"/>
  <c r="I8" i="5"/>
  <c r="Q29" i="5"/>
  <c r="P29" i="5"/>
  <c r="Z29" i="5"/>
  <c r="O29" i="5"/>
  <c r="M22" i="5"/>
  <c r="J9" i="5"/>
  <c r="F9" i="5"/>
  <c r="G9" i="5" s="1"/>
  <c r="I7" i="5"/>
  <c r="I9" i="5" s="1"/>
  <c r="H9" i="5"/>
  <c r="M9" i="5"/>
  <c r="O9" i="5" s="1"/>
  <c r="Q9" i="5"/>
  <c r="E57" i="5" l="1"/>
  <c r="E59" i="5" s="1"/>
  <c r="M57" i="5"/>
  <c r="M63" i="5"/>
  <c r="M71" i="5" s="1"/>
  <c r="K29" i="5"/>
  <c r="N57" i="5"/>
  <c r="N59" i="5" s="1"/>
  <c r="L52" i="5"/>
  <c r="N63" i="5"/>
  <c r="I57" i="5"/>
  <c r="I59" i="5"/>
  <c r="G57" i="5"/>
  <c r="G59" i="5"/>
  <c r="L43" i="5"/>
  <c r="N71" i="5"/>
  <c r="M18" i="5"/>
  <c r="N18" i="5" s="1"/>
  <c r="O18" i="5" s="1"/>
  <c r="J57" i="5"/>
  <c r="J59" i="5" s="1"/>
  <c r="F57" i="5"/>
  <c r="F59" i="5"/>
  <c r="H57" i="5"/>
  <c r="H59" i="5" s="1"/>
  <c r="M26" i="5"/>
  <c r="K15" i="5"/>
  <c r="K14" i="5"/>
  <c r="N9" i="5"/>
  <c r="M72" i="5" l="1"/>
  <c r="P18" i="5"/>
  <c r="N19" i="5"/>
  <c r="P22" i="5" s="1"/>
  <c r="M64" i="5"/>
  <c r="M79" i="5" s="1"/>
  <c r="M81" i="5"/>
  <c r="M59" i="5"/>
  <c r="O22" i="5"/>
  <c r="L51" i="5"/>
  <c r="N64" i="5"/>
  <c r="N79" i="5" s="1"/>
  <c r="N81" i="5"/>
  <c r="N23" i="5"/>
  <c r="N26" i="5"/>
  <c r="N22" i="5"/>
  <c r="L56" i="5"/>
  <c r="N72" i="5"/>
  <c r="Q18" i="5"/>
  <c r="O23" i="5" l="1"/>
  <c r="P26" i="5" s="1"/>
  <c r="P19" i="5"/>
  <c r="Q19" i="5" s="1"/>
  <c r="R19" i="5" s="1"/>
  <c r="P23" i="5"/>
  <c r="O26" i="5"/>
  <c r="O30" i="5" s="1"/>
  <c r="L63" i="5"/>
  <c r="L71" i="5" s="1"/>
  <c r="L55" i="5"/>
  <c r="Q22" i="5"/>
  <c r="R18" i="5"/>
  <c r="P30" i="5" l="1"/>
  <c r="P74" i="5" s="1"/>
  <c r="O92" i="5"/>
  <c r="O91" i="5"/>
  <c r="Q26" i="5"/>
  <c r="Q30" i="5" s="1"/>
  <c r="Q23" i="5"/>
  <c r="R23" i="5" s="1"/>
  <c r="P32" i="5"/>
  <c r="O36" i="5"/>
  <c r="O62" i="5"/>
  <c r="O74" i="5"/>
  <c r="L72" i="5"/>
  <c r="P31" i="5"/>
  <c r="O35" i="5"/>
  <c r="O70" i="5"/>
  <c r="L57" i="5"/>
  <c r="L59" i="5" s="1"/>
  <c r="P69" i="5"/>
  <c r="P62" i="5"/>
  <c r="R22" i="5"/>
  <c r="S18" i="5"/>
  <c r="S19" i="5"/>
  <c r="P92" i="5" l="1"/>
  <c r="P70" i="5"/>
  <c r="Q74" i="5"/>
  <c r="Q92" i="5"/>
  <c r="P91" i="5"/>
  <c r="O43" i="5"/>
  <c r="L81" i="5"/>
  <c r="L64" i="5"/>
  <c r="L79" i="5" s="1"/>
  <c r="R26" i="5"/>
  <c r="R31" i="5" s="1"/>
  <c r="P35" i="5"/>
  <c r="P43" i="5" s="1"/>
  <c r="P51" i="5" s="1"/>
  <c r="P36" i="5"/>
  <c r="P44" i="5" s="1"/>
  <c r="P52" i="5" s="1"/>
  <c r="P56" i="5" s="1"/>
  <c r="O44" i="5"/>
  <c r="Q31" i="5"/>
  <c r="Q35" i="5" s="1"/>
  <c r="Q43" i="5" s="1"/>
  <c r="Q51" i="5" s="1"/>
  <c r="Q69" i="5"/>
  <c r="Q70" i="5" s="1"/>
  <c r="Q32" i="5"/>
  <c r="Q36" i="5" s="1"/>
  <c r="Q44" i="5" s="1"/>
  <c r="Q52" i="5" s="1"/>
  <c r="Q56" i="5" s="1"/>
  <c r="P63" i="5"/>
  <c r="P71" i="5" s="1"/>
  <c r="P55" i="5"/>
  <c r="R30" i="5"/>
  <c r="R32" i="5"/>
  <c r="Q62" i="5"/>
  <c r="S23" i="5"/>
  <c r="S22" i="5"/>
  <c r="S26" i="5"/>
  <c r="T18" i="5"/>
  <c r="T19" i="5"/>
  <c r="O51" i="5" l="1"/>
  <c r="O52" i="5"/>
  <c r="R74" i="5"/>
  <c r="R92" i="5"/>
  <c r="Q91" i="5"/>
  <c r="P72" i="5"/>
  <c r="R69" i="5"/>
  <c r="R70" i="5" s="1"/>
  <c r="Q63" i="5"/>
  <c r="Q71" i="5" s="1"/>
  <c r="Q55" i="5"/>
  <c r="P57" i="5"/>
  <c r="R62" i="5"/>
  <c r="R35" i="5"/>
  <c r="R43" i="5" s="1"/>
  <c r="R51" i="5" s="1"/>
  <c r="R36" i="5"/>
  <c r="R44" i="5" s="1"/>
  <c r="R52" i="5" s="1"/>
  <c r="R56" i="5" s="1"/>
  <c r="S30" i="5"/>
  <c r="R91" i="5" s="1"/>
  <c r="S31" i="5"/>
  <c r="S32" i="5"/>
  <c r="T22" i="5"/>
  <c r="T23" i="5"/>
  <c r="T26" i="5"/>
  <c r="U19" i="5"/>
  <c r="U18" i="5"/>
  <c r="O56" i="5" l="1"/>
  <c r="S74" i="5"/>
  <c r="S92" i="5"/>
  <c r="O63" i="5"/>
  <c r="O55" i="5"/>
  <c r="Q72" i="5"/>
  <c r="P64" i="5"/>
  <c r="P79" i="5" s="1"/>
  <c r="P81" i="5"/>
  <c r="S69" i="5"/>
  <c r="R63" i="5"/>
  <c r="R71" i="5" s="1"/>
  <c r="R55" i="5"/>
  <c r="P59" i="5"/>
  <c r="T30" i="5"/>
  <c r="S91" i="5" s="1"/>
  <c r="T31" i="5"/>
  <c r="T32" i="5"/>
  <c r="Q57" i="5"/>
  <c r="S62" i="5"/>
  <c r="S36" i="5"/>
  <c r="S44" i="5" s="1"/>
  <c r="S52" i="5" s="1"/>
  <c r="S56" i="5" s="1"/>
  <c r="S35" i="5"/>
  <c r="S43" i="5" s="1"/>
  <c r="S51" i="5" s="1"/>
  <c r="U22" i="5"/>
  <c r="U23" i="5"/>
  <c r="U26" i="5"/>
  <c r="V18" i="5"/>
  <c r="V19" i="5"/>
  <c r="O71" i="5" l="1"/>
  <c r="T69" i="5"/>
  <c r="T70" i="5" s="1"/>
  <c r="S70" i="5"/>
  <c r="O57" i="5"/>
  <c r="O59" i="5" s="1"/>
  <c r="O72" i="5"/>
  <c r="T74" i="5"/>
  <c r="T91" i="5"/>
  <c r="T92" i="5"/>
  <c r="R72" i="5"/>
  <c r="Q64" i="5"/>
  <c r="Q79" i="5" s="1"/>
  <c r="Q81" i="5"/>
  <c r="Q59" i="5"/>
  <c r="T62" i="5"/>
  <c r="T36" i="5"/>
  <c r="T44" i="5" s="1"/>
  <c r="T52" i="5" s="1"/>
  <c r="T56" i="5" s="1"/>
  <c r="T35" i="5"/>
  <c r="T43" i="5" s="1"/>
  <c r="T51" i="5" s="1"/>
  <c r="R57" i="5"/>
  <c r="S63" i="5"/>
  <c r="S71" i="5" s="1"/>
  <c r="S55" i="5"/>
  <c r="U30" i="5"/>
  <c r="U69" i="5" s="1"/>
  <c r="U32" i="5"/>
  <c r="U31" i="5"/>
  <c r="V23" i="5"/>
  <c r="V26" i="5"/>
  <c r="V22" i="5"/>
  <c r="W18" i="5"/>
  <c r="W19" i="5"/>
  <c r="U70" i="5" l="1"/>
  <c r="O81" i="5"/>
  <c r="O64" i="5"/>
  <c r="U74" i="5"/>
  <c r="U92" i="5"/>
  <c r="S72" i="5"/>
  <c r="R64" i="5"/>
  <c r="R79" i="5" s="1"/>
  <c r="R81" i="5"/>
  <c r="S57" i="5"/>
  <c r="S59" i="5" s="1"/>
  <c r="R59" i="5"/>
  <c r="T63" i="5"/>
  <c r="T71" i="5" s="1"/>
  <c r="T55" i="5"/>
  <c r="U62" i="5"/>
  <c r="U36" i="5"/>
  <c r="U44" i="5" s="1"/>
  <c r="U52" i="5" s="1"/>
  <c r="U35" i="5"/>
  <c r="U43" i="5" s="1"/>
  <c r="U51" i="5" s="1"/>
  <c r="V31" i="5"/>
  <c r="V32" i="5"/>
  <c r="V30" i="5"/>
  <c r="X19" i="5"/>
  <c r="X18" i="5"/>
  <c r="W26" i="5"/>
  <c r="W22" i="5"/>
  <c r="W23" i="5"/>
  <c r="O79" i="5" l="1"/>
  <c r="V74" i="5"/>
  <c r="V92" i="5"/>
  <c r="U56" i="5"/>
  <c r="U91" i="5"/>
  <c r="V69" i="5"/>
  <c r="S64" i="5"/>
  <c r="S79" i="5" s="1"/>
  <c r="S81" i="5"/>
  <c r="T72" i="5"/>
  <c r="V62" i="5"/>
  <c r="V36" i="5"/>
  <c r="V44" i="5" s="1"/>
  <c r="V52" i="5" s="1"/>
  <c r="V56" i="5" s="1"/>
  <c r="V35" i="5"/>
  <c r="V43" i="5" s="1"/>
  <c r="V51" i="5" s="1"/>
  <c r="W32" i="5"/>
  <c r="W31" i="5"/>
  <c r="U63" i="5"/>
  <c r="U71" i="5" s="1"/>
  <c r="U55" i="5"/>
  <c r="T57" i="5"/>
  <c r="W30" i="5"/>
  <c r="V91" i="5" s="1"/>
  <c r="Y19" i="5"/>
  <c r="Y18" i="5"/>
  <c r="X26" i="5"/>
  <c r="X22" i="5"/>
  <c r="X23" i="5"/>
  <c r="V70" i="5" l="1"/>
  <c r="Z19" i="5"/>
  <c r="Z18" i="5"/>
  <c r="W74" i="5"/>
  <c r="W92" i="5"/>
  <c r="W69" i="5"/>
  <c r="W70" i="5" s="1"/>
  <c r="T64" i="5"/>
  <c r="T79" i="5" s="1"/>
  <c r="T81" i="5"/>
  <c r="U72" i="5"/>
  <c r="Y23" i="5"/>
  <c r="W62" i="5"/>
  <c r="W36" i="5"/>
  <c r="W44" i="5" s="1"/>
  <c r="W52" i="5" s="1"/>
  <c r="W56" i="5" s="1"/>
  <c r="W35" i="5"/>
  <c r="W43" i="5" s="1"/>
  <c r="W51" i="5" s="1"/>
  <c r="U57" i="5"/>
  <c r="U59" i="5" s="1"/>
  <c r="V63" i="5"/>
  <c r="V71" i="5" s="1"/>
  <c r="V55" i="5"/>
  <c r="T59" i="5"/>
  <c r="X31" i="5"/>
  <c r="X32" i="5"/>
  <c r="X30" i="5"/>
  <c r="W91" i="5" s="1"/>
  <c r="Y26" i="5"/>
  <c r="Y22" i="5"/>
  <c r="Z22" i="5" s="1"/>
  <c r="X74" i="5" l="1"/>
  <c r="X92" i="5"/>
  <c r="V72" i="5"/>
  <c r="X69" i="5"/>
  <c r="X70" i="5" s="1"/>
  <c r="U64" i="5"/>
  <c r="U79" i="5" s="1"/>
  <c r="U81" i="5"/>
  <c r="Y30" i="5"/>
  <c r="Y31" i="5"/>
  <c r="Z26" i="5"/>
  <c r="Y32" i="5"/>
  <c r="X62" i="5"/>
  <c r="X36" i="5"/>
  <c r="X44" i="5" s="1"/>
  <c r="X52" i="5" s="1"/>
  <c r="X56" i="5" s="1"/>
  <c r="X35" i="5"/>
  <c r="X43" i="5" s="1"/>
  <c r="X51" i="5" s="1"/>
  <c r="W63" i="5"/>
  <c r="W71" i="5" s="1"/>
  <c r="W55" i="5"/>
  <c r="V57" i="5"/>
  <c r="Z23" i="5"/>
  <c r="Y74" i="5" l="1"/>
  <c r="Y92" i="5"/>
  <c r="X91" i="5"/>
  <c r="W72" i="5"/>
  <c r="Y69" i="5"/>
  <c r="Y70" i="5" s="1"/>
  <c r="V64" i="5"/>
  <c r="V79" i="5" s="1"/>
  <c r="V81" i="5"/>
  <c r="X63" i="5"/>
  <c r="X71" i="5" s="1"/>
  <c r="X55" i="5"/>
  <c r="V59" i="5"/>
  <c r="W57" i="5"/>
  <c r="W59" i="5" s="1"/>
  <c r="Z31" i="5"/>
  <c r="K31" i="5" s="1"/>
  <c r="Z32" i="5"/>
  <c r="K32" i="5" s="1"/>
  <c r="Z30" i="5"/>
  <c r="I14" i="2" s="1"/>
  <c r="Y62" i="5"/>
  <c r="Y36" i="5"/>
  <c r="Y44" i="5" s="1"/>
  <c r="Y52" i="5" s="1"/>
  <c r="Y56" i="5" s="1"/>
  <c r="Y35" i="5"/>
  <c r="Y43" i="5" s="1"/>
  <c r="Y51" i="5" s="1"/>
  <c r="C16" i="4"/>
  <c r="C10" i="4"/>
  <c r="F116" i="1"/>
  <c r="G116" i="1"/>
  <c r="H116" i="1"/>
  <c r="I116" i="1"/>
  <c r="J116" i="1"/>
  <c r="E116" i="1"/>
  <c r="M91" i="1"/>
  <c r="N91" i="1"/>
  <c r="O91" i="1"/>
  <c r="L91" i="1"/>
  <c r="F113" i="1"/>
  <c r="G113" i="1"/>
  <c r="H113" i="1"/>
  <c r="I113" i="1"/>
  <c r="E113" i="1"/>
  <c r="F106" i="1"/>
  <c r="G106" i="1"/>
  <c r="H106" i="1"/>
  <c r="I106" i="1"/>
  <c r="E106" i="1"/>
  <c r="N112" i="1"/>
  <c r="O111" i="1"/>
  <c r="M111" i="1"/>
  <c r="N111" i="1"/>
  <c r="L111" i="1"/>
  <c r="O110" i="1"/>
  <c r="M110" i="1"/>
  <c r="N110" i="1"/>
  <c r="L110" i="1"/>
  <c r="W90" i="5" l="1"/>
  <c r="W75" i="5"/>
  <c r="W76" i="5" s="1"/>
  <c r="Z74" i="5"/>
  <c r="K74" i="5" s="1"/>
  <c r="Z91" i="5"/>
  <c r="K91" i="5" s="1"/>
  <c r="Z92" i="5"/>
  <c r="K30" i="5"/>
  <c r="B14" i="2"/>
  <c r="C14" i="2"/>
  <c r="H14" i="2"/>
  <c r="D14" i="2"/>
  <c r="G14" i="2"/>
  <c r="Y91" i="5"/>
  <c r="F14" i="2"/>
  <c r="E14" i="2"/>
  <c r="J14" i="2"/>
  <c r="X72" i="5"/>
  <c r="W64" i="5"/>
  <c r="W79" i="5" s="1"/>
  <c r="W81" i="5"/>
  <c r="W80" i="5"/>
  <c r="Z69" i="5"/>
  <c r="Y63" i="5"/>
  <c r="Y71" i="5" s="1"/>
  <c r="Y55" i="5"/>
  <c r="Z62" i="5"/>
  <c r="K62" i="5" s="1"/>
  <c r="Z36" i="5"/>
  <c r="Z35" i="5"/>
  <c r="X57" i="5"/>
  <c r="C22" i="4"/>
  <c r="C23" i="4" s="1"/>
  <c r="D4" i="1" l="1"/>
  <c r="C17" i="11"/>
  <c r="C17" i="10"/>
  <c r="D4" i="9"/>
  <c r="D4" i="6"/>
  <c r="D4" i="8"/>
  <c r="D4" i="5"/>
  <c r="V90" i="5"/>
  <c r="V75" i="5"/>
  <c r="V76" i="5" s="1"/>
  <c r="S90" i="5"/>
  <c r="S75" i="5"/>
  <c r="S76" i="5" s="1"/>
  <c r="Q90" i="5"/>
  <c r="Q75" i="5"/>
  <c r="Q76" i="5" s="1"/>
  <c r="T90" i="5"/>
  <c r="T75" i="5"/>
  <c r="T76" i="5" s="1"/>
  <c r="Z70" i="5"/>
  <c r="K70" i="5" s="1"/>
  <c r="K69" i="5"/>
  <c r="X90" i="5"/>
  <c r="X75" i="5"/>
  <c r="X76" i="5" s="1"/>
  <c r="R90" i="5"/>
  <c r="R75" i="5"/>
  <c r="R76" i="5" s="1"/>
  <c r="P90" i="5"/>
  <c r="P75" i="5"/>
  <c r="U90" i="5"/>
  <c r="U75" i="5"/>
  <c r="U76" i="5" s="1"/>
  <c r="Z43" i="5"/>
  <c r="K35" i="5"/>
  <c r="Z44" i="5"/>
  <c r="K36" i="5"/>
  <c r="W84" i="5"/>
  <c r="Y76" i="5"/>
  <c r="Y72" i="5"/>
  <c r="X64" i="5"/>
  <c r="X79" i="5" s="1"/>
  <c r="X81" i="5"/>
  <c r="X59" i="5"/>
  <c r="Y57" i="5"/>
  <c r="O90" i="1"/>
  <c r="M90" i="1"/>
  <c r="N90" i="1"/>
  <c r="L90" i="1"/>
  <c r="M85" i="1"/>
  <c r="N85" i="1" s="1"/>
  <c r="L85" i="1"/>
  <c r="W85" i="5" l="1"/>
  <c r="W87" i="5" s="1"/>
  <c r="W96" i="5" s="1"/>
  <c r="W97" i="5" s="1"/>
  <c r="M82" i="8"/>
  <c r="N82" i="8"/>
  <c r="O82" i="8"/>
  <c r="U82" i="8"/>
  <c r="T82" i="8"/>
  <c r="R82" i="8"/>
  <c r="Q82" i="8"/>
  <c r="V82" i="8"/>
  <c r="W82" i="8"/>
  <c r="S82" i="8"/>
  <c r="X82" i="8"/>
  <c r="P82" i="8"/>
  <c r="Y82" i="8"/>
  <c r="M79" i="6"/>
  <c r="N79" i="6"/>
  <c r="O79" i="6"/>
  <c r="AT79" i="6"/>
  <c r="AQ79" i="6"/>
  <c r="AI79" i="6"/>
  <c r="V79" i="6"/>
  <c r="W79" i="6"/>
  <c r="AE79" i="6"/>
  <c r="AO79" i="6"/>
  <c r="AS79" i="6"/>
  <c r="Q79" i="6"/>
  <c r="Y79" i="6"/>
  <c r="S79" i="6"/>
  <c r="AP79" i="6"/>
  <c r="AA79" i="6"/>
  <c r="AN79" i="6"/>
  <c r="R79" i="6"/>
  <c r="X79" i="6"/>
  <c r="AC79" i="6"/>
  <c r="AB79" i="6"/>
  <c r="AD79" i="6"/>
  <c r="AF79" i="6"/>
  <c r="AL79" i="6"/>
  <c r="U79" i="6"/>
  <c r="Z79" i="6"/>
  <c r="AK79" i="6"/>
  <c r="AJ79" i="6"/>
  <c r="AR79" i="6"/>
  <c r="AM79" i="6"/>
  <c r="T79" i="6"/>
  <c r="AH79" i="6"/>
  <c r="AG79" i="6"/>
  <c r="AU79" i="6"/>
  <c r="AW79" i="6"/>
  <c r="AV79" i="6"/>
  <c r="P79" i="6"/>
  <c r="K76" i="9"/>
  <c r="L76" i="9"/>
  <c r="J76" i="9"/>
  <c r="I76" i="9"/>
  <c r="V76" i="9"/>
  <c r="N76" i="9"/>
  <c r="O76" i="9"/>
  <c r="Q76" i="9"/>
  <c r="T76" i="9"/>
  <c r="U76" i="9"/>
  <c r="S76" i="9"/>
  <c r="R76" i="9"/>
  <c r="M76" i="9"/>
  <c r="P76" i="9"/>
  <c r="T80" i="5"/>
  <c r="T84" i="5" s="1"/>
  <c r="U80" i="5"/>
  <c r="U84" i="5" s="1"/>
  <c r="Q80" i="5"/>
  <c r="Q84" i="5" s="1"/>
  <c r="K75" i="5"/>
  <c r="P76" i="5"/>
  <c r="K90" i="5"/>
  <c r="S80" i="5"/>
  <c r="S84" i="5" s="1"/>
  <c r="R80" i="5"/>
  <c r="R84" i="5" s="1"/>
  <c r="R85" i="5" s="1"/>
  <c r="V80" i="5"/>
  <c r="X80" i="5"/>
  <c r="X84" i="5" s="1"/>
  <c r="W93" i="5"/>
  <c r="Z52" i="5"/>
  <c r="K44" i="5"/>
  <c r="Z51" i="5"/>
  <c r="K43" i="5"/>
  <c r="Y64" i="5"/>
  <c r="Y79" i="5" s="1"/>
  <c r="Y80" i="5"/>
  <c r="Y81" i="5"/>
  <c r="Y59" i="5"/>
  <c r="O85" i="1"/>
  <c r="Q85" i="5" l="1"/>
  <c r="Q87" i="5" s="1"/>
  <c r="Q96" i="5" s="1"/>
  <c r="Q97" i="5" s="1"/>
  <c r="U85" i="5"/>
  <c r="U87" i="5" s="1"/>
  <c r="U96" i="5" s="1"/>
  <c r="U97" i="5" s="1"/>
  <c r="T85" i="5"/>
  <c r="T87" i="5" s="1"/>
  <c r="T96" i="5" s="1"/>
  <c r="T97" i="5" s="1"/>
  <c r="X85" i="5"/>
  <c r="X93" i="5" s="1"/>
  <c r="S85" i="5"/>
  <c r="S87" i="5" s="1"/>
  <c r="S96" i="5" s="1"/>
  <c r="S97" i="5" s="1"/>
  <c r="G76" i="9"/>
  <c r="G77" i="9" s="1"/>
  <c r="K79" i="6"/>
  <c r="K82" i="8"/>
  <c r="K83" i="8" s="1"/>
  <c r="Q93" i="5"/>
  <c r="U93" i="5"/>
  <c r="Y84" i="5"/>
  <c r="Y85" i="5" s="1"/>
  <c r="V84" i="5"/>
  <c r="T93" i="5"/>
  <c r="R87" i="5"/>
  <c r="R96" i="5" s="1"/>
  <c r="R97" i="5" s="1"/>
  <c r="P80" i="5"/>
  <c r="P84" i="5" s="1"/>
  <c r="R93" i="5"/>
  <c r="S93" i="5"/>
  <c r="K51" i="5"/>
  <c r="Z63" i="5"/>
  <c r="Z55" i="5"/>
  <c r="Z56" i="5"/>
  <c r="K56" i="5" s="1"/>
  <c r="K52" i="5"/>
  <c r="F85" i="1"/>
  <c r="G85" i="1"/>
  <c r="H85" i="1"/>
  <c r="I85" i="1"/>
  <c r="J85" i="1"/>
  <c r="F87" i="1"/>
  <c r="F92" i="1" s="1"/>
  <c r="G87" i="1"/>
  <c r="G92" i="1" s="1"/>
  <c r="H87" i="1"/>
  <c r="H92" i="1" s="1"/>
  <c r="I87" i="1"/>
  <c r="I92" i="1" s="1"/>
  <c r="J87" i="1"/>
  <c r="J92" i="1" s="1"/>
  <c r="J113" i="1" s="1"/>
  <c r="E87" i="1"/>
  <c r="E92" i="1" s="1"/>
  <c r="X87" i="5" l="1"/>
  <c r="X96" i="5" s="1"/>
  <c r="X97" i="5" s="1"/>
  <c r="P85" i="5"/>
  <c r="P87" i="5" s="1"/>
  <c r="P96" i="5" s="1"/>
  <c r="P97" i="5" s="1"/>
  <c r="V85" i="5"/>
  <c r="V87" i="5" s="1"/>
  <c r="V96" i="5" s="1"/>
  <c r="V97" i="5" s="1"/>
  <c r="V93" i="5"/>
  <c r="P93" i="5"/>
  <c r="Z71" i="5"/>
  <c r="K71" i="5" s="1"/>
  <c r="K63" i="5"/>
  <c r="Y87" i="5"/>
  <c r="Y96" i="5" s="1"/>
  <c r="Y97" i="5" s="1"/>
  <c r="Y93" i="5"/>
  <c r="K55" i="5"/>
  <c r="Z57" i="5"/>
  <c r="Z72" i="5"/>
  <c r="K72" i="5" s="1"/>
  <c r="Z76" i="5"/>
  <c r="O36" i="1"/>
  <c r="O35" i="1"/>
  <c r="N35" i="1"/>
  <c r="O34" i="1"/>
  <c r="O33" i="1"/>
  <c r="M34" i="1"/>
  <c r="N34" i="1" s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L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L47" i="1"/>
  <c r="K57" i="5" l="1"/>
  <c r="Z81" i="5"/>
  <c r="K81" i="5" s="1"/>
  <c r="Z64" i="5"/>
  <c r="Z80" i="5"/>
  <c r="Z59" i="5"/>
  <c r="K59" i="5" s="1"/>
  <c r="M46" i="1"/>
  <c r="M45" i="1"/>
  <c r="F70" i="1"/>
  <c r="G70" i="1"/>
  <c r="E70" i="1"/>
  <c r="J58" i="1"/>
  <c r="J64" i="1" s="1"/>
  <c r="J70" i="1" s="1"/>
  <c r="J57" i="1"/>
  <c r="J63" i="1" s="1"/>
  <c r="I58" i="1"/>
  <c r="I57" i="1"/>
  <c r="H58" i="1"/>
  <c r="H57" i="1"/>
  <c r="U57" i="1" s="1"/>
  <c r="G58" i="1"/>
  <c r="G57" i="1"/>
  <c r="G63" i="1" s="1"/>
  <c r="F58" i="1"/>
  <c r="F57" i="1"/>
  <c r="F63" i="1" s="1"/>
  <c r="E58" i="1"/>
  <c r="E57" i="1"/>
  <c r="E63" i="1" s="1"/>
  <c r="E60" i="1"/>
  <c r="E59" i="1"/>
  <c r="E65" i="1" s="1"/>
  <c r="E71" i="1" s="1"/>
  <c r="F60" i="1"/>
  <c r="F66" i="1" s="1"/>
  <c r="F72" i="1" s="1"/>
  <c r="F59" i="1"/>
  <c r="F65" i="1" s="1"/>
  <c r="F71" i="1" s="1"/>
  <c r="G60" i="1"/>
  <c r="G66" i="1" s="1"/>
  <c r="G72" i="1" s="1"/>
  <c r="G59" i="1"/>
  <c r="Q59" i="1" s="1"/>
  <c r="H60" i="1"/>
  <c r="H66" i="1" s="1"/>
  <c r="H72" i="1" s="1"/>
  <c r="H59" i="1"/>
  <c r="H65" i="1" s="1"/>
  <c r="H71" i="1" s="1"/>
  <c r="I60" i="1"/>
  <c r="I59" i="1"/>
  <c r="I65" i="1" s="1"/>
  <c r="I71" i="1" s="1"/>
  <c r="J60" i="1"/>
  <c r="J59" i="1"/>
  <c r="J65" i="1" s="1"/>
  <c r="J71" i="1" s="1"/>
  <c r="E66" i="1"/>
  <c r="E72" i="1" s="1"/>
  <c r="F42" i="1"/>
  <c r="G42" i="1"/>
  <c r="H42" i="1"/>
  <c r="I42" i="1"/>
  <c r="J42" i="1"/>
  <c r="E42" i="1"/>
  <c r="F41" i="1"/>
  <c r="G41" i="1"/>
  <c r="H41" i="1"/>
  <c r="I41" i="1"/>
  <c r="J41" i="1"/>
  <c r="E41" i="1"/>
  <c r="I40" i="1"/>
  <c r="J40" i="1"/>
  <c r="H40" i="1"/>
  <c r="F39" i="1"/>
  <c r="G39" i="1"/>
  <c r="H39" i="1"/>
  <c r="I39" i="1"/>
  <c r="J39" i="1"/>
  <c r="E39" i="1"/>
  <c r="L20" i="1"/>
  <c r="M32" i="1"/>
  <c r="N32" i="1"/>
  <c r="L32" i="1"/>
  <c r="J31" i="1"/>
  <c r="H31" i="1"/>
  <c r="J28" i="1"/>
  <c r="L28" i="1" s="1"/>
  <c r="J25" i="1"/>
  <c r="L25" i="1" s="1"/>
  <c r="J24" i="1"/>
  <c r="K24" i="1" s="1"/>
  <c r="AJ7" i="1"/>
  <c r="AI7" i="1"/>
  <c r="AH7" i="1"/>
  <c r="AG7" i="1"/>
  <c r="Y8" i="1"/>
  <c r="Y7" i="1"/>
  <c r="X8" i="1"/>
  <c r="X7" i="1"/>
  <c r="W8" i="1"/>
  <c r="V8" i="1"/>
  <c r="W7" i="1"/>
  <c r="V7" i="1"/>
  <c r="F8" i="1"/>
  <c r="L8" i="1" s="1"/>
  <c r="F7" i="1"/>
  <c r="Q9" i="1"/>
  <c r="U9" i="1" s="1"/>
  <c r="Z79" i="5" l="1"/>
  <c r="K64" i="5"/>
  <c r="Z84" i="5"/>
  <c r="M58" i="1"/>
  <c r="AI57" i="1"/>
  <c r="N78" i="1"/>
  <c r="N86" i="1"/>
  <c r="G65" i="1"/>
  <c r="G71" i="1" s="1"/>
  <c r="R58" i="1"/>
  <c r="M78" i="1"/>
  <c r="M86" i="1"/>
  <c r="J69" i="1"/>
  <c r="E69" i="1"/>
  <c r="E73" i="1" s="1"/>
  <c r="E88" i="1"/>
  <c r="AA60" i="1"/>
  <c r="L86" i="1"/>
  <c r="F69" i="1"/>
  <c r="F88" i="1"/>
  <c r="AC60" i="1"/>
  <c r="G69" i="1"/>
  <c r="G88" i="1"/>
  <c r="AF60" i="1"/>
  <c r="N31" i="1"/>
  <c r="N42" i="1"/>
  <c r="N54" i="1" s="1"/>
  <c r="N39" i="1"/>
  <c r="AH57" i="1"/>
  <c r="L58" i="1"/>
  <c r="M31" i="1"/>
  <c r="M41" i="1"/>
  <c r="M53" i="1" s="1"/>
  <c r="M42" i="1"/>
  <c r="M54" i="1" s="1"/>
  <c r="M39" i="1"/>
  <c r="M51" i="1" s="1"/>
  <c r="AG57" i="1"/>
  <c r="AJ58" i="1"/>
  <c r="AC57" i="1"/>
  <c r="AA58" i="1"/>
  <c r="N41" i="1"/>
  <c r="N53" i="1" s="1"/>
  <c r="L41" i="1"/>
  <c r="L53" i="1" s="1"/>
  <c r="L39" i="1"/>
  <c r="L51" i="1" s="1"/>
  <c r="L42" i="1"/>
  <c r="L54" i="1" s="1"/>
  <c r="Z57" i="1"/>
  <c r="Z58" i="1"/>
  <c r="M57" i="1"/>
  <c r="I63" i="1"/>
  <c r="Y57" i="1"/>
  <c r="Y58" i="1"/>
  <c r="H63" i="1"/>
  <c r="X57" i="1"/>
  <c r="X58" i="1"/>
  <c r="W57" i="1"/>
  <c r="O58" i="1"/>
  <c r="N40" i="1"/>
  <c r="N45" i="1"/>
  <c r="V57" i="1"/>
  <c r="N58" i="1"/>
  <c r="L7" i="1"/>
  <c r="L34" i="1"/>
  <c r="L40" i="1" s="1"/>
  <c r="L52" i="1" s="1"/>
  <c r="N46" i="1"/>
  <c r="O57" i="1"/>
  <c r="L57" i="1"/>
  <c r="Q57" i="1"/>
  <c r="M40" i="1"/>
  <c r="M52" i="1" s="1"/>
  <c r="M64" i="1" s="1"/>
  <c r="M70" i="1" s="1"/>
  <c r="M72" i="11" s="1"/>
  <c r="P58" i="1"/>
  <c r="AJ57" i="1"/>
  <c r="N57" i="1"/>
  <c r="F73" i="1"/>
  <c r="G73" i="1"/>
  <c r="X60" i="1"/>
  <c r="O59" i="1"/>
  <c r="AI58" i="1"/>
  <c r="AJ59" i="1"/>
  <c r="X59" i="1"/>
  <c r="AH58" i="1"/>
  <c r="V58" i="1"/>
  <c r="AI59" i="1"/>
  <c r="AJ60" i="1"/>
  <c r="AF57" i="1"/>
  <c r="T57" i="1"/>
  <c r="AG58" i="1"/>
  <c r="U58" i="1"/>
  <c r="AH59" i="1"/>
  <c r="V59" i="1"/>
  <c r="AI60" i="1"/>
  <c r="W60" i="1"/>
  <c r="Z59" i="1"/>
  <c r="M59" i="1"/>
  <c r="Y60" i="1"/>
  <c r="J66" i="1"/>
  <c r="J72" i="1" s="1"/>
  <c r="I64" i="1"/>
  <c r="I70" i="1" s="1"/>
  <c r="AE57" i="1"/>
  <c r="S57" i="1"/>
  <c r="AF58" i="1"/>
  <c r="T58" i="1"/>
  <c r="AG59" i="1"/>
  <c r="U59" i="1"/>
  <c r="AH60" i="1"/>
  <c r="V60" i="1"/>
  <c r="AB60" i="1"/>
  <c r="N59" i="1"/>
  <c r="L59" i="1"/>
  <c r="Z60" i="1"/>
  <c r="W58" i="1"/>
  <c r="L60" i="1"/>
  <c r="W59" i="1"/>
  <c r="I66" i="1"/>
  <c r="I72" i="1" s="1"/>
  <c r="H64" i="1"/>
  <c r="H70" i="1" s="1"/>
  <c r="AD57" i="1"/>
  <c r="R57" i="1"/>
  <c r="AE58" i="1"/>
  <c r="S58" i="1"/>
  <c r="AF59" i="1"/>
  <c r="T59" i="1"/>
  <c r="AG60" i="1"/>
  <c r="U60" i="1"/>
  <c r="T60" i="1"/>
  <c r="AA59" i="1"/>
  <c r="AB57" i="1"/>
  <c r="P57" i="1"/>
  <c r="AC58" i="1"/>
  <c r="Q58" i="1"/>
  <c r="AD59" i="1"/>
  <c r="R59" i="1"/>
  <c r="AE60" i="1"/>
  <c r="S60" i="1"/>
  <c r="Y59" i="1"/>
  <c r="AD58" i="1"/>
  <c r="AE59" i="1"/>
  <c r="S59" i="1"/>
  <c r="AA57" i="1"/>
  <c r="AB58" i="1"/>
  <c r="AC59" i="1"/>
  <c r="AD60" i="1"/>
  <c r="R60" i="1"/>
  <c r="AB59" i="1"/>
  <c r="P59" i="1"/>
  <c r="Q60" i="1"/>
  <c r="P60" i="1"/>
  <c r="O60" i="1"/>
  <c r="N60" i="1"/>
  <c r="M60" i="1"/>
  <c r="Y9" i="1"/>
  <c r="AC31" i="1"/>
  <c r="K25" i="1"/>
  <c r="V9" i="1"/>
  <c r="K28" i="1"/>
  <c r="W9" i="1"/>
  <c r="X9" i="1"/>
  <c r="J21" i="1"/>
  <c r="L21" i="1" s="1"/>
  <c r="L9" i="1"/>
  <c r="U31" i="1"/>
  <c r="K7" i="1"/>
  <c r="T31" i="1"/>
  <c r="M7" i="1"/>
  <c r="AI31" i="1"/>
  <c r="S31" i="1"/>
  <c r="AB31" i="1"/>
  <c r="R31" i="1"/>
  <c r="Q31" i="1"/>
  <c r="AH31" i="1"/>
  <c r="AG31" i="1"/>
  <c r="AA31" i="1"/>
  <c r="AF31" i="1"/>
  <c r="N7" i="1"/>
  <c r="Z31" i="1"/>
  <c r="K20" i="1"/>
  <c r="L31" i="1"/>
  <c r="N8" i="1"/>
  <c r="K21" i="1"/>
  <c r="P31" i="1"/>
  <c r="AJ31" i="1"/>
  <c r="T9" i="1"/>
  <c r="O31" i="1"/>
  <c r="M8" i="1"/>
  <c r="Y31" i="1"/>
  <c r="L24" i="1"/>
  <c r="K8" i="1"/>
  <c r="X31" i="1"/>
  <c r="K17" i="1"/>
  <c r="W31" i="1"/>
  <c r="AE31" i="1"/>
  <c r="K16" i="1"/>
  <c r="V31" i="1"/>
  <c r="AD31" i="1"/>
  <c r="R9" i="1"/>
  <c r="S9" i="1"/>
  <c r="F9" i="1"/>
  <c r="G9" i="1" s="1"/>
  <c r="Z85" i="5" l="1"/>
  <c r="Z87" i="5" s="1"/>
  <c r="Z96" i="5" s="1"/>
  <c r="Z97" i="5" s="1"/>
  <c r="K79" i="5"/>
  <c r="Z93" i="5"/>
  <c r="K31" i="1"/>
  <c r="G75" i="1"/>
  <c r="G95" i="1"/>
  <c r="G96" i="1" s="1"/>
  <c r="E75" i="1"/>
  <c r="E95" i="1"/>
  <c r="E96" i="1" s="1"/>
  <c r="F75" i="1"/>
  <c r="F95" i="1"/>
  <c r="F96" i="1" s="1"/>
  <c r="L87" i="1"/>
  <c r="J73" i="1"/>
  <c r="L65" i="1"/>
  <c r="L71" i="1" s="1"/>
  <c r="L73" i="11" s="1"/>
  <c r="N65" i="1"/>
  <c r="N71" i="1" s="1"/>
  <c r="N73" i="11" s="1"/>
  <c r="L66" i="1"/>
  <c r="L72" i="1" s="1"/>
  <c r="L74" i="11" s="1"/>
  <c r="N66" i="1"/>
  <c r="N72" i="1" s="1"/>
  <c r="N74" i="11" s="1"/>
  <c r="J88" i="1"/>
  <c r="H69" i="1"/>
  <c r="H73" i="1" s="1"/>
  <c r="H88" i="1"/>
  <c r="L64" i="1"/>
  <c r="L70" i="1" s="1"/>
  <c r="L72" i="11" s="1"/>
  <c r="I69" i="1"/>
  <c r="I73" i="1" s="1"/>
  <c r="I88" i="1"/>
  <c r="M79" i="1"/>
  <c r="M87" i="1" s="1"/>
  <c r="M63" i="1"/>
  <c r="M69" i="1" s="1"/>
  <c r="M71" i="11" s="1"/>
  <c r="M66" i="1"/>
  <c r="M72" i="1" s="1"/>
  <c r="M74" i="11" s="1"/>
  <c r="M65" i="1"/>
  <c r="M71" i="1" s="1"/>
  <c r="M73" i="11" s="1"/>
  <c r="L92" i="1"/>
  <c r="O45" i="1"/>
  <c r="N51" i="1"/>
  <c r="L63" i="1"/>
  <c r="L69" i="1" s="1"/>
  <c r="L71" i="11" s="1"/>
  <c r="O46" i="1"/>
  <c r="N52" i="1"/>
  <c r="N64" i="1" s="1"/>
  <c r="N70" i="1" s="1"/>
  <c r="N72" i="11" s="1"/>
  <c r="K9" i="1"/>
  <c r="M25" i="1"/>
  <c r="M9" i="1"/>
  <c r="M21" i="1"/>
  <c r="N9" i="1"/>
  <c r="M24" i="1"/>
  <c r="J9" i="1"/>
  <c r="M28" i="1"/>
  <c r="I9" i="1"/>
  <c r="K14" i="1"/>
  <c r="M20" i="1"/>
  <c r="K15" i="1"/>
  <c r="H9" i="1"/>
  <c r="N93" i="11" l="1"/>
  <c r="L93" i="11"/>
  <c r="M75" i="11"/>
  <c r="M94" i="11" s="1"/>
  <c r="M77" i="11"/>
  <c r="M96" i="11"/>
  <c r="M79" i="11"/>
  <c r="M93" i="11"/>
  <c r="L75" i="11"/>
  <c r="L80" i="11" s="1"/>
  <c r="M80" i="11"/>
  <c r="I75" i="1"/>
  <c r="I95" i="1"/>
  <c r="I96" i="1" s="1"/>
  <c r="J75" i="1"/>
  <c r="J95" i="1"/>
  <c r="J96" i="1" s="1"/>
  <c r="H75" i="1"/>
  <c r="H95" i="1"/>
  <c r="H96" i="1" s="1"/>
  <c r="M88" i="1"/>
  <c r="M92" i="1"/>
  <c r="M73" i="1"/>
  <c r="L73" i="1"/>
  <c r="N79" i="1"/>
  <c r="N87" i="1" s="1"/>
  <c r="N63" i="1"/>
  <c r="N69" i="1" s="1"/>
  <c r="N71" i="11" s="1"/>
  <c r="L88" i="1"/>
  <c r="P46" i="1"/>
  <c r="P45" i="1"/>
  <c r="N21" i="1"/>
  <c r="N24" i="1"/>
  <c r="N20" i="1"/>
  <c r="N25" i="1"/>
  <c r="N28" i="1"/>
  <c r="L77" i="11" l="1"/>
  <c r="L95" i="11"/>
  <c r="L79" i="11"/>
  <c r="L97" i="11"/>
  <c r="N75" i="11"/>
  <c r="N94" i="11" s="1"/>
  <c r="L105" i="11"/>
  <c r="L106" i="11"/>
  <c r="L100" i="11"/>
  <c r="L85" i="11"/>
  <c r="L96" i="11"/>
  <c r="L78" i="11"/>
  <c r="L94" i="11"/>
  <c r="M97" i="11"/>
  <c r="M106" i="11"/>
  <c r="M105" i="11"/>
  <c r="M108" i="11" s="1"/>
  <c r="M85" i="11"/>
  <c r="M100" i="11"/>
  <c r="M101" i="11" s="1"/>
  <c r="M95" i="11"/>
  <c r="M78" i="11"/>
  <c r="M80" i="1"/>
  <c r="M95" i="1"/>
  <c r="M96" i="1" s="1"/>
  <c r="M101" i="1" s="1"/>
  <c r="L80" i="1"/>
  <c r="L95" i="1"/>
  <c r="M75" i="1"/>
  <c r="N88" i="1"/>
  <c r="N92" i="1"/>
  <c r="L75" i="1"/>
  <c r="N73" i="1"/>
  <c r="Q45" i="1"/>
  <c r="Q46" i="1"/>
  <c r="O28" i="1"/>
  <c r="O20" i="1"/>
  <c r="O25" i="1"/>
  <c r="O24" i="1"/>
  <c r="N77" i="11" l="1"/>
  <c r="L96" i="1"/>
  <c r="L101" i="1" s="1"/>
  <c r="L108" i="11"/>
  <c r="N106" i="11"/>
  <c r="N85" i="11"/>
  <c r="N105" i="11"/>
  <c r="N108" i="11" s="1"/>
  <c r="N100" i="11"/>
  <c r="N101" i="11" s="1"/>
  <c r="N80" i="11"/>
  <c r="N97" i="11"/>
  <c r="N79" i="11"/>
  <c r="N78" i="11"/>
  <c r="N96" i="11"/>
  <c r="N95" i="11"/>
  <c r="M111" i="11"/>
  <c r="L101" i="11"/>
  <c r="L99" i="1"/>
  <c r="L100" i="1"/>
  <c r="N80" i="1"/>
  <c r="N95" i="1"/>
  <c r="M99" i="1"/>
  <c r="M100" i="1"/>
  <c r="N75" i="1"/>
  <c r="R46" i="1"/>
  <c r="R45" i="1"/>
  <c r="O32" i="1"/>
  <c r="P21" i="1"/>
  <c r="P25" i="1"/>
  <c r="P24" i="1"/>
  <c r="P20" i="1"/>
  <c r="P28" i="1"/>
  <c r="N96" i="1" l="1"/>
  <c r="N101" i="1" s="1"/>
  <c r="N111" i="11"/>
  <c r="M112" i="11"/>
  <c r="L111" i="11"/>
  <c r="O112" i="1"/>
  <c r="M104" i="1"/>
  <c r="N99" i="1"/>
  <c r="N100" i="1"/>
  <c r="L104" i="1"/>
  <c r="P34" i="1"/>
  <c r="P33" i="1"/>
  <c r="P35" i="1"/>
  <c r="P36" i="1"/>
  <c r="O78" i="1"/>
  <c r="O86" i="1"/>
  <c r="S45" i="1"/>
  <c r="O42" i="1"/>
  <c r="O39" i="1"/>
  <c r="O41" i="1"/>
  <c r="O40" i="1"/>
  <c r="S46" i="1"/>
  <c r="Q28" i="1"/>
  <c r="P32" i="1"/>
  <c r="P85" i="1" s="1"/>
  <c r="Q24" i="1"/>
  <c r="Q25" i="1"/>
  <c r="Q20" i="1"/>
  <c r="Q21" i="1"/>
  <c r="N112" i="11" l="1"/>
  <c r="L105" i="1"/>
  <c r="L112" i="11"/>
  <c r="P111" i="1"/>
  <c r="P112" i="1"/>
  <c r="O52" i="1"/>
  <c r="O53" i="1"/>
  <c r="O51" i="1"/>
  <c r="O63" i="1" s="1"/>
  <c r="O54" i="1"/>
  <c r="L113" i="1"/>
  <c r="N104" i="1"/>
  <c r="M105" i="1"/>
  <c r="P78" i="1"/>
  <c r="P90" i="1"/>
  <c r="Q35" i="1"/>
  <c r="Q34" i="1"/>
  <c r="Q33" i="1"/>
  <c r="Q36" i="1"/>
  <c r="O79" i="1"/>
  <c r="T46" i="1"/>
  <c r="P40" i="1"/>
  <c r="P52" i="1" s="1"/>
  <c r="P64" i="1" s="1"/>
  <c r="P70" i="1" s="1"/>
  <c r="P72" i="11" s="1"/>
  <c r="P41" i="1"/>
  <c r="P53" i="1" s="1"/>
  <c r="P65" i="1" s="1"/>
  <c r="P71" i="1" s="1"/>
  <c r="P73" i="11" s="1"/>
  <c r="P39" i="1"/>
  <c r="P51" i="1" s="1"/>
  <c r="P42" i="1"/>
  <c r="P54" i="1" s="1"/>
  <c r="P66" i="1" s="1"/>
  <c r="P72" i="1" s="1"/>
  <c r="P74" i="11" s="1"/>
  <c r="T45" i="1"/>
  <c r="R20" i="1"/>
  <c r="R21" i="1"/>
  <c r="R24" i="1"/>
  <c r="R25" i="1"/>
  <c r="R28" i="1"/>
  <c r="Q32" i="1"/>
  <c r="Q85" i="1" s="1"/>
  <c r="L107" i="1" l="1"/>
  <c r="L116" i="1" s="1"/>
  <c r="L117" i="1" s="1"/>
  <c r="P93" i="11"/>
  <c r="R32" i="1"/>
  <c r="R85" i="1" s="1"/>
  <c r="R36" i="1"/>
  <c r="S21" i="1"/>
  <c r="R35" i="1"/>
  <c r="R34" i="1"/>
  <c r="S25" i="1"/>
  <c r="S24" i="1"/>
  <c r="S20" i="1"/>
  <c r="S28" i="1"/>
  <c r="S32" i="1" s="1"/>
  <c r="R33" i="1"/>
  <c r="Q86" i="1"/>
  <c r="Q111" i="1"/>
  <c r="Q112" i="1"/>
  <c r="O69" i="1"/>
  <c r="O71" i="11" s="1"/>
  <c r="O66" i="1"/>
  <c r="O64" i="1"/>
  <c r="P86" i="1"/>
  <c r="O65" i="1"/>
  <c r="O87" i="1"/>
  <c r="O92" i="1" s="1"/>
  <c r="M107" i="1"/>
  <c r="M116" i="1" s="1"/>
  <c r="M117" i="1" s="1"/>
  <c r="M113" i="1"/>
  <c r="N105" i="1"/>
  <c r="Q78" i="1"/>
  <c r="Q90" i="1"/>
  <c r="P63" i="1"/>
  <c r="P69" i="1" s="1"/>
  <c r="P71" i="11" s="1"/>
  <c r="P79" i="1"/>
  <c r="Q39" i="1"/>
  <c r="Q51" i="1" s="1"/>
  <c r="Q40" i="1"/>
  <c r="Q52" i="1" s="1"/>
  <c r="Q64" i="1" s="1"/>
  <c r="Q70" i="1" s="1"/>
  <c r="Q72" i="11" s="1"/>
  <c r="Q42" i="1"/>
  <c r="Q54" i="1" s="1"/>
  <c r="Q66" i="1" s="1"/>
  <c r="Q72" i="1" s="1"/>
  <c r="Q74" i="11" s="1"/>
  <c r="Q41" i="1"/>
  <c r="U45" i="1"/>
  <c r="U46" i="1"/>
  <c r="P75" i="11" l="1"/>
  <c r="P77" i="11" s="1"/>
  <c r="S85" i="1"/>
  <c r="T25" i="1"/>
  <c r="T28" i="1"/>
  <c r="T20" i="1"/>
  <c r="S35" i="1"/>
  <c r="S33" i="1"/>
  <c r="S36" i="1"/>
  <c r="T21" i="1"/>
  <c r="T24" i="1"/>
  <c r="S34" i="1"/>
  <c r="O88" i="1"/>
  <c r="P87" i="1"/>
  <c r="P88" i="1" s="1"/>
  <c r="O70" i="1"/>
  <c r="O72" i="11" s="1"/>
  <c r="O71" i="1"/>
  <c r="O73" i="11" s="1"/>
  <c r="Q53" i="1"/>
  <c r="R112" i="1"/>
  <c r="R111" i="1"/>
  <c r="O72" i="1"/>
  <c r="O74" i="11" s="1"/>
  <c r="N107" i="1"/>
  <c r="N116" i="1" s="1"/>
  <c r="N117" i="1" s="1"/>
  <c r="N113" i="1"/>
  <c r="R78" i="1"/>
  <c r="R90" i="1"/>
  <c r="Q63" i="1"/>
  <c r="Q79" i="1"/>
  <c r="Q87" i="1" s="1"/>
  <c r="P73" i="1"/>
  <c r="R42" i="1"/>
  <c r="R39" i="1"/>
  <c r="R40" i="1"/>
  <c r="R52" i="1" s="1"/>
  <c r="R64" i="1" s="1"/>
  <c r="R70" i="1" s="1"/>
  <c r="R72" i="11" s="1"/>
  <c r="R41" i="1"/>
  <c r="R53" i="1" s="1"/>
  <c r="R65" i="1" s="1"/>
  <c r="R71" i="1" s="1"/>
  <c r="R73" i="11" s="1"/>
  <c r="V46" i="1"/>
  <c r="V45" i="1"/>
  <c r="O75" i="11" l="1"/>
  <c r="O77" i="11"/>
  <c r="O94" i="11"/>
  <c r="O85" i="11"/>
  <c r="O106" i="11"/>
  <c r="O100" i="11"/>
  <c r="O105" i="11"/>
  <c r="O97" i="11"/>
  <c r="O80" i="11"/>
  <c r="P94" i="11"/>
  <c r="O79" i="11"/>
  <c r="O96" i="11"/>
  <c r="O93" i="11"/>
  <c r="O95" i="11"/>
  <c r="O78" i="11"/>
  <c r="P95" i="11"/>
  <c r="P106" i="11"/>
  <c r="P100" i="11"/>
  <c r="P101" i="11" s="1"/>
  <c r="P105" i="11"/>
  <c r="P108" i="11" s="1"/>
  <c r="P111" i="11" s="1"/>
  <c r="P85" i="11"/>
  <c r="P80" i="11"/>
  <c r="P78" i="11"/>
  <c r="P97" i="11"/>
  <c r="P79" i="11"/>
  <c r="P96" i="11"/>
  <c r="U28" i="1"/>
  <c r="U25" i="1"/>
  <c r="T34" i="1"/>
  <c r="T33" i="1"/>
  <c r="T35" i="1"/>
  <c r="U21" i="1"/>
  <c r="U24" i="1"/>
  <c r="T36" i="1" s="1"/>
  <c r="U20" i="1"/>
  <c r="T32" i="1"/>
  <c r="T85" i="1" s="1"/>
  <c r="Q65" i="1"/>
  <c r="Q88" i="1" s="1"/>
  <c r="S86" i="1"/>
  <c r="S112" i="1"/>
  <c r="S111" i="1"/>
  <c r="Q69" i="1"/>
  <c r="Q71" i="11" s="1"/>
  <c r="R86" i="1"/>
  <c r="O73" i="1"/>
  <c r="R51" i="1"/>
  <c r="R79" i="1" s="1"/>
  <c r="R54" i="1"/>
  <c r="P80" i="1"/>
  <c r="S78" i="1"/>
  <c r="S90" i="1"/>
  <c r="P75" i="1"/>
  <c r="W46" i="1"/>
  <c r="W45" i="1"/>
  <c r="S42" i="1"/>
  <c r="S54" i="1" s="1"/>
  <c r="S66" i="1" s="1"/>
  <c r="S72" i="1" s="1"/>
  <c r="S74" i="11" s="1"/>
  <c r="S39" i="1"/>
  <c r="S51" i="1" s="1"/>
  <c r="S40" i="1"/>
  <c r="S41" i="1"/>
  <c r="O108" i="11" l="1"/>
  <c r="O101" i="11"/>
  <c r="P112" i="11"/>
  <c r="R87" i="1"/>
  <c r="Q71" i="1"/>
  <c r="Q73" i="11" s="1"/>
  <c r="O95" i="1"/>
  <c r="O80" i="1"/>
  <c r="O75" i="1"/>
  <c r="S52" i="1"/>
  <c r="R63" i="1"/>
  <c r="R66" i="1"/>
  <c r="S53" i="1"/>
  <c r="T112" i="1"/>
  <c r="T111" i="1"/>
  <c r="T42" i="1"/>
  <c r="T41" i="1"/>
  <c r="P99" i="1"/>
  <c r="U34" i="1"/>
  <c r="U36" i="1"/>
  <c r="U35" i="1"/>
  <c r="U33" i="1"/>
  <c r="T78" i="1"/>
  <c r="T90" i="1"/>
  <c r="T86" i="1"/>
  <c r="S63" i="1"/>
  <c r="S69" i="1" s="1"/>
  <c r="S71" i="11" s="1"/>
  <c r="S79" i="1"/>
  <c r="S87" i="1" s="1"/>
  <c r="T40" i="1"/>
  <c r="T52" i="1" s="1"/>
  <c r="T64" i="1" s="1"/>
  <c r="T70" i="1" s="1"/>
  <c r="T72" i="11" s="1"/>
  <c r="X45" i="1"/>
  <c r="X46" i="1"/>
  <c r="V20" i="1"/>
  <c r="V25" i="1"/>
  <c r="V21" i="1"/>
  <c r="V24" i="1"/>
  <c r="V28" i="1"/>
  <c r="V32" i="1" s="1"/>
  <c r="U32" i="1"/>
  <c r="U85" i="1" s="1"/>
  <c r="Q93" i="11" l="1"/>
  <c r="Q73" i="1"/>
  <c r="Q80" i="1" s="1"/>
  <c r="Q99" i="1" s="1"/>
  <c r="O111" i="11"/>
  <c r="Q75" i="11"/>
  <c r="V85" i="1"/>
  <c r="W21" i="1"/>
  <c r="W24" i="1"/>
  <c r="W28" i="1"/>
  <c r="W20" i="1"/>
  <c r="W25" i="1"/>
  <c r="V36" i="1" s="1"/>
  <c r="T53" i="1"/>
  <c r="T65" i="1" s="1"/>
  <c r="T71" i="1" s="1"/>
  <c r="T73" i="11" s="1"/>
  <c r="T54" i="1"/>
  <c r="O96" i="1"/>
  <c r="O100" i="1" s="1"/>
  <c r="R69" i="1"/>
  <c r="R71" i="11" s="1"/>
  <c r="T39" i="1"/>
  <c r="S64" i="1"/>
  <c r="O99" i="1"/>
  <c r="S65" i="1"/>
  <c r="R72" i="1"/>
  <c r="R74" i="11" s="1"/>
  <c r="U86" i="1"/>
  <c r="U112" i="1"/>
  <c r="U111" i="1"/>
  <c r="R88" i="1"/>
  <c r="U78" i="1"/>
  <c r="U90" i="1"/>
  <c r="Y46" i="1"/>
  <c r="Y45" i="1"/>
  <c r="U41" i="1"/>
  <c r="U53" i="1" s="1"/>
  <c r="U65" i="1" s="1"/>
  <c r="U71" i="1" s="1"/>
  <c r="U73" i="11" s="1"/>
  <c r="U42" i="1"/>
  <c r="U54" i="1" s="1"/>
  <c r="U66" i="1" s="1"/>
  <c r="U72" i="1" s="1"/>
  <c r="U74" i="11" s="1"/>
  <c r="U39" i="1"/>
  <c r="U51" i="1" s="1"/>
  <c r="U40" i="1"/>
  <c r="U52" i="1" s="1"/>
  <c r="U64" i="1" s="1"/>
  <c r="U70" i="1" s="1"/>
  <c r="U72" i="11" s="1"/>
  <c r="U93" i="11" l="1"/>
  <c r="Q95" i="11"/>
  <c r="Q105" i="11"/>
  <c r="Q85" i="11"/>
  <c r="Q106" i="11"/>
  <c r="Q100" i="11"/>
  <c r="Q97" i="11"/>
  <c r="Q78" i="11"/>
  <c r="Q80" i="11"/>
  <c r="Q77" i="11"/>
  <c r="Q94" i="11"/>
  <c r="Q96" i="11"/>
  <c r="O112" i="11"/>
  <c r="R75" i="11"/>
  <c r="R94" i="11"/>
  <c r="R77" i="11"/>
  <c r="Q79" i="11"/>
  <c r="R97" i="11"/>
  <c r="R80" i="11"/>
  <c r="R93" i="11"/>
  <c r="Q75" i="1"/>
  <c r="V33" i="1"/>
  <c r="V39" i="1" s="1"/>
  <c r="V51" i="1" s="1"/>
  <c r="W32" i="1"/>
  <c r="W85" i="1" s="1"/>
  <c r="V34" i="1"/>
  <c r="V35" i="1"/>
  <c r="V41" i="1" s="1"/>
  <c r="V53" i="1" s="1"/>
  <c r="V65" i="1" s="1"/>
  <c r="V71" i="1" s="1"/>
  <c r="V73" i="11" s="1"/>
  <c r="W33" i="1"/>
  <c r="W36" i="1"/>
  <c r="X25" i="1"/>
  <c r="X24" i="1"/>
  <c r="X20" i="1"/>
  <c r="W35" i="1"/>
  <c r="X21" i="1"/>
  <c r="W34" i="1"/>
  <c r="X28" i="1"/>
  <c r="T51" i="1"/>
  <c r="S71" i="1"/>
  <c r="S73" i="11" s="1"/>
  <c r="S88" i="1"/>
  <c r="T66" i="1"/>
  <c r="R73" i="1"/>
  <c r="V111" i="1"/>
  <c r="V112" i="1"/>
  <c r="O101" i="1"/>
  <c r="O104" i="1" s="1"/>
  <c r="S70" i="1"/>
  <c r="S72" i="11" s="1"/>
  <c r="V40" i="1"/>
  <c r="V52" i="1" s="1"/>
  <c r="V64" i="1" s="1"/>
  <c r="V70" i="1" s="1"/>
  <c r="V72" i="11" s="1"/>
  <c r="V78" i="1"/>
  <c r="V90" i="1"/>
  <c r="V86" i="1"/>
  <c r="U63" i="1"/>
  <c r="U69" i="1" s="1"/>
  <c r="U71" i="11" s="1"/>
  <c r="U79" i="1"/>
  <c r="U87" i="1" s="1"/>
  <c r="V42" i="1"/>
  <c r="V54" i="1" s="1"/>
  <c r="V66" i="1" s="1"/>
  <c r="V72" i="1" s="1"/>
  <c r="V74" i="11" s="1"/>
  <c r="Z45" i="1"/>
  <c r="Z46" i="1"/>
  <c r="Q101" i="11" l="1"/>
  <c r="Q108" i="11"/>
  <c r="S93" i="11"/>
  <c r="S75" i="11"/>
  <c r="R100" i="11"/>
  <c r="R101" i="11" s="1"/>
  <c r="R105" i="11"/>
  <c r="R106" i="11"/>
  <c r="R85" i="11"/>
  <c r="R96" i="11"/>
  <c r="R79" i="11"/>
  <c r="R95" i="11"/>
  <c r="R78" i="11"/>
  <c r="V93" i="11"/>
  <c r="U75" i="11"/>
  <c r="U94" i="11"/>
  <c r="U77" i="11"/>
  <c r="X36" i="1"/>
  <c r="Y25" i="1"/>
  <c r="X34" i="1"/>
  <c r="X33" i="1"/>
  <c r="Y21" i="1"/>
  <c r="Y24" i="1"/>
  <c r="Y20" i="1"/>
  <c r="X35" i="1"/>
  <c r="Y28" i="1"/>
  <c r="X32" i="1"/>
  <c r="X85" i="1" s="1"/>
  <c r="O105" i="1"/>
  <c r="O107" i="1"/>
  <c r="R80" i="1"/>
  <c r="R75" i="1"/>
  <c r="T79" i="1"/>
  <c r="T87" i="1" s="1"/>
  <c r="T63" i="1"/>
  <c r="W86" i="1"/>
  <c r="W111" i="1"/>
  <c r="W112" i="1"/>
  <c r="S73" i="1"/>
  <c r="T72" i="1"/>
  <c r="T74" i="11" s="1"/>
  <c r="U88" i="1"/>
  <c r="W78" i="1"/>
  <c r="W90" i="1"/>
  <c r="V63" i="1"/>
  <c r="V69" i="1" s="1"/>
  <c r="V71" i="11" s="1"/>
  <c r="V79" i="1"/>
  <c r="V87" i="1" s="1"/>
  <c r="U73" i="1"/>
  <c r="AA46" i="1"/>
  <c r="AA45" i="1"/>
  <c r="W40" i="1"/>
  <c r="W52" i="1" s="1"/>
  <c r="W64" i="1" s="1"/>
  <c r="W70" i="1" s="1"/>
  <c r="W72" i="11" s="1"/>
  <c r="W41" i="1"/>
  <c r="W53" i="1" s="1"/>
  <c r="W65" i="1" s="1"/>
  <c r="W71" i="1" s="1"/>
  <c r="W73" i="11" s="1"/>
  <c r="W42" i="1"/>
  <c r="W54" i="1" s="1"/>
  <c r="W66" i="1" s="1"/>
  <c r="W72" i="1" s="1"/>
  <c r="W74" i="11" s="1"/>
  <c r="W39" i="1"/>
  <c r="W51" i="1" s="1"/>
  <c r="R108" i="11" l="1"/>
  <c r="S78" i="11"/>
  <c r="S85" i="11"/>
  <c r="S106" i="11"/>
  <c r="S105" i="11"/>
  <c r="S108" i="11" s="1"/>
  <c r="S111" i="11" s="1"/>
  <c r="S100" i="11"/>
  <c r="S101" i="11" s="1"/>
  <c r="S97" i="11"/>
  <c r="S80" i="11"/>
  <c r="S94" i="11"/>
  <c r="S77" i="11"/>
  <c r="S95" i="11"/>
  <c r="O113" i="1"/>
  <c r="T93" i="11"/>
  <c r="S79" i="11"/>
  <c r="Q111" i="11"/>
  <c r="S96" i="11"/>
  <c r="V75" i="11"/>
  <c r="V94" i="11" s="1"/>
  <c r="U95" i="11"/>
  <c r="U106" i="11"/>
  <c r="U105" i="11"/>
  <c r="U108" i="11" s="1"/>
  <c r="U85" i="11"/>
  <c r="U100" i="11"/>
  <c r="U101" i="11" s="1"/>
  <c r="U79" i="11"/>
  <c r="U78" i="11"/>
  <c r="U97" i="11"/>
  <c r="U96" i="11"/>
  <c r="U80" i="11"/>
  <c r="W93" i="11"/>
  <c r="X112" i="1"/>
  <c r="X111" i="1"/>
  <c r="O116" i="1"/>
  <c r="O117" i="1" s="1"/>
  <c r="T69" i="1"/>
  <c r="T71" i="11" s="1"/>
  <c r="R99" i="1"/>
  <c r="S75" i="1"/>
  <c r="S80" i="1"/>
  <c r="T88" i="1"/>
  <c r="U80" i="1"/>
  <c r="V88" i="1"/>
  <c r="X78" i="1"/>
  <c r="X90" i="1"/>
  <c r="X86" i="1"/>
  <c r="Y33" i="1"/>
  <c r="Y36" i="1"/>
  <c r="Y35" i="1"/>
  <c r="Y34" i="1"/>
  <c r="U75" i="1"/>
  <c r="W63" i="1"/>
  <c r="W69" i="1" s="1"/>
  <c r="W71" i="11" s="1"/>
  <c r="W79" i="1"/>
  <c r="W87" i="1" s="1"/>
  <c r="V73" i="1"/>
  <c r="AB45" i="1"/>
  <c r="X40" i="1"/>
  <c r="X52" i="1" s="1"/>
  <c r="X64" i="1" s="1"/>
  <c r="X70" i="1" s="1"/>
  <c r="X72" i="11" s="1"/>
  <c r="X41" i="1"/>
  <c r="X53" i="1" s="1"/>
  <c r="X65" i="1" s="1"/>
  <c r="X71" i="1" s="1"/>
  <c r="X73" i="11" s="1"/>
  <c r="X42" i="1"/>
  <c r="X54" i="1" s="1"/>
  <c r="X66" i="1" s="1"/>
  <c r="X72" i="1" s="1"/>
  <c r="X74" i="11" s="1"/>
  <c r="X39" i="1"/>
  <c r="X51" i="1" s="1"/>
  <c r="AB46" i="1"/>
  <c r="Y32" i="1"/>
  <c r="Y85" i="1" s="1"/>
  <c r="Z28" i="1"/>
  <c r="Z21" i="1"/>
  <c r="Z20" i="1"/>
  <c r="Z24" i="1"/>
  <c r="Z25" i="1"/>
  <c r="V77" i="11" l="1"/>
  <c r="S112" i="11"/>
  <c r="V100" i="11"/>
  <c r="V101" i="11" s="1"/>
  <c r="V85" i="11"/>
  <c r="V106" i="11"/>
  <c r="V105" i="11"/>
  <c r="V95" i="11"/>
  <c r="V97" i="11"/>
  <c r="V96" i="11"/>
  <c r="V78" i="11"/>
  <c r="V79" i="11"/>
  <c r="V80" i="11"/>
  <c r="X93" i="11"/>
  <c r="U111" i="11"/>
  <c r="R111" i="11"/>
  <c r="R71" i="10" s="1"/>
  <c r="K71" i="10" s="1"/>
  <c r="W75" i="11"/>
  <c r="W77" i="11" s="1"/>
  <c r="W94" i="11"/>
  <c r="T75" i="11"/>
  <c r="T94" i="11"/>
  <c r="T77" i="11"/>
  <c r="Q112" i="11"/>
  <c r="Z32" i="1"/>
  <c r="Z85" i="1" s="1"/>
  <c r="AA21" i="1"/>
  <c r="AA25" i="1"/>
  <c r="AA24" i="1"/>
  <c r="AA20" i="1"/>
  <c r="Z35" i="1"/>
  <c r="Z34" i="1"/>
  <c r="AA28" i="1"/>
  <c r="AA32" i="1" s="1"/>
  <c r="T73" i="1"/>
  <c r="T75" i="1" s="1"/>
  <c r="Y86" i="1"/>
  <c r="Y112" i="1"/>
  <c r="Y111" i="1"/>
  <c r="S99" i="1"/>
  <c r="V80" i="1"/>
  <c r="U99" i="1"/>
  <c r="W88" i="1"/>
  <c r="Y78" i="1"/>
  <c r="Y90" i="1"/>
  <c r="X63" i="1"/>
  <c r="X69" i="1" s="1"/>
  <c r="X71" i="11" s="1"/>
  <c r="X79" i="1"/>
  <c r="X87" i="1" s="1"/>
  <c r="V75" i="1"/>
  <c r="W73" i="1"/>
  <c r="Y40" i="1"/>
  <c r="Y52" i="1" s="1"/>
  <c r="Y64" i="1" s="1"/>
  <c r="Y70" i="1" s="1"/>
  <c r="Y72" i="11" s="1"/>
  <c r="Y41" i="1"/>
  <c r="Y53" i="1" s="1"/>
  <c r="Y65" i="1" s="1"/>
  <c r="Y71" i="1" s="1"/>
  <c r="Y73" i="11" s="1"/>
  <c r="Y42" i="1"/>
  <c r="Y54" i="1" s="1"/>
  <c r="Y66" i="1" s="1"/>
  <c r="Y39" i="1"/>
  <c r="Y51" i="1" s="1"/>
  <c r="AC46" i="1"/>
  <c r="AC45" i="1"/>
  <c r="V108" i="11" l="1"/>
  <c r="U112" i="11"/>
  <c r="X75" i="11"/>
  <c r="X77" i="11"/>
  <c r="X94" i="11"/>
  <c r="T78" i="11"/>
  <c r="T105" i="11"/>
  <c r="T100" i="11"/>
  <c r="T101" i="11" s="1"/>
  <c r="T85" i="11"/>
  <c r="T106" i="11"/>
  <c r="T95" i="11"/>
  <c r="T79" i="11"/>
  <c r="T96" i="11"/>
  <c r="T80" i="11"/>
  <c r="T97" i="11"/>
  <c r="W95" i="11"/>
  <c r="W106" i="11"/>
  <c r="W105" i="11"/>
  <c r="W108" i="11" s="1"/>
  <c r="W85" i="11"/>
  <c r="W100" i="11"/>
  <c r="W101" i="11" s="1"/>
  <c r="W80" i="11"/>
  <c r="W97" i="11"/>
  <c r="W96" i="11"/>
  <c r="W79" i="11"/>
  <c r="W78" i="11"/>
  <c r="R112" i="11"/>
  <c r="AA85" i="1"/>
  <c r="Z36" i="1"/>
  <c r="Z33" i="1"/>
  <c r="Z39" i="1" s="1"/>
  <c r="Z51" i="1" s="1"/>
  <c r="AA34" i="1"/>
  <c r="AB24" i="1"/>
  <c r="AA35" i="1"/>
  <c r="AA33" i="1"/>
  <c r="AB25" i="1"/>
  <c r="AB21" i="1"/>
  <c r="AB20" i="1"/>
  <c r="AB28" i="1"/>
  <c r="AB32" i="1" s="1"/>
  <c r="AA36" i="1"/>
  <c r="T80" i="1"/>
  <c r="Y72" i="1"/>
  <c r="Y74" i="11" s="1"/>
  <c r="Z86" i="1"/>
  <c r="Z111" i="1"/>
  <c r="Z112" i="1"/>
  <c r="V99" i="1"/>
  <c r="W80" i="1"/>
  <c r="X88" i="1"/>
  <c r="Z78" i="1"/>
  <c r="Z90" i="1"/>
  <c r="W75" i="1"/>
  <c r="Y63" i="1"/>
  <c r="Y69" i="1" s="1"/>
  <c r="Y71" i="11" s="1"/>
  <c r="Y79" i="1"/>
  <c r="Y87" i="1" s="1"/>
  <c r="X73" i="1"/>
  <c r="AD46" i="1"/>
  <c r="AD45" i="1"/>
  <c r="Z40" i="1"/>
  <c r="Z52" i="1" s="1"/>
  <c r="Z64" i="1" s="1"/>
  <c r="Z70" i="1" s="1"/>
  <c r="Z72" i="11" s="1"/>
  <c r="Z41" i="1"/>
  <c r="Z53" i="1" s="1"/>
  <c r="Z65" i="1" s="1"/>
  <c r="Z71" i="1" s="1"/>
  <c r="Z73" i="11" s="1"/>
  <c r="Z42" i="1"/>
  <c r="Z54" i="1" s="1"/>
  <c r="Z66" i="1" s="1"/>
  <c r="Z72" i="1" s="1"/>
  <c r="Z74" i="11" s="1"/>
  <c r="Z93" i="11" l="1"/>
  <c r="X78" i="11"/>
  <c r="X100" i="11"/>
  <c r="X101" i="11" s="1"/>
  <c r="X85" i="11"/>
  <c r="X106" i="11"/>
  <c r="X105" i="11"/>
  <c r="X108" i="11" s="1"/>
  <c r="X111" i="11" s="1"/>
  <c r="X80" i="11"/>
  <c r="X97" i="11"/>
  <c r="X95" i="11"/>
  <c r="X96" i="11"/>
  <c r="X79" i="11"/>
  <c r="W111" i="11"/>
  <c r="T108" i="11"/>
  <c r="Y75" i="11"/>
  <c r="Y80" i="11" s="1"/>
  <c r="Y93" i="11"/>
  <c r="V111" i="11"/>
  <c r="AB85" i="1"/>
  <c r="AC24" i="1"/>
  <c r="AB34" i="1"/>
  <c r="AC21" i="1"/>
  <c r="AC20" i="1"/>
  <c r="AC28" i="1"/>
  <c r="AB36" i="1"/>
  <c r="AB35" i="1"/>
  <c r="AB33" i="1"/>
  <c r="AC25" i="1"/>
  <c r="AA86" i="1"/>
  <c r="AA111" i="1"/>
  <c r="AA112" i="1"/>
  <c r="T99" i="1"/>
  <c r="W99" i="1"/>
  <c r="X80" i="1"/>
  <c r="Y88" i="1"/>
  <c r="AA78" i="1"/>
  <c r="AA90" i="1"/>
  <c r="Y73" i="1"/>
  <c r="X75" i="1"/>
  <c r="Z63" i="1"/>
  <c r="Z69" i="1" s="1"/>
  <c r="Z71" i="11" s="1"/>
  <c r="Z79" i="1"/>
  <c r="Z87" i="1" s="1"/>
  <c r="AE45" i="1"/>
  <c r="AA40" i="1"/>
  <c r="AA52" i="1" s="1"/>
  <c r="AA64" i="1" s="1"/>
  <c r="AA70" i="1" s="1"/>
  <c r="AA72" i="11" s="1"/>
  <c r="AA41" i="1"/>
  <c r="AA53" i="1" s="1"/>
  <c r="AA65" i="1" s="1"/>
  <c r="AA71" i="1" s="1"/>
  <c r="AA73" i="11" s="1"/>
  <c r="AA42" i="1"/>
  <c r="AA54" i="1" s="1"/>
  <c r="AA66" i="1" s="1"/>
  <c r="AA72" i="1" s="1"/>
  <c r="AA74" i="11" s="1"/>
  <c r="AA39" i="1"/>
  <c r="AA51" i="1" s="1"/>
  <c r="AE46" i="1"/>
  <c r="X112" i="11" l="1"/>
  <c r="Y95" i="11"/>
  <c r="Y100" i="11"/>
  <c r="Y101" i="11" s="1"/>
  <c r="Y106" i="11"/>
  <c r="Y105" i="11"/>
  <c r="Y108" i="11" s="1"/>
  <c r="Y111" i="11" s="1"/>
  <c r="Y85" i="11"/>
  <c r="Y79" i="11"/>
  <c r="Y78" i="11"/>
  <c r="Y96" i="11"/>
  <c r="T111" i="11"/>
  <c r="V112" i="11"/>
  <c r="W112" i="11"/>
  <c r="AA93" i="11"/>
  <c r="Y77" i="11"/>
  <c r="Y97" i="11"/>
  <c r="Z75" i="11"/>
  <c r="Z77" i="11" s="1"/>
  <c r="Y94" i="11"/>
  <c r="AC34" i="1"/>
  <c r="AC35" i="1"/>
  <c r="AC33" i="1"/>
  <c r="AC36" i="1"/>
  <c r="AB111" i="1"/>
  <c r="AB112" i="1"/>
  <c r="X99" i="1"/>
  <c r="Y80" i="1"/>
  <c r="AB78" i="1"/>
  <c r="AB90" i="1"/>
  <c r="AB86" i="1"/>
  <c r="Z88" i="1"/>
  <c r="AA63" i="1"/>
  <c r="AA69" i="1" s="1"/>
  <c r="AA71" i="11" s="1"/>
  <c r="AA79" i="1"/>
  <c r="AA87" i="1" s="1"/>
  <c r="Z73" i="1"/>
  <c r="Y75" i="1"/>
  <c r="AB40" i="1"/>
  <c r="AB52" i="1" s="1"/>
  <c r="AB64" i="1" s="1"/>
  <c r="AB70" i="1" s="1"/>
  <c r="AB72" i="11" s="1"/>
  <c r="AB41" i="1"/>
  <c r="AB53" i="1" s="1"/>
  <c r="AB65" i="1" s="1"/>
  <c r="AB71" i="1" s="1"/>
  <c r="AB73" i="11" s="1"/>
  <c r="AB42" i="1"/>
  <c r="AB54" i="1" s="1"/>
  <c r="AB66" i="1" s="1"/>
  <c r="AB72" i="1" s="1"/>
  <c r="AB74" i="11" s="1"/>
  <c r="AB39" i="1"/>
  <c r="AB51" i="1" s="1"/>
  <c r="AF46" i="1"/>
  <c r="AF45" i="1"/>
  <c r="AD28" i="1"/>
  <c r="AD32" i="1" s="1"/>
  <c r="AD25" i="1"/>
  <c r="AD24" i="1"/>
  <c r="AD20" i="1"/>
  <c r="AD21" i="1"/>
  <c r="AC32" i="1"/>
  <c r="AC85" i="1" s="1"/>
  <c r="Y112" i="11" l="1"/>
  <c r="Z78" i="11"/>
  <c r="Z105" i="11"/>
  <c r="Z100" i="11"/>
  <c r="Z101" i="11" s="1"/>
  <c r="Z106" i="11"/>
  <c r="Z85" i="11"/>
  <c r="Z97" i="11"/>
  <c r="Z80" i="11"/>
  <c r="Z79" i="11"/>
  <c r="Z96" i="11"/>
  <c r="Z95" i="11"/>
  <c r="Z94" i="11"/>
  <c r="AA75" i="11"/>
  <c r="AA94" i="11" s="1"/>
  <c r="AB93" i="11"/>
  <c r="T112" i="11"/>
  <c r="AD85" i="1"/>
  <c r="AE20" i="1"/>
  <c r="AE21" i="1"/>
  <c r="AE28" i="1"/>
  <c r="AE25" i="1"/>
  <c r="AD35" i="1"/>
  <c r="AD34" i="1"/>
  <c r="AD33" i="1"/>
  <c r="AD36" i="1"/>
  <c r="AE24" i="1"/>
  <c r="AC86" i="1"/>
  <c r="AC112" i="1"/>
  <c r="AC111" i="1"/>
  <c r="Z80" i="1"/>
  <c r="Y99" i="1"/>
  <c r="AA88" i="1"/>
  <c r="AC78" i="1"/>
  <c r="AC90" i="1"/>
  <c r="Z75" i="1"/>
  <c r="AA73" i="1"/>
  <c r="AB63" i="1"/>
  <c r="AB69" i="1" s="1"/>
  <c r="AB71" i="11" s="1"/>
  <c r="AB79" i="1"/>
  <c r="AB87" i="1" s="1"/>
  <c r="AC39" i="1"/>
  <c r="AC42" i="1"/>
  <c r="AC40" i="1"/>
  <c r="AC52" i="1" s="1"/>
  <c r="AC64" i="1" s="1"/>
  <c r="AC70" i="1" s="1"/>
  <c r="AC72" i="11" s="1"/>
  <c r="AC41" i="1"/>
  <c r="AG45" i="1"/>
  <c r="AG46" i="1"/>
  <c r="AA77" i="11" l="1"/>
  <c r="Z108" i="11"/>
  <c r="AA100" i="11"/>
  <c r="AA101" i="11" s="1"/>
  <c r="AA105" i="11"/>
  <c r="AA106" i="11"/>
  <c r="AA85" i="11"/>
  <c r="AA95" i="11"/>
  <c r="AA78" i="11"/>
  <c r="AA79" i="11"/>
  <c r="AA97" i="11"/>
  <c r="AA80" i="11"/>
  <c r="AA96" i="11"/>
  <c r="AB75" i="11"/>
  <c r="AB94" i="11" s="1"/>
  <c r="AE32" i="1"/>
  <c r="AE85" i="1" s="1"/>
  <c r="AF24" i="1"/>
  <c r="AF20" i="1"/>
  <c r="AE35" i="1"/>
  <c r="AF21" i="1"/>
  <c r="AF28" i="1"/>
  <c r="AE34" i="1"/>
  <c r="AE33" i="1"/>
  <c r="AF25" i="1"/>
  <c r="AE36" i="1"/>
  <c r="AC54" i="1"/>
  <c r="AC53" i="1"/>
  <c r="AC51" i="1"/>
  <c r="AD112" i="1"/>
  <c r="AD111" i="1"/>
  <c r="Z99" i="1"/>
  <c r="AA80" i="1"/>
  <c r="AD78" i="1"/>
  <c r="AD90" i="1"/>
  <c r="AB88" i="1"/>
  <c r="AD86" i="1"/>
  <c r="AB73" i="1"/>
  <c r="AC63" i="1"/>
  <c r="AC79" i="1"/>
  <c r="AA75" i="1"/>
  <c r="AH45" i="1"/>
  <c r="AH46" i="1"/>
  <c r="AD42" i="1"/>
  <c r="AD54" i="1" s="1"/>
  <c r="AD66" i="1" s="1"/>
  <c r="AD72" i="1" s="1"/>
  <c r="AD74" i="11" s="1"/>
  <c r="AD39" i="1"/>
  <c r="AD51" i="1" s="1"/>
  <c r="AD40" i="1"/>
  <c r="AD52" i="1" s="1"/>
  <c r="AD64" i="1" s="1"/>
  <c r="AD70" i="1" s="1"/>
  <c r="AD72" i="11" s="1"/>
  <c r="AD41" i="1"/>
  <c r="AD53" i="1" s="1"/>
  <c r="AD65" i="1" s="1"/>
  <c r="AD71" i="1" s="1"/>
  <c r="AD73" i="11" s="1"/>
  <c r="AA108" i="11" l="1"/>
  <c r="AA111" i="11" s="1"/>
  <c r="AB77" i="11"/>
  <c r="AA112" i="11"/>
  <c r="AB78" i="11"/>
  <c r="AB100" i="11"/>
  <c r="AB101" i="11" s="1"/>
  <c r="AB85" i="11"/>
  <c r="AB106" i="11"/>
  <c r="AB105" i="11"/>
  <c r="AB108" i="11" s="1"/>
  <c r="AB97" i="11"/>
  <c r="AB80" i="11"/>
  <c r="AB95" i="11"/>
  <c r="AB79" i="11"/>
  <c r="AB96" i="11"/>
  <c r="AD93" i="11"/>
  <c r="Z111" i="11"/>
  <c r="AF32" i="1"/>
  <c r="AF85" i="1" s="1"/>
  <c r="AF35" i="1"/>
  <c r="AG21" i="1"/>
  <c r="AG25" i="1"/>
  <c r="AG28" i="1"/>
  <c r="AF34" i="1"/>
  <c r="AF33" i="1"/>
  <c r="AF36" i="1"/>
  <c r="AG20" i="1"/>
  <c r="AG24" i="1"/>
  <c r="AC66" i="1"/>
  <c r="AC88" i="1" s="1"/>
  <c r="AC65" i="1"/>
  <c r="AC69" i="1"/>
  <c r="AC71" i="11" s="1"/>
  <c r="AC87" i="1"/>
  <c r="AE86" i="1"/>
  <c r="AE112" i="1"/>
  <c r="AE111" i="1"/>
  <c r="AA99" i="1"/>
  <c r="AB80" i="1"/>
  <c r="AE78" i="1"/>
  <c r="AE90" i="1"/>
  <c r="AD63" i="1"/>
  <c r="AD69" i="1" s="1"/>
  <c r="AD71" i="11" s="1"/>
  <c r="AD79" i="1"/>
  <c r="AD87" i="1" s="1"/>
  <c r="AB75" i="1"/>
  <c r="AE42" i="1"/>
  <c r="AE39" i="1"/>
  <c r="AE51" i="1" s="1"/>
  <c r="AE40" i="1"/>
  <c r="AE52" i="1" s="1"/>
  <c r="AE64" i="1" s="1"/>
  <c r="AE70" i="1" s="1"/>
  <c r="AE72" i="11" s="1"/>
  <c r="AE41" i="1"/>
  <c r="AE53" i="1" s="1"/>
  <c r="AE65" i="1" s="1"/>
  <c r="AE71" i="1" s="1"/>
  <c r="AE73" i="11" s="1"/>
  <c r="AI46" i="1"/>
  <c r="AI45" i="1"/>
  <c r="Z112" i="11" l="1"/>
  <c r="AD75" i="11"/>
  <c r="AD94" i="11"/>
  <c r="AD77" i="11"/>
  <c r="AB111" i="11"/>
  <c r="AG36" i="1"/>
  <c r="AG35" i="1"/>
  <c r="AE54" i="1"/>
  <c r="AG34" i="1"/>
  <c r="AG33" i="1"/>
  <c r="AC72" i="1"/>
  <c r="AC74" i="11" s="1"/>
  <c r="AC71" i="1"/>
  <c r="AC73" i="11" s="1"/>
  <c r="AF86" i="1"/>
  <c r="AF112" i="1"/>
  <c r="AF111" i="1"/>
  <c r="AB99" i="1"/>
  <c r="AD88" i="1"/>
  <c r="AF78" i="1"/>
  <c r="AF90" i="1"/>
  <c r="AE63" i="1"/>
  <c r="AE69" i="1" s="1"/>
  <c r="AE71" i="11" s="1"/>
  <c r="AE79" i="1"/>
  <c r="AE87" i="1" s="1"/>
  <c r="AD73" i="1"/>
  <c r="AD75" i="1" s="1"/>
  <c r="AJ45" i="1"/>
  <c r="AJ46" i="1"/>
  <c r="AF42" i="1"/>
  <c r="AF54" i="1" s="1"/>
  <c r="AF66" i="1" s="1"/>
  <c r="AF72" i="1" s="1"/>
  <c r="AF74" i="11" s="1"/>
  <c r="AF39" i="1"/>
  <c r="AF51" i="1" s="1"/>
  <c r="AF41" i="1"/>
  <c r="AF40" i="1"/>
  <c r="AF52" i="1" s="1"/>
  <c r="AF64" i="1" s="1"/>
  <c r="AF70" i="1" s="1"/>
  <c r="AF72" i="11" s="1"/>
  <c r="AG32" i="1"/>
  <c r="AG85" i="1" s="1"/>
  <c r="AH24" i="1"/>
  <c r="AH21" i="1"/>
  <c r="AH20" i="1"/>
  <c r="AH25" i="1"/>
  <c r="AH28" i="1"/>
  <c r="AH32" i="1" s="1"/>
  <c r="AC75" i="11" l="1"/>
  <c r="AC100" i="11"/>
  <c r="AC101" i="11" s="1"/>
  <c r="AC85" i="11"/>
  <c r="AC106" i="11"/>
  <c r="AC105" i="11"/>
  <c r="AC108" i="11" s="1"/>
  <c r="AC111" i="11" s="1"/>
  <c r="AC78" i="11"/>
  <c r="AC95" i="11"/>
  <c r="AC94" i="11"/>
  <c r="AC77" i="11"/>
  <c r="AD85" i="11"/>
  <c r="AD105" i="11"/>
  <c r="AD106" i="11"/>
  <c r="AD100" i="11"/>
  <c r="AD101" i="11" s="1"/>
  <c r="AD80" i="11"/>
  <c r="AD97" i="11"/>
  <c r="AD79" i="11"/>
  <c r="AD78" i="11"/>
  <c r="AD96" i="11"/>
  <c r="AD95" i="11"/>
  <c r="AC79" i="11"/>
  <c r="AC96" i="11"/>
  <c r="AC93" i="11"/>
  <c r="AC97" i="11"/>
  <c r="AC80" i="11"/>
  <c r="AB112" i="11"/>
  <c r="AH85" i="1"/>
  <c r="AH36" i="1"/>
  <c r="AH34" i="1"/>
  <c r="AH35" i="1"/>
  <c r="AI21" i="1"/>
  <c r="AH33" i="1"/>
  <c r="AI28" i="1"/>
  <c r="AI25" i="1"/>
  <c r="AI24" i="1"/>
  <c r="AI20" i="1"/>
  <c r="AF53" i="1"/>
  <c r="AE66" i="1"/>
  <c r="AE88" i="1" s="1"/>
  <c r="AC73" i="1"/>
  <c r="AG112" i="1"/>
  <c r="AG111" i="1"/>
  <c r="AD80" i="1"/>
  <c r="AG78" i="1"/>
  <c r="AG90" i="1"/>
  <c r="AG86" i="1"/>
  <c r="AF63" i="1"/>
  <c r="AF69" i="1" s="1"/>
  <c r="AF71" i="11" s="1"/>
  <c r="AF79" i="1"/>
  <c r="AF87" i="1" s="1"/>
  <c r="AG41" i="1"/>
  <c r="AG53" i="1" s="1"/>
  <c r="AG65" i="1" s="1"/>
  <c r="AG71" i="1" s="1"/>
  <c r="AG73" i="11" s="1"/>
  <c r="AG42" i="1"/>
  <c r="AG54" i="1" s="1"/>
  <c r="AG66" i="1" s="1"/>
  <c r="AG72" i="1" s="1"/>
  <c r="AG74" i="11" s="1"/>
  <c r="AG39" i="1"/>
  <c r="AG40" i="1"/>
  <c r="AC112" i="11" l="1"/>
  <c r="AD108" i="11"/>
  <c r="AI33" i="1"/>
  <c r="AJ24" i="1"/>
  <c r="AJ28" i="1"/>
  <c r="AI36" i="1"/>
  <c r="AI34" i="1"/>
  <c r="AJ25" i="1"/>
  <c r="AJ20" i="1"/>
  <c r="AI35" i="1"/>
  <c r="AJ21" i="1"/>
  <c r="AI32" i="1"/>
  <c r="AI85" i="1" s="1"/>
  <c r="AE72" i="1"/>
  <c r="AE74" i="11" s="1"/>
  <c r="AF65" i="1"/>
  <c r="AF88" i="1" s="1"/>
  <c r="AG52" i="1"/>
  <c r="AG51" i="1"/>
  <c r="AC75" i="1"/>
  <c r="AC80" i="1"/>
  <c r="AH86" i="1"/>
  <c r="AH112" i="1"/>
  <c r="AH111" i="1"/>
  <c r="AD99" i="1"/>
  <c r="AH78" i="1"/>
  <c r="AH90" i="1"/>
  <c r="AG79" i="1"/>
  <c r="AH41" i="1"/>
  <c r="AH53" i="1" s="1"/>
  <c r="AH65" i="1" s="1"/>
  <c r="AH71" i="1" s="1"/>
  <c r="AH73" i="11" s="1"/>
  <c r="AH42" i="1"/>
  <c r="AH54" i="1" s="1"/>
  <c r="AH66" i="1" s="1"/>
  <c r="AH72" i="1" s="1"/>
  <c r="AH74" i="11" s="1"/>
  <c r="AH39" i="1"/>
  <c r="AH51" i="1" s="1"/>
  <c r="AH40" i="1"/>
  <c r="AH52" i="1" s="1"/>
  <c r="AH64" i="1" s="1"/>
  <c r="AH70" i="1" s="1"/>
  <c r="AH72" i="11" s="1"/>
  <c r="AD111" i="11" l="1"/>
  <c r="AE93" i="11"/>
  <c r="AE75" i="11"/>
  <c r="AH93" i="11"/>
  <c r="AJ32" i="1"/>
  <c r="AJ85" i="1" s="1"/>
  <c r="AK28" i="1"/>
  <c r="AJ35" i="1"/>
  <c r="AK21" i="1"/>
  <c r="AK24" i="1"/>
  <c r="AK20" i="1"/>
  <c r="AJ36" i="1"/>
  <c r="AJ34" i="1"/>
  <c r="AJ33" i="1"/>
  <c r="AK25" i="1"/>
  <c r="AK32" i="1" s="1"/>
  <c r="AF71" i="1"/>
  <c r="AF73" i="11" s="1"/>
  <c r="AE73" i="1"/>
  <c r="AG63" i="1"/>
  <c r="AG64" i="1"/>
  <c r="AG69" i="1"/>
  <c r="AG71" i="11" s="1"/>
  <c r="AG87" i="1"/>
  <c r="AC99" i="1"/>
  <c r="AI111" i="1"/>
  <c r="AI112" i="1"/>
  <c r="U11" i="2"/>
  <c r="T11" i="2"/>
  <c r="AI78" i="1"/>
  <c r="AI90" i="1"/>
  <c r="AI86" i="1"/>
  <c r="AH63" i="1"/>
  <c r="AH69" i="1" s="1"/>
  <c r="AH71" i="11" s="1"/>
  <c r="AH79" i="1"/>
  <c r="AH87" i="1" s="1"/>
  <c r="AI40" i="1"/>
  <c r="AI41" i="1"/>
  <c r="AI42" i="1"/>
  <c r="AI54" i="1" s="1"/>
  <c r="AI66" i="1" s="1"/>
  <c r="AI72" i="1" s="1"/>
  <c r="AI74" i="11" s="1"/>
  <c r="AI39" i="1"/>
  <c r="AI51" i="1" s="1"/>
  <c r="AE85" i="11" l="1"/>
  <c r="AE105" i="11"/>
  <c r="AE100" i="11"/>
  <c r="AE101" i="11" s="1"/>
  <c r="AE106" i="11"/>
  <c r="AE79" i="11"/>
  <c r="AE96" i="11"/>
  <c r="AE78" i="11"/>
  <c r="AE95" i="11"/>
  <c r="AE94" i="11"/>
  <c r="AE77" i="11"/>
  <c r="AD112" i="11"/>
  <c r="AE97" i="11"/>
  <c r="AF93" i="11"/>
  <c r="AF75" i="11"/>
  <c r="AF96" i="11" s="1"/>
  <c r="AE80" i="11"/>
  <c r="AH75" i="11"/>
  <c r="AK85" i="1"/>
  <c r="AK34" i="1"/>
  <c r="AK33" i="1"/>
  <c r="AK35" i="1"/>
  <c r="AK41" i="1" s="1"/>
  <c r="AK53" i="1" s="1"/>
  <c r="AK65" i="1" s="1"/>
  <c r="AK71" i="1" s="1"/>
  <c r="AK73" i="11" s="1"/>
  <c r="AK36" i="1"/>
  <c r="AK111" i="1"/>
  <c r="AK90" i="1"/>
  <c r="AK112" i="1"/>
  <c r="AK78" i="1"/>
  <c r="AK42" i="1"/>
  <c r="AK54" i="1" s="1"/>
  <c r="AK66" i="1" s="1"/>
  <c r="AK72" i="1" s="1"/>
  <c r="AK74" i="11" s="1"/>
  <c r="AK40" i="1"/>
  <c r="AK52" i="1" s="1"/>
  <c r="AK64" i="1" s="1"/>
  <c r="AK70" i="1" s="1"/>
  <c r="AK72" i="11" s="1"/>
  <c r="AL21" i="1"/>
  <c r="AL20" i="1"/>
  <c r="AL28" i="1"/>
  <c r="AK39" i="1"/>
  <c r="AK51" i="1" s="1"/>
  <c r="AL25" i="1"/>
  <c r="AL24" i="1"/>
  <c r="AK86" i="1"/>
  <c r="AE80" i="1"/>
  <c r="AE99" i="1" s="1"/>
  <c r="AE75" i="1"/>
  <c r="AI53" i="1"/>
  <c r="AI52" i="1"/>
  <c r="AF73" i="1"/>
  <c r="AG70" i="1"/>
  <c r="AG72" i="11" s="1"/>
  <c r="AG88" i="1"/>
  <c r="AH110" i="1"/>
  <c r="AH91" i="1"/>
  <c r="AH92" i="1" s="1"/>
  <c r="AI110" i="1"/>
  <c r="AI91" i="1"/>
  <c r="V11" i="2"/>
  <c r="AJ111" i="1"/>
  <c r="AJ112" i="1"/>
  <c r="B11" i="2"/>
  <c r="P110" i="1" s="1"/>
  <c r="E11" i="2"/>
  <c r="C11" i="2"/>
  <c r="D11" i="2"/>
  <c r="G11" i="2"/>
  <c r="F11" i="2"/>
  <c r="I11" i="2"/>
  <c r="H11" i="2"/>
  <c r="J11" i="2"/>
  <c r="K11" i="2"/>
  <c r="O11" i="2"/>
  <c r="Q11" i="2"/>
  <c r="L11" i="2"/>
  <c r="M11" i="2"/>
  <c r="S11" i="2"/>
  <c r="N11" i="2"/>
  <c r="P11" i="2"/>
  <c r="R11" i="2"/>
  <c r="AH88" i="1"/>
  <c r="AJ78" i="1"/>
  <c r="AJ90" i="1"/>
  <c r="AI63" i="1"/>
  <c r="AI69" i="1" s="1"/>
  <c r="AI71" i="11" s="1"/>
  <c r="AI79" i="1"/>
  <c r="AI87" i="1" s="1"/>
  <c r="AH73" i="1"/>
  <c r="AJ40" i="1"/>
  <c r="AJ41" i="1"/>
  <c r="AJ42" i="1"/>
  <c r="AJ39" i="1"/>
  <c r="AE108" i="11" l="1"/>
  <c r="AE111" i="11" s="1"/>
  <c r="AE112" i="11" s="1"/>
  <c r="AH95" i="11"/>
  <c r="AH106" i="11"/>
  <c r="AH85" i="11"/>
  <c r="AH105" i="11"/>
  <c r="AH108" i="11" s="1"/>
  <c r="AH111" i="11" s="1"/>
  <c r="AH100" i="11"/>
  <c r="AH101" i="11" s="1"/>
  <c r="AH79" i="11"/>
  <c r="AH78" i="11"/>
  <c r="AH96" i="11"/>
  <c r="AH80" i="11"/>
  <c r="AH97" i="11"/>
  <c r="AF79" i="11"/>
  <c r="AF100" i="11"/>
  <c r="AF101" i="11" s="1"/>
  <c r="AF105" i="11"/>
  <c r="AF108" i="11" s="1"/>
  <c r="AF85" i="11"/>
  <c r="AF106" i="11"/>
  <c r="AF111" i="11"/>
  <c r="AF78" i="11"/>
  <c r="AF95" i="11"/>
  <c r="AF80" i="11"/>
  <c r="AF97" i="11"/>
  <c r="AF77" i="11"/>
  <c r="AF94" i="11"/>
  <c r="AG93" i="11"/>
  <c r="AK93" i="11"/>
  <c r="AG75" i="11"/>
  <c r="AH77" i="11"/>
  <c r="AH94" i="11"/>
  <c r="AL36" i="1"/>
  <c r="AL34" i="1"/>
  <c r="AL33" i="1"/>
  <c r="AL35" i="1"/>
  <c r="AL32" i="1"/>
  <c r="AL85" i="1" s="1"/>
  <c r="AL111" i="1"/>
  <c r="K111" i="1" s="1"/>
  <c r="AL90" i="1"/>
  <c r="K90" i="1" s="1"/>
  <c r="AL112" i="1"/>
  <c r="K112" i="1" s="1"/>
  <c r="AL78" i="1"/>
  <c r="K32" i="1"/>
  <c r="AI64" i="1"/>
  <c r="AK63" i="1"/>
  <c r="AK69" i="1" s="1"/>
  <c r="AK71" i="11" s="1"/>
  <c r="AK79" i="1"/>
  <c r="AK87" i="1"/>
  <c r="AF80" i="1"/>
  <c r="AF99" i="1" s="1"/>
  <c r="AF75" i="1"/>
  <c r="AI65" i="1"/>
  <c r="AG73" i="1"/>
  <c r="AB110" i="1"/>
  <c r="AB91" i="1"/>
  <c r="AB92" i="1" s="1"/>
  <c r="AG110" i="1"/>
  <c r="AG91" i="1"/>
  <c r="AG92" i="1" s="1"/>
  <c r="S110" i="1"/>
  <c r="S91" i="1"/>
  <c r="S92" i="1" s="1"/>
  <c r="Y110" i="1"/>
  <c r="Y91" i="1"/>
  <c r="Y92" i="1" s="1"/>
  <c r="AD110" i="1"/>
  <c r="AD91" i="1"/>
  <c r="AD92" i="1" s="1"/>
  <c r="AJ51" i="1"/>
  <c r="AA110" i="1"/>
  <c r="AA91" i="1"/>
  <c r="AA92" i="1" s="1"/>
  <c r="AJ52" i="1"/>
  <c r="AJ110" i="1"/>
  <c r="AJ91" i="1"/>
  <c r="V110" i="1"/>
  <c r="V91" i="1"/>
  <c r="V92" i="1" s="1"/>
  <c r="R110" i="1"/>
  <c r="R92" i="1"/>
  <c r="AJ54" i="1"/>
  <c r="P91" i="1"/>
  <c r="AC110" i="1"/>
  <c r="AC91" i="1"/>
  <c r="AC92" i="1" s="1"/>
  <c r="AJ86" i="1"/>
  <c r="W110" i="1"/>
  <c r="W91" i="1"/>
  <c r="W92" i="1" s="1"/>
  <c r="U110" i="1"/>
  <c r="U91" i="1"/>
  <c r="U92" i="1" s="1"/>
  <c r="Q110" i="1"/>
  <c r="Q91" i="1"/>
  <c r="Q92" i="1" s="1"/>
  <c r="AJ53" i="1"/>
  <c r="Z110" i="1"/>
  <c r="Z91" i="1"/>
  <c r="Z92" i="1" s="1"/>
  <c r="AE110" i="1"/>
  <c r="AE91" i="1"/>
  <c r="AE92" i="1" s="1"/>
  <c r="X110" i="1"/>
  <c r="X91" i="1"/>
  <c r="X92" i="1" s="1"/>
  <c r="AF110" i="1"/>
  <c r="AF91" i="1"/>
  <c r="AF92" i="1" s="1"/>
  <c r="AF95" i="1" s="1"/>
  <c r="T110" i="1"/>
  <c r="T91" i="1"/>
  <c r="T92" i="1" s="1"/>
  <c r="AH80" i="1"/>
  <c r="AH95" i="1"/>
  <c r="AI92" i="1"/>
  <c r="AH75" i="1"/>
  <c r="AH112" i="11" l="1"/>
  <c r="AF112" i="11"/>
  <c r="AG78" i="11"/>
  <c r="AG105" i="11"/>
  <c r="AG85" i="11"/>
  <c r="AG100" i="11"/>
  <c r="AG101" i="11" s="1"/>
  <c r="AG106" i="11"/>
  <c r="AG79" i="11"/>
  <c r="AG96" i="11"/>
  <c r="AG80" i="11"/>
  <c r="AG97" i="11"/>
  <c r="AG77" i="11"/>
  <c r="AG94" i="11"/>
  <c r="AK75" i="11"/>
  <c r="AK94" i="11" s="1"/>
  <c r="AK77" i="11"/>
  <c r="AG95" i="11"/>
  <c r="AG95" i="1"/>
  <c r="K110" i="1"/>
  <c r="AF96" i="1"/>
  <c r="AF101" i="1" s="1"/>
  <c r="AL39" i="1"/>
  <c r="K33" i="1"/>
  <c r="K91" i="1"/>
  <c r="AL41" i="1"/>
  <c r="K35" i="1"/>
  <c r="AL40" i="1"/>
  <c r="K34" i="1"/>
  <c r="AI70" i="1"/>
  <c r="AI72" i="11" s="1"/>
  <c r="AL86" i="1"/>
  <c r="K85" i="1"/>
  <c r="AI88" i="1"/>
  <c r="AI71" i="1"/>
  <c r="AI73" i="11" s="1"/>
  <c r="AL42" i="1"/>
  <c r="K36" i="1"/>
  <c r="AK92" i="1"/>
  <c r="AK88" i="1"/>
  <c r="AK73" i="1"/>
  <c r="AG80" i="1"/>
  <c r="AG75" i="1"/>
  <c r="AJ63" i="1"/>
  <c r="AH96" i="1"/>
  <c r="AH101" i="1" s="1"/>
  <c r="AJ69" i="1"/>
  <c r="AJ71" i="11" s="1"/>
  <c r="U95" i="1"/>
  <c r="U96" i="1" s="1"/>
  <c r="R95" i="1"/>
  <c r="R96" i="1" s="1"/>
  <c r="AD95" i="1"/>
  <c r="AD96" i="1" s="1"/>
  <c r="X95" i="1"/>
  <c r="X96" i="1" s="1"/>
  <c r="W95" i="1"/>
  <c r="W96" i="1" s="1"/>
  <c r="V95" i="1"/>
  <c r="V96" i="1" s="1"/>
  <c r="Y95" i="1"/>
  <c r="Y96" i="1" s="1"/>
  <c r="AE95" i="1"/>
  <c r="AE96" i="1" s="1"/>
  <c r="Q95" i="1"/>
  <c r="Q96" i="1" s="1"/>
  <c r="AJ66" i="1"/>
  <c r="S95" i="1"/>
  <c r="S96" i="1" s="1"/>
  <c r="AC95" i="1"/>
  <c r="AJ64" i="1"/>
  <c r="AA95" i="1"/>
  <c r="AA96" i="1" s="1"/>
  <c r="AB95" i="1"/>
  <c r="AB96" i="1" s="1"/>
  <c r="T95" i="1"/>
  <c r="T96" i="1" s="1"/>
  <c r="Z95" i="1"/>
  <c r="Z96" i="1" s="1"/>
  <c r="P92" i="1"/>
  <c r="AJ79" i="1"/>
  <c r="AJ65" i="1"/>
  <c r="AH99" i="1"/>
  <c r="AF100" i="1" l="1"/>
  <c r="AF115" i="11" s="1"/>
  <c r="AK95" i="11"/>
  <c r="AK100" i="11"/>
  <c r="AK101" i="11" s="1"/>
  <c r="AK106" i="11"/>
  <c r="AK105" i="11"/>
  <c r="AK108" i="11" s="1"/>
  <c r="AK111" i="11" s="1"/>
  <c r="AK85" i="11"/>
  <c r="AK96" i="11"/>
  <c r="AK80" i="11"/>
  <c r="AK79" i="11"/>
  <c r="AK97" i="11"/>
  <c r="AK78" i="11"/>
  <c r="AG108" i="11"/>
  <c r="AI93" i="11"/>
  <c r="AI75" i="11"/>
  <c r="AI79" i="11" s="1"/>
  <c r="AI73" i="1"/>
  <c r="AL54" i="1"/>
  <c r="K42" i="1"/>
  <c r="AL53" i="1"/>
  <c r="K41" i="1"/>
  <c r="AL52" i="1"/>
  <c r="K40" i="1"/>
  <c r="AL51" i="1"/>
  <c r="K39" i="1"/>
  <c r="AK80" i="1"/>
  <c r="AK95" i="1"/>
  <c r="K86" i="1"/>
  <c r="AK75" i="1"/>
  <c r="AG99" i="1"/>
  <c r="AG96" i="1"/>
  <c r="AC96" i="1"/>
  <c r="AC100" i="1" s="1"/>
  <c r="AH100" i="1"/>
  <c r="AH104" i="1" s="1"/>
  <c r="AH118" i="11" s="1"/>
  <c r="AJ70" i="1"/>
  <c r="AJ72" i="11" s="1"/>
  <c r="AD101" i="1"/>
  <c r="AD100" i="1"/>
  <c r="AD115" i="11" s="1"/>
  <c r="Y101" i="1"/>
  <c r="Y100" i="1"/>
  <c r="V101" i="1"/>
  <c r="V100" i="1"/>
  <c r="AF104" i="1"/>
  <c r="S101" i="1"/>
  <c r="S100" i="1"/>
  <c r="S115" i="11" s="1"/>
  <c r="U101" i="1"/>
  <c r="U100" i="1"/>
  <c r="U115" i="11" s="1"/>
  <c r="AJ71" i="1"/>
  <c r="AJ73" i="11" s="1"/>
  <c r="AB101" i="1"/>
  <c r="AB100" i="1"/>
  <c r="AB115" i="11" s="1"/>
  <c r="AJ72" i="1"/>
  <c r="AJ74" i="11" s="1"/>
  <c r="AJ87" i="1"/>
  <c r="P95" i="1"/>
  <c r="W101" i="1"/>
  <c r="W100" i="1"/>
  <c r="AA101" i="1"/>
  <c r="AA100" i="1"/>
  <c r="AA115" i="11" s="1"/>
  <c r="Q101" i="1"/>
  <c r="Q100" i="1"/>
  <c r="Q115" i="11" s="1"/>
  <c r="AE101" i="1"/>
  <c r="AE100" i="1"/>
  <c r="AE115" i="11" s="1"/>
  <c r="Z101" i="1"/>
  <c r="Z100" i="1"/>
  <c r="R101" i="1"/>
  <c r="R100" i="1"/>
  <c r="AC101" i="1"/>
  <c r="T101" i="1"/>
  <c r="T100" i="1"/>
  <c r="X101" i="1"/>
  <c r="X100" i="1"/>
  <c r="X115" i="11" s="1"/>
  <c r="V115" i="11" l="1"/>
  <c r="AI96" i="11"/>
  <c r="W115" i="11"/>
  <c r="Y115" i="11"/>
  <c r="AK112" i="11"/>
  <c r="R115" i="11"/>
  <c r="R74" i="10" s="1"/>
  <c r="K74" i="10" s="1"/>
  <c r="AK96" i="1"/>
  <c r="AK101" i="1" s="1"/>
  <c r="AH115" i="11"/>
  <c r="AF105" i="1"/>
  <c r="AF118" i="11"/>
  <c r="Z115" i="11"/>
  <c r="AI95" i="11"/>
  <c r="AI105" i="11"/>
  <c r="AI100" i="11"/>
  <c r="AI101" i="11" s="1"/>
  <c r="AI106" i="11"/>
  <c r="AI85" i="11"/>
  <c r="AI97" i="11"/>
  <c r="AI80" i="11"/>
  <c r="AI94" i="11"/>
  <c r="AI77" i="11"/>
  <c r="AI78" i="11"/>
  <c r="AJ96" i="11"/>
  <c r="AJ79" i="11"/>
  <c r="AJ93" i="11"/>
  <c r="AG111" i="11"/>
  <c r="AC115" i="11"/>
  <c r="AJ75" i="11"/>
  <c r="T115" i="11"/>
  <c r="AL64" i="1"/>
  <c r="K52" i="1"/>
  <c r="AK99" i="1"/>
  <c r="AK100" i="1"/>
  <c r="AK104" i="1" s="1"/>
  <c r="AK118" i="11" s="1"/>
  <c r="AL66" i="1"/>
  <c r="K54" i="1"/>
  <c r="AL65" i="1"/>
  <c r="K53" i="1"/>
  <c r="AI80" i="1"/>
  <c r="AI95" i="1"/>
  <c r="AI75" i="1"/>
  <c r="AL79" i="1"/>
  <c r="AL63" i="1"/>
  <c r="K51" i="1"/>
  <c r="AG100" i="1"/>
  <c r="AG101" i="1"/>
  <c r="AG115" i="11" s="1"/>
  <c r="X104" i="1"/>
  <c r="S104" i="1"/>
  <c r="P96" i="1"/>
  <c r="Z104" i="1"/>
  <c r="Z118" i="11" s="1"/>
  <c r="V104" i="1"/>
  <c r="AB104" i="1"/>
  <c r="AB118" i="11" s="1"/>
  <c r="AA104" i="1"/>
  <c r="AD104" i="1"/>
  <c r="AD118" i="11" s="1"/>
  <c r="R104" i="1"/>
  <c r="R118" i="11" s="1"/>
  <c r="R77" i="10" s="1"/>
  <c r="K77" i="10" s="1"/>
  <c r="U104" i="1"/>
  <c r="U118" i="11" s="1"/>
  <c r="AJ73" i="1"/>
  <c r="AE104" i="1"/>
  <c r="AE118" i="11" s="1"/>
  <c r="AF107" i="1"/>
  <c r="AF116" i="1" s="1"/>
  <c r="AF117" i="1" s="1"/>
  <c r="AJ92" i="1"/>
  <c r="AJ88" i="1"/>
  <c r="Q104" i="1"/>
  <c r="Q118" i="11" s="1"/>
  <c r="Y104" i="1"/>
  <c r="Y118" i="11" s="1"/>
  <c r="T104" i="1"/>
  <c r="T118" i="11" s="1"/>
  <c r="AC104" i="1"/>
  <c r="AC118" i="11" s="1"/>
  <c r="W104" i="1"/>
  <c r="W118" i="11" s="1"/>
  <c r="AH105" i="1"/>
  <c r="AH116" i="11" s="1"/>
  <c r="AI108" i="11" l="1"/>
  <c r="AI111" i="11" s="1"/>
  <c r="AI96" i="1"/>
  <c r="AI101" i="1" s="1"/>
  <c r="AI112" i="11"/>
  <c r="S105" i="1"/>
  <c r="S107" i="1" s="1"/>
  <c r="S116" i="1" s="1"/>
  <c r="S117" i="1" s="1"/>
  <c r="S118" i="11"/>
  <c r="AK115" i="11"/>
  <c r="AH117" i="11"/>
  <c r="AH131" i="11"/>
  <c r="AJ78" i="11"/>
  <c r="AJ105" i="11"/>
  <c r="AJ106" i="11"/>
  <c r="AJ85" i="11"/>
  <c r="AJ100" i="11"/>
  <c r="AJ101" i="11" s="1"/>
  <c r="AJ77" i="11"/>
  <c r="AJ94" i="11"/>
  <c r="X107" i="1"/>
  <c r="X116" i="1" s="1"/>
  <c r="X117" i="1" s="1"/>
  <c r="X118" i="11"/>
  <c r="AF113" i="1"/>
  <c r="AF116" i="11"/>
  <c r="AA105" i="1"/>
  <c r="AA118" i="11"/>
  <c r="X105" i="1"/>
  <c r="AG112" i="11"/>
  <c r="V105" i="1"/>
  <c r="V113" i="1" s="1"/>
  <c r="V118" i="11"/>
  <c r="AJ97" i="11"/>
  <c r="AJ95" i="11"/>
  <c r="AJ80" i="11"/>
  <c r="AG104" i="1"/>
  <c r="AG118" i="11" s="1"/>
  <c r="AL72" i="1"/>
  <c r="K66" i="1"/>
  <c r="AL69" i="1"/>
  <c r="AL71" i="11" s="1"/>
  <c r="K63" i="1"/>
  <c r="AI99" i="1"/>
  <c r="AI100" i="1"/>
  <c r="AK105" i="1"/>
  <c r="AL70" i="1"/>
  <c r="K64" i="1"/>
  <c r="K79" i="1"/>
  <c r="AL87" i="1"/>
  <c r="AL71" i="1"/>
  <c r="K65" i="1"/>
  <c r="AC105" i="1"/>
  <c r="AC116" i="11" s="1"/>
  <c r="AC117" i="11" s="1"/>
  <c r="AE105" i="1"/>
  <c r="T105" i="1"/>
  <c r="U105" i="1"/>
  <c r="U107" i="1"/>
  <c r="U116" i="1" s="1"/>
  <c r="U117" i="1" s="1"/>
  <c r="R105" i="1"/>
  <c r="W105" i="1"/>
  <c r="W107" i="1"/>
  <c r="W116" i="1" s="1"/>
  <c r="W117" i="1" s="1"/>
  <c r="AB105" i="1"/>
  <c r="Y105" i="1"/>
  <c r="Q105" i="1"/>
  <c r="AD105" i="1"/>
  <c r="Z105" i="1"/>
  <c r="AJ95" i="1"/>
  <c r="AJ75" i="1"/>
  <c r="AJ80" i="1"/>
  <c r="AA113" i="1"/>
  <c r="P101" i="1"/>
  <c r="P100" i="1"/>
  <c r="AH107" i="1"/>
  <c r="AH116" i="1" s="1"/>
  <c r="AH117" i="1" s="1"/>
  <c r="AH113" i="1"/>
  <c r="P115" i="11" l="1"/>
  <c r="AK107" i="1"/>
  <c r="AK116" i="1" s="1"/>
  <c r="AK117" i="1" s="1"/>
  <c r="AK116" i="11"/>
  <c r="AA107" i="1"/>
  <c r="AA116" i="1" s="1"/>
  <c r="AA117" i="1" s="1"/>
  <c r="AA116" i="11"/>
  <c r="AF117" i="11"/>
  <c r="AF131" i="11"/>
  <c r="AJ108" i="11"/>
  <c r="AI115" i="11"/>
  <c r="AH134" i="11"/>
  <c r="AH135" i="11"/>
  <c r="AH133" i="11"/>
  <c r="AH136" i="11"/>
  <c r="AH137" i="11"/>
  <c r="AH132" i="11"/>
  <c r="AH88" i="10" s="1"/>
  <c r="AD113" i="1"/>
  <c r="AD116" i="11"/>
  <c r="K71" i="11"/>
  <c r="Q113" i="1"/>
  <c r="Q116" i="11"/>
  <c r="AC131" i="11"/>
  <c r="AK117" i="11"/>
  <c r="AK131" i="11"/>
  <c r="T113" i="1"/>
  <c r="T116" i="11"/>
  <c r="AE113" i="1"/>
  <c r="AE116" i="11"/>
  <c r="Z113" i="1"/>
  <c r="Z116" i="11"/>
  <c r="Y113" i="1"/>
  <c r="Y116" i="11"/>
  <c r="K72" i="1"/>
  <c r="AL74" i="11"/>
  <c r="V107" i="1"/>
  <c r="V116" i="1" s="1"/>
  <c r="V117" i="1" s="1"/>
  <c r="V116" i="11"/>
  <c r="AB113" i="1"/>
  <c r="AB116" i="11"/>
  <c r="S113" i="1"/>
  <c r="S116" i="11"/>
  <c r="K71" i="1"/>
  <c r="AL73" i="11"/>
  <c r="K70" i="1"/>
  <c r="AL72" i="11"/>
  <c r="U113" i="1"/>
  <c r="U116" i="11"/>
  <c r="W113" i="1"/>
  <c r="W116" i="11"/>
  <c r="R113" i="1"/>
  <c r="R116" i="11"/>
  <c r="R75" i="10" s="1"/>
  <c r="K75" i="10" s="1"/>
  <c r="X113" i="1"/>
  <c r="X116" i="11"/>
  <c r="AD107" i="1"/>
  <c r="AD116" i="1" s="1"/>
  <c r="AD117" i="1" s="1"/>
  <c r="R107" i="1"/>
  <c r="R116" i="1" s="1"/>
  <c r="R117" i="1" s="1"/>
  <c r="AL92" i="1"/>
  <c r="K92" i="1" s="1"/>
  <c r="AL88" i="1"/>
  <c r="K88" i="1" s="1"/>
  <c r="K87" i="1"/>
  <c r="AI104" i="1"/>
  <c r="AG105" i="1"/>
  <c r="AG107" i="1"/>
  <c r="AG116" i="1" s="1"/>
  <c r="AG117" i="1" s="1"/>
  <c r="AL73" i="1"/>
  <c r="AL75" i="1" s="1"/>
  <c r="K75" i="1" s="1"/>
  <c r="K69" i="1"/>
  <c r="AC113" i="1"/>
  <c r="T107" i="1"/>
  <c r="T116" i="1" s="1"/>
  <c r="T117" i="1" s="1"/>
  <c r="Z107" i="1"/>
  <c r="Z116" i="1" s="1"/>
  <c r="Z117" i="1" s="1"/>
  <c r="Q107" i="1"/>
  <c r="Q116" i="1" s="1"/>
  <c r="Q117" i="1" s="1"/>
  <c r="Y107" i="1"/>
  <c r="Y116" i="1" s="1"/>
  <c r="Y117" i="1" s="1"/>
  <c r="AC107" i="1"/>
  <c r="AB107" i="1"/>
  <c r="AB116" i="1" s="1"/>
  <c r="AB117" i="1" s="1"/>
  <c r="P104" i="1"/>
  <c r="P118" i="11" s="1"/>
  <c r="AE107" i="1"/>
  <c r="AE116" i="1" s="1"/>
  <c r="AE117" i="1" s="1"/>
  <c r="AJ96" i="1"/>
  <c r="AJ99" i="1"/>
  <c r="AL75" i="11" l="1"/>
  <c r="AL105" i="11"/>
  <c r="AL106" i="11"/>
  <c r="K106" i="11" s="1"/>
  <c r="AL100" i="11"/>
  <c r="AL85" i="11"/>
  <c r="K85" i="11" s="1"/>
  <c r="K75" i="11"/>
  <c r="AL77" i="11"/>
  <c r="K77" i="11" s="1"/>
  <c r="AL94" i="11"/>
  <c r="K94" i="11" s="1"/>
  <c r="Q131" i="11"/>
  <c r="Q117" i="11"/>
  <c r="X117" i="11"/>
  <c r="X131" i="11"/>
  <c r="AL96" i="11"/>
  <c r="K96" i="11" s="1"/>
  <c r="AL79" i="11"/>
  <c r="K79" i="11" s="1"/>
  <c r="K73" i="11"/>
  <c r="Z131" i="11"/>
  <c r="Z117" i="11"/>
  <c r="AJ111" i="11"/>
  <c r="Y117" i="11"/>
  <c r="Y131" i="11"/>
  <c r="R131" i="11"/>
  <c r="R117" i="11"/>
  <c r="R76" i="10" s="1"/>
  <c r="K76" i="10" s="1"/>
  <c r="S117" i="11"/>
  <c r="S131" i="11"/>
  <c r="AE117" i="11"/>
  <c r="AE120" i="11" s="1"/>
  <c r="AE131" i="11"/>
  <c r="AF132" i="11"/>
  <c r="AF88" i="10" s="1"/>
  <c r="AF133" i="11"/>
  <c r="AF134" i="11"/>
  <c r="AF136" i="11"/>
  <c r="AF137" i="11"/>
  <c r="AF135" i="11"/>
  <c r="AD131" i="11"/>
  <c r="AD117" i="11"/>
  <c r="AD120" i="11" s="1"/>
  <c r="W131" i="11"/>
  <c r="W117" i="11"/>
  <c r="AB131" i="11"/>
  <c r="AB117" i="11"/>
  <c r="T131" i="11"/>
  <c r="T117" i="11"/>
  <c r="AA117" i="11"/>
  <c r="AA131" i="11"/>
  <c r="AG113" i="1"/>
  <c r="AG116" i="11"/>
  <c r="AI105" i="1"/>
  <c r="AI107" i="1" s="1"/>
  <c r="AI116" i="1" s="1"/>
  <c r="AI117" i="1" s="1"/>
  <c r="AI118" i="11"/>
  <c r="V131" i="11"/>
  <c r="V117" i="11"/>
  <c r="AK136" i="11"/>
  <c r="AK137" i="11"/>
  <c r="AK132" i="11"/>
  <c r="AK88" i="10" s="1"/>
  <c r="AK133" i="11"/>
  <c r="AK134" i="11"/>
  <c r="AK135" i="11"/>
  <c r="AL93" i="11"/>
  <c r="K93" i="11" s="1"/>
  <c r="AL95" i="11"/>
  <c r="K95" i="11" s="1"/>
  <c r="AL78" i="11"/>
  <c r="K78" i="11" s="1"/>
  <c r="K72" i="11"/>
  <c r="U131" i="11"/>
  <c r="U117" i="11"/>
  <c r="AL80" i="11"/>
  <c r="K80" i="11" s="1"/>
  <c r="AL97" i="11"/>
  <c r="K97" i="11" s="1"/>
  <c r="K74" i="11"/>
  <c r="AC132" i="11"/>
  <c r="AC88" i="10" s="1"/>
  <c r="AC133" i="11"/>
  <c r="AC134" i="11"/>
  <c r="AC135" i="11"/>
  <c r="AC136" i="11"/>
  <c r="AC137" i="11"/>
  <c r="AL80" i="1"/>
  <c r="AL95" i="1"/>
  <c r="K73" i="1"/>
  <c r="AJ100" i="1"/>
  <c r="AJ115" i="11" s="1"/>
  <c r="AC116" i="1"/>
  <c r="P105" i="1"/>
  <c r="P116" i="11" s="1"/>
  <c r="AJ101" i="1"/>
  <c r="AD140" i="11" l="1"/>
  <c r="AD79" i="10"/>
  <c r="AE140" i="11"/>
  <c r="AE79" i="10"/>
  <c r="AD137" i="11"/>
  <c r="AD132" i="11"/>
  <c r="AD88" i="10" s="1"/>
  <c r="AD133" i="11"/>
  <c r="AD134" i="11"/>
  <c r="AD135" i="11"/>
  <c r="AD136" i="11"/>
  <c r="R136" i="11"/>
  <c r="R135" i="11"/>
  <c r="R137" i="11"/>
  <c r="R132" i="11"/>
  <c r="R88" i="10" s="1"/>
  <c r="R133" i="11"/>
  <c r="R134" i="11"/>
  <c r="X133" i="11"/>
  <c r="X132" i="11"/>
  <c r="X88" i="10" s="1"/>
  <c r="X137" i="11"/>
  <c r="X134" i="11"/>
  <c r="X135" i="11"/>
  <c r="X136" i="11"/>
  <c r="AA136" i="11"/>
  <c r="AA137" i="11"/>
  <c r="AA132" i="11"/>
  <c r="AA88" i="10" s="1"/>
  <c r="AA134" i="11"/>
  <c r="AA133" i="11"/>
  <c r="AA135" i="11"/>
  <c r="AJ112" i="11"/>
  <c r="Q132" i="11"/>
  <c r="Q88" i="10" s="1"/>
  <c r="Q133" i="11"/>
  <c r="Q134" i="11"/>
  <c r="Q135" i="11"/>
  <c r="Q136" i="11"/>
  <c r="Q137" i="11"/>
  <c r="T134" i="11"/>
  <c r="T132" i="11"/>
  <c r="T88" i="10" s="1"/>
  <c r="T135" i="11"/>
  <c r="T136" i="11"/>
  <c r="T133" i="11"/>
  <c r="T137" i="11"/>
  <c r="Y133" i="11"/>
  <c r="Y134" i="11"/>
  <c r="Y136" i="11"/>
  <c r="Y135" i="11"/>
  <c r="Y137" i="11"/>
  <c r="Y132" i="11"/>
  <c r="Y88" i="10" s="1"/>
  <c r="AB133" i="11"/>
  <c r="AB134" i="11"/>
  <c r="AB135" i="11"/>
  <c r="AB136" i="11"/>
  <c r="AB137" i="11"/>
  <c r="AB132" i="11"/>
  <c r="AB88" i="10" s="1"/>
  <c r="U132" i="11"/>
  <c r="U88" i="10" s="1"/>
  <c r="U133" i="11"/>
  <c r="U134" i="11"/>
  <c r="U135" i="11"/>
  <c r="U136" i="11"/>
  <c r="U137" i="11"/>
  <c r="AE136" i="11"/>
  <c r="AE137" i="11"/>
  <c r="AE134" i="11"/>
  <c r="AE135" i="11"/>
  <c r="AE132" i="11"/>
  <c r="AE88" i="10" s="1"/>
  <c r="AE133" i="11"/>
  <c r="V134" i="11"/>
  <c r="V135" i="11"/>
  <c r="V136" i="11"/>
  <c r="V137" i="11"/>
  <c r="V132" i="11"/>
  <c r="V88" i="10" s="1"/>
  <c r="V133" i="11"/>
  <c r="W134" i="11"/>
  <c r="W135" i="11"/>
  <c r="W136" i="11"/>
  <c r="W132" i="11"/>
  <c r="W88" i="10" s="1"/>
  <c r="W137" i="11"/>
  <c r="W133" i="11"/>
  <c r="Z132" i="11"/>
  <c r="Z88" i="10" s="1"/>
  <c r="Z133" i="11"/>
  <c r="Z135" i="11"/>
  <c r="Z134" i="11"/>
  <c r="Z136" i="11"/>
  <c r="Z137" i="11"/>
  <c r="S136" i="11"/>
  <c r="S137" i="11"/>
  <c r="S132" i="11"/>
  <c r="S88" i="10" s="1"/>
  <c r="S133" i="11"/>
  <c r="S134" i="11"/>
  <c r="S135" i="11"/>
  <c r="AL101" i="11"/>
  <c r="K101" i="11" s="1"/>
  <c r="K100" i="11"/>
  <c r="P131" i="11"/>
  <c r="P117" i="11"/>
  <c r="AI113" i="1"/>
  <c r="AI116" i="11"/>
  <c r="AG117" i="11"/>
  <c r="AG120" i="11" s="1"/>
  <c r="AG131" i="11"/>
  <c r="AL108" i="11"/>
  <c r="K105" i="11"/>
  <c r="AL99" i="1"/>
  <c r="K80" i="1"/>
  <c r="AL96" i="1"/>
  <c r="K95" i="1"/>
  <c r="P107" i="1"/>
  <c r="AC117" i="1"/>
  <c r="P113" i="1"/>
  <c r="AJ104" i="1"/>
  <c r="AJ118" i="11" s="1"/>
  <c r="AG140" i="11" l="1"/>
  <c r="AG79" i="10"/>
  <c r="AE141" i="11"/>
  <c r="AE92" i="10" s="1"/>
  <c r="AE91" i="10"/>
  <c r="AD141" i="11"/>
  <c r="AD92" i="10" s="1"/>
  <c r="AD91" i="10"/>
  <c r="K108" i="11"/>
  <c r="AL111" i="11"/>
  <c r="AG134" i="11"/>
  <c r="AG135" i="11"/>
  <c r="AG136" i="11"/>
  <c r="AG137" i="11"/>
  <c r="AG132" i="11"/>
  <c r="AG88" i="10" s="1"/>
  <c r="AG133" i="11"/>
  <c r="AI117" i="11"/>
  <c r="AI131" i="11"/>
  <c r="P133" i="11"/>
  <c r="P134" i="11"/>
  <c r="P135" i="11"/>
  <c r="P136" i="11"/>
  <c r="P137" i="11"/>
  <c r="P132" i="11"/>
  <c r="P88" i="10" s="1"/>
  <c r="AL101" i="1"/>
  <c r="K101" i="1" s="1"/>
  <c r="K96" i="1"/>
  <c r="AL100" i="1"/>
  <c r="K100" i="1" s="1"/>
  <c r="K99" i="1"/>
  <c r="P116" i="1"/>
  <c r="AJ105" i="1"/>
  <c r="AJ116" i="11" s="1"/>
  <c r="AG141" i="11" l="1"/>
  <c r="AG92" i="10" s="1"/>
  <c r="AG91" i="10"/>
  <c r="AI132" i="11"/>
  <c r="AI88" i="10" s="1"/>
  <c r="AI133" i="11"/>
  <c r="AI137" i="11"/>
  <c r="AI134" i="11"/>
  <c r="AI135" i="11"/>
  <c r="AI136" i="11"/>
  <c r="AL112" i="11"/>
  <c r="K112" i="11" s="1"/>
  <c r="K111" i="11"/>
  <c r="AJ131" i="11"/>
  <c r="AJ117" i="11"/>
  <c r="AL115" i="11"/>
  <c r="AJ107" i="1"/>
  <c r="AJ116" i="1" s="1"/>
  <c r="P117" i="1"/>
  <c r="AL104" i="1"/>
  <c r="AL118" i="11" s="1"/>
  <c r="AJ113" i="1"/>
  <c r="K113" i="1" s="1"/>
  <c r="AJ132" i="11" l="1"/>
  <c r="AJ88" i="10" s="1"/>
  <c r="AJ137" i="11"/>
  <c r="AJ133" i="11"/>
  <c r="AJ136" i="11"/>
  <c r="AJ135" i="11"/>
  <c r="AJ134" i="11"/>
  <c r="AL105" i="1"/>
  <c r="AL116" i="11" s="1"/>
  <c r="AL117" i="11" s="1"/>
  <c r="K104" i="1"/>
  <c r="AJ117" i="1"/>
  <c r="AL131" i="11" l="1"/>
  <c r="AL107" i="1"/>
  <c r="K105" i="1"/>
  <c r="AL134" i="11" l="1"/>
  <c r="AL136" i="11"/>
  <c r="AL137" i="11"/>
  <c r="AL132" i="11"/>
  <c r="AL88" i="10" s="1"/>
  <c r="AL135" i="11"/>
  <c r="AL133" i="11"/>
  <c r="AL116" i="1"/>
  <c r="K107" i="1"/>
  <c r="AL117" i="1" l="1"/>
  <c r="K117" i="1" s="1"/>
  <c r="K116" i="1"/>
  <c r="L76" i="5"/>
  <c r="L80" i="5"/>
  <c r="L84" i="5" l="1"/>
  <c r="L115" i="11"/>
  <c r="M76" i="5"/>
  <c r="M80" i="5" s="1"/>
  <c r="M115" i="11" s="1"/>
  <c r="N76" i="5"/>
  <c r="N80" i="5"/>
  <c r="N115" i="11" s="1"/>
  <c r="O76" i="5"/>
  <c r="O80" i="5"/>
  <c r="K80" i="5" l="1"/>
  <c r="O115" i="11"/>
  <c r="K115" i="11" s="1"/>
  <c r="L85" i="5"/>
  <c r="L118" i="11"/>
  <c r="N84" i="5"/>
  <c r="M84" i="5"/>
  <c r="O84" i="5"/>
  <c r="K76" i="5"/>
  <c r="L116" i="11" l="1"/>
  <c r="L87" i="5"/>
  <c r="L96" i="5" s="1"/>
  <c r="L97" i="5" s="1"/>
  <c r="N85" i="5"/>
  <c r="N116" i="11" s="1"/>
  <c r="N118" i="11"/>
  <c r="K84" i="5"/>
  <c r="O85" i="5"/>
  <c r="O118" i="11"/>
  <c r="K118" i="11" s="1"/>
  <c r="L93" i="5"/>
  <c r="M85" i="5"/>
  <c r="K85" i="5" s="1"/>
  <c r="N93" i="5"/>
  <c r="N87" i="5" l="1"/>
  <c r="N96" i="5" s="1"/>
  <c r="N97" i="5" s="1"/>
  <c r="O116" i="11"/>
  <c r="O93" i="5"/>
  <c r="O87" i="5"/>
  <c r="O96" i="5" s="1"/>
  <c r="N131" i="11"/>
  <c r="N117" i="11"/>
  <c r="M116" i="11"/>
  <c r="K116" i="11" s="1"/>
  <c r="M87" i="5"/>
  <c r="M96" i="5" s="1"/>
  <c r="M97" i="5" s="1"/>
  <c r="M93" i="5"/>
  <c r="K93" i="5" s="1"/>
  <c r="L131" i="11"/>
  <c r="L117" i="11"/>
  <c r="L133" i="11" l="1"/>
  <c r="L137" i="11"/>
  <c r="L136" i="11"/>
  <c r="L132" i="11"/>
  <c r="L88" i="10" s="1"/>
  <c r="L135" i="11"/>
  <c r="L134" i="11"/>
  <c r="N133" i="11"/>
  <c r="N134" i="11"/>
  <c r="N136" i="11"/>
  <c r="N135" i="11"/>
  <c r="N137" i="11"/>
  <c r="N132" i="11"/>
  <c r="N88" i="10" s="1"/>
  <c r="L120" i="11"/>
  <c r="M131" i="11"/>
  <c r="M117" i="11"/>
  <c r="K87" i="5"/>
  <c r="O117" i="11"/>
  <c r="O131" i="11"/>
  <c r="K96" i="5"/>
  <c r="O97" i="5"/>
  <c r="K97" i="5" s="1"/>
  <c r="I45" i="8"/>
  <c r="I48" i="8" s="1"/>
  <c r="M119" i="11" l="1"/>
  <c r="M78" i="10" s="1"/>
  <c r="L79" i="10"/>
  <c r="K131" i="11"/>
  <c r="O133" i="11"/>
  <c r="O134" i="11"/>
  <c r="O135" i="11"/>
  <c r="O136" i="11"/>
  <c r="K136" i="11" s="1"/>
  <c r="O137" i="11"/>
  <c r="O132" i="11"/>
  <c r="O88" i="10" s="1"/>
  <c r="M133" i="11"/>
  <c r="K133" i="11" s="1"/>
  <c r="M134" i="11"/>
  <c r="M135" i="11"/>
  <c r="K135" i="11" s="1"/>
  <c r="M132" i="11"/>
  <c r="M137" i="11"/>
  <c r="K137" i="11" s="1"/>
  <c r="M136" i="11"/>
  <c r="M120" i="11"/>
  <c r="K117" i="11"/>
  <c r="L140" i="11"/>
  <c r="I59" i="8"/>
  <c r="K134" i="11" l="1"/>
  <c r="L141" i="11"/>
  <c r="L92" i="10" s="1"/>
  <c r="L91" i="10"/>
  <c r="K132" i="11"/>
  <c r="M88" i="10"/>
  <c r="K88" i="10" s="1"/>
  <c r="M140" i="11"/>
  <c r="M79" i="10"/>
  <c r="N119" i="11"/>
  <c r="M141" i="11" l="1"/>
  <c r="M92" i="10" s="1"/>
  <c r="M91" i="10"/>
  <c r="N120" i="11"/>
  <c r="N79" i="10" s="1"/>
  <c r="N78" i="10"/>
  <c r="N140" i="11"/>
  <c r="O119" i="11"/>
  <c r="O120" i="11" l="1"/>
  <c r="O79" i="10" s="1"/>
  <c r="O78" i="10"/>
  <c r="N141" i="11"/>
  <c r="N92" i="10" s="1"/>
  <c r="N91" i="10"/>
  <c r="O140" i="11"/>
  <c r="P119" i="11"/>
  <c r="O141" i="11" l="1"/>
  <c r="O92" i="10" s="1"/>
  <c r="O91" i="10"/>
  <c r="P120" i="11"/>
  <c r="P79" i="10" s="1"/>
  <c r="P78" i="10"/>
  <c r="Q119" i="11" l="1"/>
  <c r="Q120" i="11" s="1"/>
  <c r="Q78" i="10"/>
  <c r="P140" i="11"/>
  <c r="Q79" i="10" l="1"/>
  <c r="R119" i="11"/>
  <c r="Q140" i="11"/>
  <c r="Q91" i="10" s="1"/>
  <c r="R120" i="11"/>
  <c r="R79" i="10" s="1"/>
  <c r="R78" i="10"/>
  <c r="P141" i="11"/>
  <c r="P92" i="10" s="1"/>
  <c r="P91" i="10"/>
  <c r="Q141" i="11"/>
  <c r="Q92" i="10" s="1"/>
  <c r="S119" i="11" l="1"/>
  <c r="R140" i="11"/>
  <c r="R141" i="11" s="1"/>
  <c r="R92" i="10" s="1"/>
  <c r="S120" i="11"/>
  <c r="S79" i="10" s="1"/>
  <c r="S78" i="10"/>
  <c r="S140" i="11" l="1"/>
  <c r="T119" i="11"/>
  <c r="R91" i="10"/>
  <c r="T120" i="11"/>
  <c r="T79" i="10" s="1"/>
  <c r="T78" i="10"/>
  <c r="S141" i="11"/>
  <c r="S92" i="10" s="1"/>
  <c r="S91" i="10"/>
  <c r="T140" i="11"/>
  <c r="U119" i="11" l="1"/>
  <c r="U120" i="11"/>
  <c r="U79" i="10" s="1"/>
  <c r="U78" i="10"/>
  <c r="T141" i="11"/>
  <c r="T92" i="10" s="1"/>
  <c r="T91" i="10"/>
  <c r="U140" i="11"/>
  <c r="V119" i="11"/>
  <c r="V120" i="11" l="1"/>
  <c r="V79" i="10" s="1"/>
  <c r="V78" i="10"/>
  <c r="U141" i="11"/>
  <c r="U92" i="10" s="1"/>
  <c r="U91" i="10"/>
  <c r="V140" i="11"/>
  <c r="W119" i="11"/>
  <c r="W120" i="11" l="1"/>
  <c r="W79" i="10" s="1"/>
  <c r="W78" i="10"/>
  <c r="V141" i="11"/>
  <c r="V92" i="10" s="1"/>
  <c r="V91" i="10"/>
  <c r="W140" i="11"/>
  <c r="X119" i="11"/>
  <c r="W141" i="11" l="1"/>
  <c r="W92" i="10" s="1"/>
  <c r="W91" i="10"/>
  <c r="X120" i="11"/>
  <c r="X79" i="10" s="1"/>
  <c r="X78" i="10"/>
  <c r="X140" i="11"/>
  <c r="Y119" i="11"/>
  <c r="Y120" i="11" l="1"/>
  <c r="Y79" i="10" s="1"/>
  <c r="Y78" i="10"/>
  <c r="X141" i="11"/>
  <c r="X92" i="10" s="1"/>
  <c r="X91" i="10"/>
  <c r="Y140" i="11"/>
  <c r="Z119" i="11"/>
  <c r="Z120" i="11" l="1"/>
  <c r="Z79" i="10" s="1"/>
  <c r="Z78" i="10"/>
  <c r="Y141" i="11"/>
  <c r="Y92" i="10" s="1"/>
  <c r="Y91" i="10"/>
  <c r="Z140" i="11"/>
  <c r="AA119" i="11"/>
  <c r="Z141" i="11" l="1"/>
  <c r="Z92" i="10" s="1"/>
  <c r="Z91" i="10"/>
  <c r="AA120" i="11"/>
  <c r="AA79" i="10" s="1"/>
  <c r="AA78" i="10"/>
  <c r="AB119" i="11"/>
  <c r="AA140" i="11" l="1"/>
  <c r="AA141" i="11"/>
  <c r="AA92" i="10" s="1"/>
  <c r="AA91" i="10"/>
  <c r="AB120" i="11"/>
  <c r="AB79" i="10" s="1"/>
  <c r="AB78" i="10"/>
  <c r="AC119" i="11" l="1"/>
  <c r="AB140" i="11"/>
  <c r="AC120" i="11"/>
  <c r="AC79" i="10" s="1"/>
  <c r="AC78" i="10"/>
  <c r="AB141" i="11"/>
  <c r="AB92" i="10" s="1"/>
  <c r="AB91" i="10"/>
  <c r="AC140" i="11"/>
  <c r="AD119" i="11"/>
  <c r="AE119" i="11" l="1"/>
  <c r="AD78" i="10"/>
  <c r="AC141" i="11"/>
  <c r="AC92" i="10" s="1"/>
  <c r="AC91" i="10"/>
  <c r="AF119" i="11" l="1"/>
  <c r="AE78" i="10"/>
  <c r="AF120" i="11" l="1"/>
  <c r="AF78" i="10"/>
  <c r="AF79" i="10" l="1"/>
  <c r="AF140" i="11"/>
  <c r="AG119" i="11"/>
  <c r="AF141" i="11" l="1"/>
  <c r="AF92" i="10" s="1"/>
  <c r="AF91" i="10"/>
  <c r="AH119" i="11"/>
  <c r="AG78" i="10"/>
  <c r="AH120" i="11" l="1"/>
  <c r="AH78" i="10"/>
  <c r="AH79" i="10" l="1"/>
  <c r="AI119" i="11"/>
  <c r="AH140" i="11"/>
  <c r="AH141" i="11" l="1"/>
  <c r="AH92" i="10" s="1"/>
  <c r="AH91" i="10"/>
  <c r="AI120" i="11"/>
  <c r="AI78" i="10"/>
  <c r="AI79" i="10" l="1"/>
  <c r="AI140" i="11"/>
  <c r="AJ119" i="11"/>
  <c r="AJ120" i="11" l="1"/>
  <c r="AJ78" i="10"/>
  <c r="AI141" i="11"/>
  <c r="AI92" i="10" s="1"/>
  <c r="AI91" i="10"/>
  <c r="AJ79" i="10" l="1"/>
  <c r="AK119" i="11"/>
  <c r="AJ140" i="11"/>
  <c r="AJ141" i="11" l="1"/>
  <c r="AJ92" i="10" s="1"/>
  <c r="AJ91" i="10"/>
  <c r="AK120" i="11"/>
  <c r="AK78" i="10"/>
  <c r="AK79" i="10" l="1"/>
  <c r="AK140" i="11"/>
  <c r="AL119" i="11"/>
  <c r="AL120" i="11" l="1"/>
  <c r="AL78" i="10"/>
  <c r="AK141" i="11"/>
  <c r="AK92" i="10" s="1"/>
  <c r="AK91" i="10"/>
  <c r="AL79" i="10" l="1"/>
  <c r="AL140" i="11"/>
  <c r="AM119" i="11"/>
  <c r="AM120" i="11" l="1"/>
  <c r="AM78" i="10"/>
  <c r="AL141" i="11"/>
  <c r="AL92" i="10" s="1"/>
  <c r="AL91" i="10"/>
  <c r="AM79" i="10" l="1"/>
  <c r="AM140" i="11"/>
  <c r="AN119" i="11"/>
  <c r="AN120" i="11" l="1"/>
  <c r="AN78" i="10"/>
  <c r="AM141" i="11"/>
  <c r="AM92" i="10" s="1"/>
  <c r="AM91" i="10"/>
  <c r="AN79" i="10" l="1"/>
  <c r="AN140" i="11"/>
  <c r="AO119" i="11"/>
  <c r="AO120" i="11" l="1"/>
  <c r="AO78" i="10"/>
  <c r="AN141" i="11"/>
  <c r="AN92" i="10" s="1"/>
  <c r="AN91" i="10"/>
  <c r="AO79" i="10" l="1"/>
  <c r="AO140" i="11"/>
  <c r="AP119" i="11"/>
  <c r="AP120" i="11" l="1"/>
  <c r="AP78" i="10"/>
  <c r="AO141" i="11"/>
  <c r="AO92" i="10" s="1"/>
  <c r="AO91" i="10"/>
  <c r="AP79" i="10" l="1"/>
  <c r="AP140" i="11"/>
  <c r="AQ119" i="11"/>
  <c r="AQ120" i="11" l="1"/>
  <c r="AQ78" i="10"/>
  <c r="AP141" i="11"/>
  <c r="AP92" i="10" s="1"/>
  <c r="AP91" i="10"/>
  <c r="AQ79" i="10" l="1"/>
  <c r="AQ140" i="11"/>
  <c r="AR119" i="11"/>
  <c r="AR120" i="11" l="1"/>
  <c r="AR78" i="10"/>
  <c r="AQ141" i="11"/>
  <c r="AQ92" i="10" s="1"/>
  <c r="AQ91" i="10"/>
  <c r="AR79" i="10" l="1"/>
  <c r="AR140" i="11"/>
  <c r="AS119" i="11"/>
  <c r="AS120" i="11" l="1"/>
  <c r="AS78" i="10"/>
  <c r="AR141" i="11"/>
  <c r="AR92" i="10" s="1"/>
  <c r="AR91" i="10"/>
  <c r="AS79" i="10" l="1"/>
  <c r="AS140" i="11"/>
  <c r="AT119" i="11"/>
  <c r="AT120" i="11" l="1"/>
  <c r="AT78" i="10"/>
  <c r="AS141" i="11"/>
  <c r="AS92" i="10" s="1"/>
  <c r="AS91" i="10"/>
  <c r="AT79" i="10" l="1"/>
  <c r="AT140" i="11"/>
  <c r="AU119" i="11"/>
  <c r="AU120" i="11" l="1"/>
  <c r="AU78" i="10"/>
  <c r="AT141" i="11"/>
  <c r="AT92" i="10" s="1"/>
  <c r="AT91" i="10"/>
  <c r="AU79" i="10" l="1"/>
  <c r="AU140" i="11"/>
  <c r="AV119" i="11"/>
  <c r="AV120" i="11" l="1"/>
  <c r="AV78" i="10"/>
  <c r="AU141" i="11"/>
  <c r="AU92" i="10" s="1"/>
  <c r="AU91" i="10"/>
  <c r="AV79" i="10" l="1"/>
  <c r="AW119" i="11"/>
  <c r="AV140" i="11"/>
  <c r="AV141" i="11" l="1"/>
  <c r="AV92" i="10" s="1"/>
  <c r="AV91" i="10"/>
  <c r="AW120" i="11"/>
  <c r="AW78" i="10"/>
  <c r="AW79" i="10" l="1"/>
  <c r="K79" i="10" s="1"/>
  <c r="AW140" i="11"/>
  <c r="K120" i="11"/>
  <c r="AW91" i="10" l="1"/>
  <c r="AW141" i="11"/>
  <c r="K140" i="11"/>
  <c r="K91" i="10" s="1"/>
  <c r="K141" i="11" l="1"/>
  <c r="AW92" i="10"/>
  <c r="K142" i="11" l="1"/>
  <c r="K93" i="10" s="1"/>
  <c r="C3" i="12" s="1"/>
  <c r="C8" i="12" s="1"/>
  <c r="C11" i="12" s="1"/>
  <c r="C12" i="12" s="1"/>
  <c r="K92" i="10"/>
  <c r="C15" i="12" l="1"/>
  <c r="C1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tc={37329282-15A1-4585-ABC1-CB1A90695D61}</author>
    <author>tc={ABF25820-946C-4136-80C1-DE5D71564990}</author>
    <author>tc={1FEFEB53-F171-4D70-A073-212DE551B411}</author>
    <author>tc={196CB365-B602-47F5-AE3E-BE4B3C124992}</author>
    <author>tc={B715603B-377F-4F0D-85F1-80BAFAAE0547}</author>
    <author>tc={05D7248F-2256-442C-9503-A36351B99EEE}</author>
  </authors>
  <commentList>
    <comment ref="C7" authorId="0" shapeId="0" xr:uid="{37329282-15A1-4585-ABC1-CB1A90695D61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of 2022 Q1</t>
      </text>
    </comment>
    <comment ref="C13" authorId="1" shapeId="0" xr:uid="{ABF25820-946C-4136-80C1-DE5D71564990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end of Q1 2022</t>
      </text>
    </comment>
    <comment ref="J22" authorId="2" shapeId="0" xr:uid="{1FEFEB53-F171-4D70-A073-212DE551B41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realized price</t>
      </text>
    </comment>
    <comment ref="B66" authorId="3" shapeId="0" xr:uid="{196CB365-B602-47F5-AE3E-BE4B3C124992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per payable ounce of silver equivalent</t>
      </text>
    </comment>
    <comment ref="B77" authorId="4" shapeId="0" xr:uid="{B715603B-377F-4F0D-85F1-80BAFAAE0547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Weighted average statutory income tax rate</t>
      </text>
    </comment>
    <comment ref="B82" authorId="5" shapeId="0" xr:uid="{05D7248F-2256-442C-9503-A36351B99E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closure costs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tc={A94444F8-F548-40FB-B2FC-6D8843A4A595}</author>
    <author>tc={F1725181-1E59-49C9-AF56-54E2E87709C1}</author>
    <author>tc={D3BE5D7E-73AA-44B5-9A86-8995C9FF0540}</author>
  </authors>
  <commentList>
    <comment ref="D2" authorId="0" shapeId="0" xr:uid="{A94444F8-F548-40FB-B2FC-6D8843A4A59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K2" authorId="1" shapeId="0" xr:uid="{F1725181-1E59-49C9-AF56-54E2E87709C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L2" authorId="2" shapeId="0" xr:uid="{D3BE5D7E-73AA-44B5-9A86-8995C9FF0540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Covid-19 and ensuing production stopages caused lower production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tc={41277704-A3C0-4C7F-9E6E-F484DC447BB0}</author>
  </authors>
  <commentList>
    <comment ref="B13" authorId="0" shapeId="0" xr:uid="{41277704-A3C0-4C7F-9E6E-F484DC447BB0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yr 4 due to tax loss carryforwards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tc={4B74129F-2C2D-45F6-9711-9112B28145F1}</author>
    <author>tc={60A04B1D-7E7B-4E74-B53E-4942A6FF1F9A}</author>
    <author>tc={DD17F3B0-BA3B-4650-A279-2982E941F769}</author>
    <author>tc={90E14798-C0FD-43B1-9739-EE0B4CBAA548}</author>
    <author>tc={0281A217-6E1A-4D01-9E0A-83C6C2C30657}</author>
    <author>tc={9883D62B-F154-4AB2-893E-B9D8790386E3}</author>
    <author>tc={DC76129D-147E-4232-AE19-C5911DF75456}</author>
    <author>tc={D27EEA03-030D-4EBF-A09B-9B94DD7D71E5}</author>
  </authors>
  <commentList>
    <comment ref="C7" authorId="0" shapeId="0" xr:uid="{4B74129F-2C2D-45F6-9711-9112B28145F1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of 2022 Q1</t>
      </text>
    </comment>
    <comment ref="C13" authorId="1" shapeId="0" xr:uid="{60A04B1D-7E7B-4E74-B53E-4942A6FF1F9A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end of Q1 2022</t>
      </text>
    </comment>
    <comment ref="J22" authorId="2" shapeId="0" xr:uid="{DD17F3B0-BA3B-4650-A279-2982E941F76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realized price</t>
      </text>
    </comment>
    <comment ref="B92" authorId="3" shapeId="0" xr:uid="{90E14798-C0FD-43B1-9739-EE0B4CBAA548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per payable ounce of silver equivalent</t>
      </text>
    </comment>
    <comment ref="B99" authorId="4" shapeId="0" xr:uid="{0281A217-6E1A-4D01-9E0A-83C6C2C3065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sales - total cash cost</t>
      </text>
    </comment>
    <comment ref="H115" authorId="5" shapeId="0" xr:uid="{9883D62B-F154-4AB2-893E-B9D8790386E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Fortuna only had Caylloma and San Jose in operation at that time</t>
      </text>
    </comment>
    <comment ref="B118" authorId="6" shapeId="0" xr:uid="{DC76129D-147E-4232-AE19-C5911DF75456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Weighted average statutory income tax rate</t>
      </text>
    </comment>
    <comment ref="B123" authorId="7" shapeId="0" xr:uid="{D27EEA03-030D-4EBF-A09B-9B94DD7D71E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closure costs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tc={3F2DECEC-098E-448A-834F-CD87ADF6BB31}</author>
    <author>tc={3733C075-1851-4071-9463-43FCDD96D5D0}</author>
    <author>tc={51258BA5-554B-4F51-9C96-9D6278FBF145}</author>
    <author>tc={65D9F634-9576-4B2C-9172-92EEB7230F79}</author>
    <author>tc={02DC8779-381B-4E97-900C-28EA8F1257AF}</author>
    <author>tc={2914EC46-A59D-4E0F-A2C0-F7F6AAC0B466}</author>
    <author>tc={0BC51BBA-4A74-44A2-BD04-F770D8699942}</author>
    <author>tc={9E4EA5F1-015C-4124-A9A4-4168375DD428}</author>
    <author>tc={1093C181-E988-400F-A8F3-50C52A18357F}</author>
    <author>tc={2F8F7A04-53A7-4A6B-A49F-7871D7873388}</author>
    <author>tc={A902119F-F3EF-4EBF-8D6B-AEDBF628CE8E}</author>
    <author>tc={57BAFA8B-6004-4C43-A6CE-41CDFB398618}</author>
  </authors>
  <commentList>
    <comment ref="F7" authorId="0" shapeId="0" xr:uid="{3F2DECEC-098E-448A-834F-CD87ADF6BB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of 2022 Q1</t>
      </text>
    </comment>
    <comment ref="J14" authorId="1" shapeId="0" xr:uid="{3733C075-1851-4071-9463-43FCDD96D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realized price</t>
      </text>
    </comment>
    <comment ref="G15" authorId="2" shapeId="0" xr:uid="{51258BA5-554B-4F51-9C96-9D6278FBF145}">
      <text>
        <t>[Threaded comment]
Your version of Excel allows you to read this threaded comment; however, any edits to it will get removed if the file is opened in a newer version of Excel. Learn more: https://go.microsoft.com/fwlink/?linkid=870924
Comment:
    So small gold production that they do not show produced gold and realized gold price for Caylloma until MD&amp;A 2021</t>
      </text>
    </comment>
    <comment ref="J31" authorId="3" shapeId="0" xr:uid="{65D9F634-9576-4B2C-9172-92EEB7230F79}">
      <text>
        <t>[Threaded comment]
Your version of Excel allows you to read this threaded comment; however, any edits to it will get removed if the file is opened in a newer version of Excel. Learn more: https://go.microsoft.com/fwlink/?linkid=870924
Comment:
    1,500 tpd plant capacity</t>
      </text>
    </comment>
    <comment ref="F78" authorId="4" shapeId="0" xr:uid="{02DC8779-381B-4E97-900C-28EA8F1257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2017-2018</t>
      </text>
    </comment>
    <comment ref="B80" authorId="5" shapeId="0" xr:uid="{2914EC46-A59D-4E0F-A2C0-F7F6AAC0B466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 data is taken from the financial statement as sales</t>
      </text>
    </comment>
    <comment ref="B86" authorId="6" shapeId="0" xr:uid="{0BC51BBA-4A74-44A2-BD04-F770D8699942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net of treatment and refining charges</t>
      </text>
    </comment>
    <comment ref="B88" authorId="7" shapeId="0" xr:uid="{9E4EA5F1-015C-4124-A9A4-4168375DD428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per payable ounce of silver equivalent</t>
      </text>
    </comment>
    <comment ref="B90" authorId="8" shapeId="0" xr:uid="{1093C181-E988-400F-A8F3-50C52A18357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the same as corporate general and administrative, but general and administrative expenses attributed to the mine</t>
      </text>
    </comment>
    <comment ref="B98" authorId="9" shapeId="0" xr:uid="{2F8F7A04-53A7-4A6B-A49F-7871D787338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historic data on royalties because Fortuna doesn't specify the amounts of the individual royalties</t>
      </text>
    </comment>
    <comment ref="B99" authorId="10" shapeId="0" xr:uid="{A902119F-F3EF-4EBF-8D6B-AEDBF628CE8E}">
      <text>
        <t>[Threaded comment]
Your version of Excel allows you to read this threaded comment; however, any edits to it will get removed if the file is opened in a newer version of Excel. Learn more: https://go.microsoft.com/fwlink/?linkid=870924
Comment:
    2% of NSR to Lemuria Royalties</t>
      </text>
    </comment>
    <comment ref="J99" authorId="11" shapeId="0" xr:uid="{57BAFA8B-6004-4C43-A6CE-41CDFB398618}">
      <text>
        <t>[Threaded comment]
Your version of Excel allows you to read this threaded comment; however, any edits to it will get removed if the file is opened in a newer version of Excel. Learn more: https://go.microsoft.com/fwlink/?linkid=870924
Comment:
    During this quarter they surpassed 21 million ounces of produced silver and thereby the royalty agreement started to apply.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tc={A45D7BD1-9D4A-4F58-B160-768459EDE764}</author>
    <author>tc={E2BB65F7-FC00-4FA4-B134-3AD8FCDD3CBE}</author>
    <author>tc={0D159333-E2E9-4BC8-8450-AFBDD55407AA}</author>
    <author>tc={4584A3AA-9787-4F9B-8CDB-3D33B8126881}</author>
    <author>tc={D3EAACDA-33DE-4CF6-B37C-FEB288281512}</author>
    <author>tc={E35774B8-2A37-4453-AB58-98F258FA6800}</author>
    <author>tc={553C7DD0-598C-4FA0-9B49-B70CE226ECB8}</author>
    <author>tc={E976631F-1542-4CB6-ACA4-129F18F954E3}</author>
    <author>tc={7DB33537-F172-4252-A08F-58846D0FA62E}</author>
    <author>tc={D7DA344A-8402-4A44-A3F9-FB7F1B341C49}</author>
    <author>tc={69CADE26-820D-4544-ADDC-CDD88AA5733C}</author>
    <author>tc={1EC9BDDF-B246-4747-8184-99D4786DF32B}</author>
  </authors>
  <commentList>
    <comment ref="F7" authorId="0" shapeId="0" xr:uid="{A45D7BD1-9D4A-4F58-B160-768459EDE764}">
      <text>
        <t>[Threaded comment]
Your version of Excel allows you to read this threaded comment; however, any edits to it will get removed if the file is opened in a newer version of Excel. Learn more: https://go.microsoft.com/fwlink/?linkid=870924
Comment:
    End of 2022 Q1</t>
      </text>
    </comment>
    <comment ref="J14" authorId="1" shapeId="0" xr:uid="{E2BB65F7-FC00-4FA4-B134-3AD8FCDD3CB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realized price</t>
      </text>
    </comment>
    <comment ref="G15" authorId="2" shapeId="0" xr:uid="{0D159333-E2E9-4BC8-8450-AFBDD55407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 small gold production that they do not show produced gold and realized gold price for Caylloma until MD&amp;A 2021</t>
      </text>
    </comment>
    <comment ref="F62" authorId="3" shapeId="0" xr:uid="{4584A3AA-9787-4F9B-8CDB-3D33B81268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2017-2018</t>
      </text>
    </comment>
    <comment ref="B64" authorId="4" shapeId="0" xr:uid="{D3EAACDA-33DE-4CF6-B37C-FEB288281512}">
      <text>
        <t>[Threaded comment]
Your version of Excel allows you to read this threaded comment; however, any edits to it will get removed if the file is opened in a newer version of Excel. Learn more: https://go.microsoft.com/fwlink/?linkid=870924
Comment:
    Historic data is taken from the financial statement as sales</t>
      </text>
    </comment>
    <comment ref="B70" authorId="5" shapeId="0" xr:uid="{E35774B8-2A37-4453-AB58-98F258FA68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net of treatment and refining charges</t>
      </text>
    </comment>
    <comment ref="B72" authorId="6" shapeId="0" xr:uid="{553C7DD0-598C-4FA0-9B49-B70CE226ECB8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per payable ounce of silver equivalent</t>
      </text>
    </comment>
    <comment ref="B74" authorId="7" shapeId="0" xr:uid="{E976631F-1542-4CB6-ACA4-129F18F954E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the same as corporate general and administrative, but general and administrative expenses attributed to the mine</t>
      </text>
    </comment>
    <comment ref="B78" authorId="8" shapeId="0" xr:uid="{7DB33537-F172-4252-A08F-58846D0FA6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historic data on royalties because Fortuna doesn't specify the amounts of the individual royalties</t>
      </text>
    </comment>
    <comment ref="B79" authorId="9" shapeId="0" xr:uid="{D7DA344A-8402-4A44-A3F9-FB7F1B341C49}">
      <text>
        <t>[Threaded comment]
Your version of Excel allows you to read this threaded comment; however, any edits to it will get removed if the file is opened in a newer version of Excel. Learn more: https://go.microsoft.com/fwlink/?linkid=870924
Comment:
    3% of NSR</t>
      </text>
    </comment>
    <comment ref="B80" authorId="10" shapeId="0" xr:uid="{69CADE26-820D-4544-ADDC-CDD88AA5733C}">
      <text>
        <t>[Threaded comment]
Your version of Excel allows you to read this threaded comment; however, any edits to it will get removed if the file is opened in a newer version of Excel. Learn more: https://go.microsoft.com/fwlink/?linkid=870924
Comment:
    7.5% of EBITDA</t>
      </text>
    </comment>
    <comment ref="B81" authorId="11" shapeId="0" xr:uid="{1EC9BDDF-B246-4747-8184-99D4786DF32B}">
      <text>
        <t>[Threaded comment]
Your version of Excel allows you to read this threaded comment; however, any edits to it will get removed if the file is opened in a newer version of Excel. Learn more: https://go.microsoft.com/fwlink/?linkid=870924
Comment:
    0.5% on  gross sales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tc={98807025-6271-424D-9205-222DF23474AA}</author>
    <author>tc={BC001E1B-7C7A-4444-9205-F358D8F2F167}</author>
    <author>tc={54087790-122C-4F62-8671-8D7063B7F14D}</author>
    <author>tc={0BC83164-1C36-4019-8CDE-57DB9DAD7769}</author>
    <author>tc={CB1AE352-72E9-4FB9-9DDF-F171A99F779E}</author>
  </authors>
  <commentList>
    <comment ref="F7" authorId="0" shapeId="0" xr:uid="{98807025-6271-424D-9205-222DF23474AA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end of Q1 2022</t>
      </text>
    </comment>
    <comment ref="B53" authorId="1" shapeId="0" xr:uid="{BC001E1B-7C7A-4444-9205-F358D8F2F167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Mining, processing, smelting, refining, transportation and selling costs, direct overhead costs (on-site general and administrative)</t>
      </text>
    </comment>
    <comment ref="B55" authorId="2" shapeId="0" xr:uid="{54087790-122C-4F62-8671-8D7063B7F14D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per payable ounce of gold</t>
      </text>
    </comment>
    <comment ref="B57" authorId="3" shapeId="0" xr:uid="{0BC83164-1C36-4019-8CDE-57DB9DAD776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the same as corporate general and administrative, but general and administrative expenses attributed to the mine</t>
      </text>
    </comment>
    <comment ref="B61" authorId="4" shapeId="0" xr:uid="{CB1AE352-72E9-4FB9-9DDF-F171A99F77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historic data on royalties because Fortuna doesn't specify the amounts of the individual royalties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tc={2E935B24-D8FF-4D8F-8AA3-97AC34C29BC2}</author>
    <author>tc={67411A2C-34FC-48EC-A4BD-2CBFB1DFA1A2}</author>
    <author>tc={6715EF4F-D484-4BA4-800A-541E11F0AFDC}</author>
    <author>tc={AAE74646-4442-40AF-A1A9-0F56CA130B3F}</author>
    <author>tc={739CE373-BB62-4932-8DC9-105C63E89622}</author>
    <author>tc={98472763-924B-4A94-B1CD-3F8772C2E0CC}</author>
    <author>tc={B963781B-DBA4-4650-931C-7BD6A6523576}</author>
    <author>tc={ECA43817-2163-4ACC-B640-FA197DE58424}</author>
    <author>tc={A69F58BF-8372-46AC-BD8A-693C6CDC2D43}</author>
  </authors>
  <commentList>
    <comment ref="F7" authorId="0" shapeId="0" xr:uid="{2E935B24-D8FF-4D8F-8AA3-97AC34C29BC2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end of Q1 2022</t>
      </text>
    </comment>
    <comment ref="I29" authorId="1" shapeId="0" xr:uid="{67411A2C-34FC-48EC-A4BD-2CBFB1DFA1A2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July 2, 2021, when Fortuna Silver Mines merged with Roxgold who operated Yaramoko.</t>
      </text>
    </comment>
    <comment ref="B57" authorId="2" shapeId="0" xr:uid="{6715EF4F-D484-4BA4-800A-541E11F0AFDC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Mining, processing, smelting, refining, transportation and selling costs, direct overhead costs (on-site general and administrative)</t>
      </text>
    </comment>
    <comment ref="I58" authorId="3" shapeId="0" xr:uid="{AAE74646-4442-40AF-A1A9-0F56CA130B3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Production cash cost + Refining charges</t>
      </text>
    </comment>
    <comment ref="B59" authorId="4" shapeId="0" xr:uid="{739CE373-BB62-4932-8DC9-105C63E89622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cost per payable ounce of gold</t>
      </text>
    </comment>
    <comment ref="B61" authorId="5" shapeId="0" xr:uid="{98472763-924B-4A94-B1CD-3F8772C2E0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the same as corporate general and administrative, but general and administrative expenses attributed to the mine</t>
      </text>
    </comment>
    <comment ref="B65" authorId="6" shapeId="0" xr:uid="{B963781B-DBA4-4650-931C-7BD6A652357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historic data on royalties because Fortuna doesn't specify the amounts of the individual royalties</t>
      </text>
    </comment>
    <comment ref="B66" authorId="7" shapeId="0" xr:uid="{ECA43817-2163-4ACC-B640-FA197DE58424}">
      <text>
        <t>[Threaded comment]
Your version of Excel allows you to read this threaded comment; however, any edits to it will get removed if the file is opened in a newer version of Excel. Learn more: https://go.microsoft.com/fwlink/?linkid=870924
Comment:
    5% of NSR as long as the gold price is above $1,300/oz</t>
      </text>
    </comment>
    <comment ref="B67" authorId="8" shapeId="0" xr:uid="{A69F58BF-8372-46AC-BD8A-693C6CDC2D43}">
      <text>
        <t>[Threaded comment]
Your version of Excel allows you to read this threaded comment; however, any edits to it will get removed if the file is opened in a newer version of Excel. Learn more: https://go.microsoft.com/fwlink/?linkid=870924
Comment:
    1% of NSR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tc={110637A1-56C1-4F57-8414-1C500095F4E8}</author>
    <author>tc={1C4C0568-8EED-4A17-997B-5186085AEAEE}</author>
    <author>tc={D3C87581-03B1-463B-A64C-498B5ADAAC73}</author>
  </authors>
  <commentList>
    <comment ref="D7" authorId="0" shapeId="0" xr:uid="{110637A1-56C1-4F57-8414-1C500095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end of Q1 2022</t>
      </text>
    </comment>
    <comment ref="B12" authorId="1" shapeId="0" xr:uid="{1C4C0568-8EED-4A17-997B-5186085AEAE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realized price for the whole company</t>
      </text>
    </comment>
    <comment ref="F69" authorId="2" shapeId="0" xr:uid="{D3C87581-03B1-463B-A64C-498B5ADAAC73}">
      <text>
        <t>[Threaded comment]
Your version of Excel allows you to read this threaded comment; however, any edits to it will get removed if the file is opened in a newer version of Excel. Learn more: https://go.microsoft.com/fwlink/?linkid=870924
Comment:
    MD&amp;A Q1 2022 p. 19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tc={D4B94AA0-818F-4A80-963D-280CD44FE642}</author>
  </authors>
  <commentList>
    <comment ref="A22" authorId="0" shapeId="0" xr:uid="{D4B94AA0-818F-4A80-963D-280CD44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Seguela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tc={2FC4041A-D2E5-4581-BADD-6E11C55753B9}</author>
  </authors>
  <commentList>
    <comment ref="B13" authorId="0" shapeId="0" xr:uid="{2FC4041A-D2E5-4581-BADD-6E11C55753B9}">
      <text>
        <t>[Threaded comment]
Your version of Excel allows you to read this threaded comment; however, any edits to it will get removed if the file is opened in a newer version of Excel. Learn more: https://go.microsoft.com/fwlink/?linkid=870924
Comment:
    10 yr treasury yield</t>
      </text>
    </comment>
  </commentList>
</comments>
</file>

<file path=xl/sharedStrings.xml><?xml version="1.0" encoding="utf-8"?>
<sst xmlns="http://schemas.openxmlformats.org/spreadsheetml/2006/main" count="1473" uniqueCount="303">
  <si>
    <t>Mine type: Underground mine</t>
  </si>
  <si>
    <t>WACC</t>
  </si>
  <si>
    <t>Resource estimation</t>
  </si>
  <si>
    <t>Classification</t>
  </si>
  <si>
    <t>Tonnes</t>
  </si>
  <si>
    <t>Silver grade (g/t)</t>
  </si>
  <si>
    <t>Gold grade (g/t)</t>
  </si>
  <si>
    <t>Contained silver (oz)</t>
  </si>
  <si>
    <t>Contained gold (oz)</t>
  </si>
  <si>
    <t>Company: Fortuna Silver Mines</t>
  </si>
  <si>
    <t>From Technical Report 2019 and 2022 Guidance</t>
  </si>
  <si>
    <t>% of Measured Resources</t>
  </si>
  <si>
    <t>Proven</t>
  </si>
  <si>
    <t>Measured</t>
  </si>
  <si>
    <t>Inferred</t>
  </si>
  <si>
    <t>% of Indicated Resources</t>
  </si>
  <si>
    <t>Probable</t>
  </si>
  <si>
    <t>Indicated</t>
  </si>
  <si>
    <t>% of Inferred Resources</t>
  </si>
  <si>
    <t>Total</t>
  </si>
  <si>
    <t>Discounted Cash Flow Model</t>
  </si>
  <si>
    <t>Unit</t>
  </si>
  <si>
    <t>2017A</t>
  </si>
  <si>
    <t>2018A</t>
  </si>
  <si>
    <t>2019A</t>
  </si>
  <si>
    <t>2020A</t>
  </si>
  <si>
    <t>2021A</t>
  </si>
  <si>
    <t>2022 Q1A</t>
  </si>
  <si>
    <t>Total or average</t>
  </si>
  <si>
    <t>2022 Q2E</t>
  </si>
  <si>
    <t>2022 Q3E</t>
  </si>
  <si>
    <t>2022 Q4E</t>
  </si>
  <si>
    <t>2023 Q1</t>
  </si>
  <si>
    <t>2023 Q2-Q4E</t>
  </si>
  <si>
    <t>2024E</t>
  </si>
  <si>
    <t>2025E</t>
  </si>
  <si>
    <t>2026E</t>
  </si>
  <si>
    <t>2027E</t>
  </si>
  <si>
    <t>2028E</t>
  </si>
  <si>
    <t>2029E</t>
  </si>
  <si>
    <t>2030E</t>
  </si>
  <si>
    <t>2031E</t>
  </si>
  <si>
    <t>Metal prices</t>
  </si>
  <si>
    <t>$/oz</t>
  </si>
  <si>
    <t>Conversions</t>
  </si>
  <si>
    <t>Grams --&gt;  Troy ounces</t>
  </si>
  <si>
    <t>Troy ounces --&gt; Grams</t>
  </si>
  <si>
    <t>Pounds --&gt; Tonnes</t>
  </si>
  <si>
    <t>Tonnes --&gt; Pounds</t>
  </si>
  <si>
    <t>$/lb</t>
  </si>
  <si>
    <t>Lead grade (%)</t>
  </si>
  <si>
    <t>Zinc grade (%)</t>
  </si>
  <si>
    <t>Contained lead (lbs)</t>
  </si>
  <si>
    <t>Contained zinc (lbs)</t>
  </si>
  <si>
    <t>2032E</t>
  </si>
  <si>
    <t>2033E</t>
  </si>
  <si>
    <t>Mineral reserves</t>
  </si>
  <si>
    <t>tonnes</t>
  </si>
  <si>
    <t>Mineral resources</t>
  </si>
  <si>
    <t>Inferred resources</t>
  </si>
  <si>
    <t xml:space="preserve">Inferred  </t>
  </si>
  <si>
    <t>Mineral processing</t>
  </si>
  <si>
    <t>Average plant throughput</t>
  </si>
  <si>
    <t>tpd</t>
  </si>
  <si>
    <t>Ore milled</t>
  </si>
  <si>
    <t>Silver grade</t>
  </si>
  <si>
    <t>g/t</t>
  </si>
  <si>
    <t>Gold grade</t>
  </si>
  <si>
    <t>Lead grade</t>
  </si>
  <si>
    <t>Zinc grade</t>
  </si>
  <si>
    <t>%</t>
  </si>
  <si>
    <t>2034E</t>
  </si>
  <si>
    <t>2035E</t>
  </si>
  <si>
    <t>2036E</t>
  </si>
  <si>
    <t>2037E</t>
  </si>
  <si>
    <t>2038E</t>
  </si>
  <si>
    <t>2039E</t>
  </si>
  <si>
    <t>2040E</t>
  </si>
  <si>
    <t>2041E</t>
  </si>
  <si>
    <t>2042E</t>
  </si>
  <si>
    <t>2043E</t>
  </si>
  <si>
    <t>2044E</t>
  </si>
  <si>
    <t>Contained metal</t>
  </si>
  <si>
    <t>Silver</t>
  </si>
  <si>
    <t>oz</t>
  </si>
  <si>
    <t>Gold</t>
  </si>
  <si>
    <t>Processing recoveries</t>
  </si>
  <si>
    <t>Metal production</t>
  </si>
  <si>
    <t>Lead</t>
  </si>
  <si>
    <t>lbs</t>
  </si>
  <si>
    <t>Zinc</t>
  </si>
  <si>
    <t xml:space="preserve">Payability </t>
  </si>
  <si>
    <t>Payable metals</t>
  </si>
  <si>
    <t>$</t>
  </si>
  <si>
    <t>% of sales from silver</t>
  </si>
  <si>
    <t>Net smelter return</t>
  </si>
  <si>
    <t>Treatment</t>
  </si>
  <si>
    <t>Refining</t>
  </si>
  <si>
    <t>Caylloma</t>
  </si>
  <si>
    <t>San Jose</t>
  </si>
  <si>
    <t>Silver guidance (M oz)</t>
  </si>
  <si>
    <t>Silver production (M oz)</t>
  </si>
  <si>
    <t>5.8-6.5</t>
  </si>
  <si>
    <t>Lead guidance (M lbs)</t>
  </si>
  <si>
    <t>Lead production (M lbs)</t>
  </si>
  <si>
    <t>Zinc guidance (M lbs)</t>
  </si>
  <si>
    <t>Zinc production (M lbs)</t>
  </si>
  <si>
    <t>Gold guidance (K oz)</t>
  </si>
  <si>
    <t>Gold production (K oz)</t>
  </si>
  <si>
    <t>29-32</t>
  </si>
  <si>
    <t>44-49</t>
  </si>
  <si>
    <t>1.0-1.1</t>
  </si>
  <si>
    <t>38-42</t>
  </si>
  <si>
    <t>6.6-7.3</t>
  </si>
  <si>
    <t>41-45</t>
  </si>
  <si>
    <t>0.9-1.0</t>
  </si>
  <si>
    <t>27.2-30.1</t>
  </si>
  <si>
    <t>44.0-48.6</t>
  </si>
  <si>
    <t>39.8-44.0</t>
  </si>
  <si>
    <t>7.3-8.1</t>
  </si>
  <si>
    <t>49.0-54.0</t>
  </si>
  <si>
    <t>Silver guidance vs results</t>
  </si>
  <si>
    <t>Lead guidance vs results</t>
  </si>
  <si>
    <t>Zinc guidance vs results</t>
  </si>
  <si>
    <t>Gold guidance vs results</t>
  </si>
  <si>
    <t>Between</t>
  </si>
  <si>
    <t>Above</t>
  </si>
  <si>
    <t>Below</t>
  </si>
  <si>
    <t>26.1-28.8</t>
  </si>
  <si>
    <t>Betwen</t>
  </si>
  <si>
    <t>Valuation of Caylloma silver-zinc mine (Arequipa, Peru)</t>
  </si>
  <si>
    <t>Operating costs</t>
  </si>
  <si>
    <t>Cash cost</t>
  </si>
  <si>
    <t>Total cash cost</t>
  </si>
  <si>
    <t>$/t</t>
  </si>
  <si>
    <t>Production cash cost per tonne</t>
  </si>
  <si>
    <t xml:space="preserve">Production cash cost  </t>
  </si>
  <si>
    <t>Cash cost per silver equivalent</t>
  </si>
  <si>
    <t>Corporate general and administrative</t>
  </si>
  <si>
    <t>Depreciation</t>
  </si>
  <si>
    <t>Workers' participation</t>
  </si>
  <si>
    <t>Pounds --&gt; Troy ounces</t>
  </si>
  <si>
    <t>Troy ounces --&gt; Pounds</t>
  </si>
  <si>
    <t>Mine general and administrative</t>
  </si>
  <si>
    <t>General and administrative</t>
  </si>
  <si>
    <t>Total operating costs</t>
  </si>
  <si>
    <t>Royalties</t>
  </si>
  <si>
    <t>Net income</t>
  </si>
  <si>
    <t>Net income for tax purposes</t>
  </si>
  <si>
    <t>Corporate tax rate</t>
  </si>
  <si>
    <t>Lemura royalty</t>
  </si>
  <si>
    <t>Operating profit</t>
  </si>
  <si>
    <t>Operating profit margin</t>
  </si>
  <si>
    <t>Modified mining royalty</t>
  </si>
  <si>
    <t xml:space="preserve">Special mining tax </t>
  </si>
  <si>
    <t>Gross sales</t>
  </si>
  <si>
    <t>Capital costs</t>
  </si>
  <si>
    <t>Sustaining capital expenditures</t>
  </si>
  <si>
    <t>Brownfield exploration</t>
  </si>
  <si>
    <t>Closure costs</t>
  </si>
  <si>
    <t>All-in sustaining costs per silver equivalent</t>
  </si>
  <si>
    <t>Estimate period length</t>
  </si>
  <si>
    <t>Free cash flow</t>
  </si>
  <si>
    <t>Net present value FCF</t>
  </si>
  <si>
    <t>All figures are in $M</t>
  </si>
  <si>
    <t>Cost of debt</t>
  </si>
  <si>
    <t>Lease liabilities</t>
  </si>
  <si>
    <t>Cost of Equity</t>
  </si>
  <si>
    <t>Risk free rate</t>
  </si>
  <si>
    <t>Equity risk premium</t>
  </si>
  <si>
    <t>Beta</t>
  </si>
  <si>
    <t>Statutory tax rate</t>
  </si>
  <si>
    <t>Debt</t>
  </si>
  <si>
    <t>Equity</t>
  </si>
  <si>
    <t>Total value</t>
  </si>
  <si>
    <t>Convertible debentures</t>
  </si>
  <si>
    <t>Credit facilities</t>
  </si>
  <si>
    <t>Credit facilities interest rate</t>
  </si>
  <si>
    <t>Convertible debentures interest rate</t>
  </si>
  <si>
    <t>Valuation of San Jose silver mine (Oaxaca, Mexico)</t>
  </si>
  <si>
    <t>2045E</t>
  </si>
  <si>
    <t>2046E</t>
  </si>
  <si>
    <t xml:space="preserve">SGM Royalty </t>
  </si>
  <si>
    <t>Special mining duty</t>
  </si>
  <si>
    <t>Extraordinary mining duty</t>
  </si>
  <si>
    <t>Mine type: Open pit mine</t>
  </si>
  <si>
    <t>Valuation of Lindero gold mine (Salta, Argentina)</t>
  </si>
  <si>
    <t>From Technical Report 2017 and 2022 Guidance</t>
  </si>
  <si>
    <t xml:space="preserve">Gold </t>
  </si>
  <si>
    <t xml:space="preserve">Lead </t>
  </si>
  <si>
    <t xml:space="preserve">Zinc </t>
  </si>
  <si>
    <t>2047E</t>
  </si>
  <si>
    <t>2048E</t>
  </si>
  <si>
    <t>2049E</t>
  </si>
  <si>
    <t>2050E</t>
  </si>
  <si>
    <t>2051E</t>
  </si>
  <si>
    <t>2052E</t>
  </si>
  <si>
    <t>2053E</t>
  </si>
  <si>
    <t>2054E</t>
  </si>
  <si>
    <t>2055E</t>
  </si>
  <si>
    <t>2056E</t>
  </si>
  <si>
    <t>2057E</t>
  </si>
  <si>
    <t>Cash cost per tonne</t>
  </si>
  <si>
    <t>Cash cost per ounce gold</t>
  </si>
  <si>
    <t>Provincial royalty</t>
  </si>
  <si>
    <t>Export duties</t>
  </si>
  <si>
    <t>All-in sustaining costs per ounce of gold</t>
  </si>
  <si>
    <t>Initial capital expenditures</t>
  </si>
  <si>
    <t>Lindero</t>
  </si>
  <si>
    <t>Plant</t>
  </si>
  <si>
    <t>General services</t>
  </si>
  <si>
    <t>Administrative services</t>
  </si>
  <si>
    <t>Average</t>
  </si>
  <si>
    <t>EBITDA</t>
  </si>
  <si>
    <t>Income tax</t>
  </si>
  <si>
    <t>Tax rate</t>
  </si>
  <si>
    <t>Sustaining capex</t>
  </si>
  <si>
    <t>Capex to depreciation</t>
  </si>
  <si>
    <t>Valuation of Yaramoko gold mine (Houndé, Burkina Faso)</t>
  </si>
  <si>
    <t>From Technical Report 2021 and 2022 Guidance</t>
  </si>
  <si>
    <t>Yaramoko</t>
  </si>
  <si>
    <t>Government royalty</t>
  </si>
  <si>
    <t>Other royalty</t>
  </si>
  <si>
    <t>Net present value FCF attributable to Fortuna</t>
  </si>
  <si>
    <t>Valuation of Séguéla gold mine (Côte d’Ivoire)</t>
  </si>
  <si>
    <t>Delay (years)</t>
  </si>
  <si>
    <t>2023 Q1E</t>
  </si>
  <si>
    <t>Mining</t>
  </si>
  <si>
    <t>Processing</t>
  </si>
  <si>
    <t>Cost inflation factor</t>
  </si>
  <si>
    <t>Franco-Nevada royalty</t>
  </si>
  <si>
    <t>Franco-Nevada royalty buy-back</t>
  </si>
  <si>
    <t>Social fund</t>
  </si>
  <si>
    <t>Mineral Reserves and Mineral Resources Estimates</t>
  </si>
  <si>
    <t>Valuation of Fortuna Silver Mines</t>
  </si>
  <si>
    <t>Silver mines</t>
  </si>
  <si>
    <t>Gold mines</t>
  </si>
  <si>
    <t>Mineral reserves and resources</t>
  </si>
  <si>
    <t>% of Proven &amp; Probable left</t>
  </si>
  <si>
    <t>% of Measured &amp; Indicated left</t>
  </si>
  <si>
    <t>% of Inferred left</t>
  </si>
  <si>
    <t>Mineral processing and production</t>
  </si>
  <si>
    <t>Average silver grade</t>
  </si>
  <si>
    <t>Average gold grade</t>
  </si>
  <si>
    <t>Average silver recovery</t>
  </si>
  <si>
    <t>Average gold recovery</t>
  </si>
  <si>
    <t>Average payability silver</t>
  </si>
  <si>
    <t>Average payability gold</t>
  </si>
  <si>
    <t>Payable silver production</t>
  </si>
  <si>
    <t>Payable gold production</t>
  </si>
  <si>
    <t>Average lead grade</t>
  </si>
  <si>
    <t>Average zinc grade</t>
  </si>
  <si>
    <t>Average lead recovery</t>
  </si>
  <si>
    <t>Average zinc recovery</t>
  </si>
  <si>
    <t>Silver production</t>
  </si>
  <si>
    <t>Gold production</t>
  </si>
  <si>
    <t>Lead production</t>
  </si>
  <si>
    <t>Zinc production</t>
  </si>
  <si>
    <t>Average payability lead</t>
  </si>
  <si>
    <t>Average payability zinc</t>
  </si>
  <si>
    <t>Payable zinc production</t>
  </si>
  <si>
    <t>Payable lead production</t>
  </si>
  <si>
    <t>% of sales from gold</t>
  </si>
  <si>
    <t>% of sales from lead</t>
  </si>
  <si>
    <t>% of sales from zinc</t>
  </si>
  <si>
    <t xml:space="preserve">Total cash cost </t>
  </si>
  <si>
    <t>Cash cost factor</t>
  </si>
  <si>
    <t>Actual total cash cost</t>
  </si>
  <si>
    <t>Cash cost co product silver</t>
  </si>
  <si>
    <t>Cash cost co product gold</t>
  </si>
  <si>
    <t>Cash cost net by-products gold, lead and zinc</t>
  </si>
  <si>
    <t>Cash cost co product lead</t>
  </si>
  <si>
    <t>Cash cost co product zinc</t>
  </si>
  <si>
    <t>Gross profit</t>
  </si>
  <si>
    <t>Gross profit margin</t>
  </si>
  <si>
    <t>Share-based payments</t>
  </si>
  <si>
    <t>Net income and royalties</t>
  </si>
  <si>
    <t>Total mining royalties and mining duties</t>
  </si>
  <si>
    <t>Tax loss carryforward</t>
  </si>
  <si>
    <t xml:space="preserve">Net income   </t>
  </si>
  <si>
    <t>Sustaining capital expenditures factor</t>
  </si>
  <si>
    <t>Actual sustaining capital expenditures</t>
  </si>
  <si>
    <t>Growth capital expenditures</t>
  </si>
  <si>
    <t>Acquisition capital expenditures</t>
  </si>
  <si>
    <t>All-in sustaining costs</t>
  </si>
  <si>
    <t>All-in sustaining costs co product silver</t>
  </si>
  <si>
    <t>All-in sustaining costs co product gold</t>
  </si>
  <si>
    <t>All-in sustaining costs net by-products gold, lead and zinc</t>
  </si>
  <si>
    <t>All-in sustaining costs co product lead</t>
  </si>
  <si>
    <t>All-in sustaining costs co product zinc</t>
  </si>
  <si>
    <t>Operating costs and operating profit</t>
  </si>
  <si>
    <t>Valuation</t>
  </si>
  <si>
    <t>Cash and cash equivalents</t>
  </si>
  <si>
    <t>Exploration projects</t>
  </si>
  <si>
    <t>Enterprise value</t>
  </si>
  <si>
    <t>Shares outstanding</t>
  </si>
  <si>
    <t>Fully diluted shares</t>
  </si>
  <si>
    <t>Equity value</t>
  </si>
  <si>
    <t>Net debt</t>
  </si>
  <si>
    <t>Fair share value</t>
  </si>
  <si>
    <t>Current share value</t>
  </si>
  <si>
    <t>Downside</t>
  </si>
  <si>
    <t>% from fair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</si>
</sst>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0" borderId="0" xfId="0" applyFont="1"/>
    <xf numFmtId="10" fontId="3" fillId="0" borderId="0" xfId="0" applyNumberFormat="1" applyFont="1"/>
    <xf numFmtId="9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0" fontId="2" fillId="3" borderId="0" xfId="0" applyFont="1" applyFill="1"/>
    <xf numFmtId="0" fontId="0" fillId="4" borderId="0" xfId="0" applyFill="1"/>
    <xf numFmtId="0" fontId="3" fillId="0" borderId="2" xfId="0" applyFont="1" applyBorder="1"/>
    <xf numFmtId="3" fontId="3" fillId="4" borderId="0" xfId="0" applyNumberFormat="1" applyFont="1" applyFill="1"/>
    <xf numFmtId="3" fontId="0" fillId="4" borderId="0" xfId="0" applyNumberFormat="1" applyFill="1"/>
    <xf numFmtId="0" fontId="3" fillId="0" borderId="1" xfId="0" applyFont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1" xfId="1" applyNumberFormat="1" applyFont="1" applyBorder="1"/>
    <xf numFmtId="164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2" fontId="0" fillId="4" borderId="0" xfId="0" applyNumberFormat="1" applyFill="1"/>
    <xf numFmtId="4" fontId="3" fillId="4" borderId="0" xfId="0" applyNumberFormat="1" applyFont="1" applyFill="1"/>
    <xf numFmtId="0" fontId="3" fillId="4" borderId="0" xfId="0" applyFont="1" applyFill="1"/>
    <xf numFmtId="164" fontId="3" fillId="4" borderId="0" xfId="1" applyNumberFormat="1" applyFont="1" applyFill="1"/>
    <xf numFmtId="164" fontId="0" fillId="4" borderId="0" xfId="1" applyNumberFormat="1" applyFont="1" applyFill="1"/>
    <xf numFmtId="10" fontId="3" fillId="4" borderId="0" xfId="1" applyNumberFormat="1" applyFont="1" applyFill="1"/>
    <xf numFmtId="10" fontId="0" fillId="4" borderId="0" xfId="1" applyNumberFormat="1" applyFont="1" applyFill="1"/>
    <xf numFmtId="3" fontId="0" fillId="0" borderId="0" xfId="1" applyNumberFormat="1" applyFont="1"/>
    <xf numFmtId="0" fontId="0" fillId="0" borderId="0" xfId="0" applyFill="1" applyBorder="1"/>
    <xf numFmtId="9" fontId="0" fillId="0" borderId="0" xfId="1" applyNumberFormat="1" applyFont="1"/>
    <xf numFmtId="164" fontId="0" fillId="4" borderId="0" xfId="0" applyNumberFormat="1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1" fontId="0" fillId="4" borderId="0" xfId="0" applyNumberFormat="1" applyFill="1"/>
    <xf numFmtId="0" fontId="0" fillId="0" borderId="0" xfId="0" applyFont="1"/>
    <xf numFmtId="9" fontId="0" fillId="4" borderId="0" xfId="1" applyFont="1" applyFill="1"/>
    <xf numFmtId="9" fontId="0" fillId="0" borderId="0" xfId="1" applyFont="1"/>
    <xf numFmtId="2" fontId="0" fillId="0" borderId="0" xfId="1" applyNumberFormat="1" applyFont="1"/>
    <xf numFmtId="0" fontId="0" fillId="4" borderId="0" xfId="0" applyFont="1" applyFill="1"/>
    <xf numFmtId="3" fontId="0" fillId="0" borderId="0" xfId="0" applyNumberFormat="1" applyFont="1"/>
    <xf numFmtId="3" fontId="0" fillId="4" borderId="0" xfId="0" applyNumberFormat="1" applyFont="1" applyFill="1"/>
    <xf numFmtId="3" fontId="0" fillId="4" borderId="0" xfId="1" applyNumberFormat="1" applyFont="1" applyFill="1"/>
    <xf numFmtId="165" fontId="0" fillId="4" borderId="0" xfId="0" applyNumberFormat="1" applyFill="1"/>
    <xf numFmtId="10" fontId="0" fillId="4" borderId="0" xfId="0" applyNumberFormat="1" applyFill="1"/>
    <xf numFmtId="0" fontId="0" fillId="0" borderId="0" xfId="0" applyFont="1" applyBorder="1"/>
    <xf numFmtId="166" fontId="0" fillId="0" borderId="0" xfId="0" applyNumberFormat="1"/>
    <xf numFmtId="4" fontId="0" fillId="0" borderId="0" xfId="0" applyNumberFormat="1"/>
    <xf numFmtId="4" fontId="0" fillId="4" borderId="0" xfId="0" applyNumberFormat="1" applyFill="1"/>
    <xf numFmtId="2" fontId="3" fillId="4" borderId="0" xfId="0" applyNumberFormat="1" applyFont="1" applyFill="1"/>
    <xf numFmtId="165" fontId="3" fillId="4" borderId="0" xfId="0" applyNumberFormat="1" applyFont="1" applyFill="1"/>
    <xf numFmtId="1" fontId="3" fillId="4" borderId="0" xfId="0" applyNumberFormat="1" applyFont="1" applyFill="1"/>
    <xf numFmtId="0" fontId="6" fillId="0" borderId="0" xfId="0" applyFont="1"/>
    <xf numFmtId="0" fontId="0" fillId="0" borderId="2" xfId="0" applyBorder="1"/>
    <xf numFmtId="10" fontId="0" fillId="0" borderId="2" xfId="0" applyNumberFormat="1" applyBorder="1"/>
    <xf numFmtId="3" fontId="0" fillId="0" borderId="2" xfId="0" applyNumberFormat="1" applyBorder="1"/>
    <xf numFmtId="10" fontId="3" fillId="0" borderId="0" xfId="1" applyNumberFormat="1" applyFont="1"/>
    <xf numFmtId="164" fontId="3" fillId="4" borderId="0" xfId="0" applyNumberFormat="1" applyFont="1" applyFill="1"/>
    <xf numFmtId="9" fontId="3" fillId="4" borderId="0" xfId="0" applyNumberFormat="1" applyFont="1" applyFill="1"/>
    <xf numFmtId="0" fontId="6" fillId="4" borderId="0" xfId="0" applyFont="1" applyFill="1"/>
    <xf numFmtId="3" fontId="3" fillId="0" borderId="0" xfId="0" applyNumberFormat="1" applyFont="1"/>
    <xf numFmtId="2" fontId="3" fillId="4" borderId="0" xfId="1" applyNumberFormat="1" applyFont="1" applyFill="1"/>
    <xf numFmtId="0" fontId="0" fillId="0" borderId="0" xfId="0" applyBorder="1"/>
    <xf numFmtId="0" fontId="0" fillId="0" borderId="0" xfId="0" applyNumberFormat="1" applyAlignment="1">
      <alignment horizontal="right"/>
    </xf>
    <xf numFmtId="0" fontId="0" fillId="0" borderId="0" xfId="0" applyNumberFormat="1"/>
    <xf numFmtId="1" fontId="0" fillId="0" borderId="1" xfId="0" applyNumberFormat="1" applyBorder="1"/>
    <xf numFmtId="0" fontId="0" fillId="0" borderId="3" xfId="0" applyBorder="1"/>
    <xf numFmtId="3" fontId="0" fillId="0" borderId="0" xfId="0" applyNumberFormat="1" applyBorder="1"/>
    <xf numFmtId="2" fontId="0" fillId="0" borderId="0" xfId="0" applyNumberFormat="1" applyBorder="1"/>
    <xf numFmtId="166" fontId="3" fillId="4" borderId="0" xfId="0" applyNumberFormat="1" applyFont="1" applyFill="1"/>
    <xf numFmtId="0" fontId="7" fillId="0" borderId="0" xfId="0" applyFont="1"/>
    <xf numFmtId="0" fontId="8" fillId="0" borderId="2" xfId="0" applyFont="1" applyBorder="1"/>
    <xf numFmtId="4" fontId="0" fillId="0" borderId="1" xfId="0" applyNumberFormat="1" applyBorder="1"/>
    <xf numFmtId="9" fontId="0" fillId="4" borderId="0" xfId="1" applyNumberFormat="1" applyFont="1" applyFill="1"/>
    <xf numFmtId="0" fontId="9" fillId="3" borderId="0" xfId="0" applyFont="1" applyFill="1"/>
    <xf numFmtId="0" fontId="5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uation_Model_Endeav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 Guanacevi"/>
      <sheetName val="DCF Bolanitos"/>
      <sheetName val="DCF Terronera"/>
      <sheetName val="WACC"/>
      <sheetName val="Auxiliary"/>
      <sheetName val="Valuation"/>
      <sheetName val="Central sheet "/>
      <sheetName val="All inclusive sheet"/>
      <sheetName val="Guidance vs results"/>
    </sheetNames>
    <sheetDataSet>
      <sheetData sheetId="0"/>
      <sheetData sheetId="1"/>
      <sheetData sheetId="2"/>
      <sheetData sheetId="3"/>
      <sheetData sheetId="4">
        <row r="4">
          <cell r="C4">
            <v>31.103476799999999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sper Wijk" id="{CF7EB0AC-F3F2-4B77-B762-D48BDBE7ABD7}" userId="e5c4d1156e6141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05-24T12:21:31.32" personId="{CF7EB0AC-F3F2-4B77-B762-D48BDBE7ABD7}" id="{37329282-15A1-4585-ABC1-CB1A90695D61}">
    <text>End of 2022 Q1</text>
  </threadedComment>
  <threadedComment ref="C13" dT="2022-06-19T22:04:36.18" personId="{CF7EB0AC-F3F2-4B77-B762-D48BDBE7ABD7}" id="{ABF25820-946C-4136-80C1-DE5D71564990}">
    <text>At the end of Q1 2022</text>
  </threadedComment>
  <threadedComment ref="J22" dT="2022-06-02T18:50:09.33" personId="{CF7EB0AC-F3F2-4B77-B762-D48BDBE7ABD7}" id="{1FEFEB53-F171-4D70-A073-212DE551B411}">
    <text>Average realized price</text>
  </threadedComment>
  <threadedComment ref="B66" dT="2022-05-28T13:39:02.74" personId="{CF7EB0AC-F3F2-4B77-B762-D48BDBE7ABD7}" id="{196CB365-B602-47F5-AE3E-BE4B3C124992}">
    <text>Cash cost per payable ounce of silver equivalent</text>
  </threadedComment>
  <threadedComment ref="B77" dT="2022-06-09T13:09:17.11" personId="{CF7EB0AC-F3F2-4B77-B762-D48BDBE7ABD7}" id="{B715603B-377F-4F0D-85F1-80BAFAAE0547}">
    <text>Weighted average statutory income tax rate</text>
  </threadedComment>
  <threadedComment ref="B82" dT="2022-06-09T17:32:38.63" personId="{CF7EB0AC-F3F2-4B77-B762-D48BDBE7ABD7}" id="{05D7248F-2256-442C-9503-A36351B99EEE}">
    <text>Including closure costs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D2" dT="2022-06-11T12:22:10.28" personId="{CF7EB0AC-F3F2-4B77-B762-D48BDBE7ABD7}" id="{A94444F8-F548-40FB-B2FC-6D8843A4A595}">
    <text>No data</text>
  </threadedComment>
  <threadedComment ref="K2" dT="2022-06-11T12:22:15.92" personId="{CF7EB0AC-F3F2-4B77-B762-D48BDBE7ABD7}" id="{F1725181-1E59-49C9-AF56-54E2E87709C1}">
    <text>No data</text>
  </threadedComment>
  <threadedComment ref="L2" dT="2022-06-11T12:06:56.49" personId="{CF7EB0AC-F3F2-4B77-B762-D48BDBE7ABD7}" id="{D3BE5D7E-73AA-44B5-9A86-8995C9FF0540}">
    <text>Covid-19 and ensuing production stopages caused lower production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3" dT="2022-06-20T13:17:11.20" personId="{CF7EB0AC-F3F2-4B77-B762-D48BDBE7ABD7}" id="{41277704-A3C0-4C7F-9E6E-F484DC447BB0}">
    <text>Starting yr 4 due to tax loss carryforwards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2-05-24T12:21:31.32" personId="{CF7EB0AC-F3F2-4B77-B762-D48BDBE7ABD7}" id="{4B74129F-2C2D-45F6-9711-9112B28145F1}">
    <text>End of 2022 Q1</text>
  </threadedComment>
  <threadedComment ref="C13" dT="2022-06-19T22:04:36.18" personId="{CF7EB0AC-F3F2-4B77-B762-D48BDBE7ABD7}" id="{60A04B1D-7E7B-4E74-B53E-4942A6FF1F9A}">
    <text>At the end of Q1 2022</text>
  </threadedComment>
  <threadedComment ref="J22" dT="2022-06-02T18:50:09.33" personId="{CF7EB0AC-F3F2-4B77-B762-D48BDBE7ABD7}" id="{DD17F3B0-BA3B-4650-A279-2982E941F769}">
    <text>Average realized price</text>
  </threadedComment>
  <threadedComment ref="B92" dT="2022-05-28T13:39:02.74" personId="{CF7EB0AC-F3F2-4B77-B762-D48BDBE7ABD7}" id="{90E14798-C0FD-43B1-9739-EE0B4CBAA548}">
    <text>Cash cost per payable ounce of silver equivalent</text>
  </threadedComment>
  <threadedComment ref="B99" dT="2022-06-15T20:13:59.15" personId="{CF7EB0AC-F3F2-4B77-B762-D48BDBE7ABD7}" id="{0281A217-6E1A-4D01-9E0A-83C6C2C30657}">
    <text>Defined as sales - total cash cost</text>
  </threadedComment>
  <threadedComment ref="H115" dT="2022-06-23T18:22:40.73" personId="{CF7EB0AC-F3F2-4B77-B762-D48BDBE7ABD7}" id="{9883D62B-F154-4AB2-893E-B9D8790386E3}">
    <text>Fortuna only had Caylloma and San Jose in operation at that time</text>
  </threadedComment>
  <threadedComment ref="B118" dT="2022-06-09T13:09:17.11" personId="{CF7EB0AC-F3F2-4B77-B762-D48BDBE7ABD7}" id="{DC76129D-147E-4232-AE19-C5911DF75456}">
    <text>Weighted average statutory income tax rate</text>
  </threadedComment>
  <threadedComment ref="B123" dT="2022-06-09T17:32:38.63" personId="{CF7EB0AC-F3F2-4B77-B762-D48BDBE7ABD7}" id="{D27EEA03-030D-4EBF-A09B-9B94DD7D71E5}">
    <text>Including closure costs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7" dT="2022-05-24T12:21:31.32" personId="{CF7EB0AC-F3F2-4B77-B762-D48BDBE7ABD7}" id="{3F2DECEC-098E-448A-834F-CD87ADF6BB31}">
    <text>End of 2022 Q1</text>
  </threadedComment>
  <threadedComment ref="J14" dT="2022-06-02T18:50:09.33" personId="{CF7EB0AC-F3F2-4B77-B762-D48BDBE7ABD7}" id="{3733C075-1851-4071-9463-43FCDD96D5D0}">
    <text>Average realized price</text>
  </threadedComment>
  <threadedComment ref="G15" dT="2022-06-13T09:23:53.23" personId="{CF7EB0AC-F3F2-4B77-B762-D48BDBE7ABD7}" id="{51258BA5-554B-4F51-9C96-9D6278FBF145}">
    <text>So small gold production that they do not show produced gold and realized gold price for Caylloma until MD&amp;A 2021</text>
  </threadedComment>
  <threadedComment ref="J31" dT="2022-06-13T12:41:48.10" personId="{CF7EB0AC-F3F2-4B77-B762-D48BDBE7ABD7}" id="{65D9F634-9576-4B2C-9172-92EEB7230F79}">
    <text>1,500 tpd plant capacity</text>
  </threadedComment>
  <threadedComment ref="F78" dT="2022-06-14T14:14:47.93" personId="{CF7EB0AC-F3F2-4B77-B762-D48BDBE7ABD7}" id="{02DC8779-381B-4E97-900C-28EA8F1257AF}">
    <text>No data 2017-2018</text>
  </threadedComment>
  <threadedComment ref="B80" dT="2022-06-14T14:19:04.88" personId="{CF7EB0AC-F3F2-4B77-B762-D48BDBE7ABD7}" id="{2914EC46-A59D-4E0F-A2C0-F7F6AAC0B466}">
    <text>Historic data is taken from the financial statement as sales</text>
  </threadedComment>
  <threadedComment ref="B86" dT="2022-06-15T22:55:15.09" personId="{CF7EB0AC-F3F2-4B77-B762-D48BDBE7ABD7}" id="{0BC51BBA-4A74-44A2-BD04-F770D8699942}">
    <text>Cash cost net of treatment and refining charges</text>
  </threadedComment>
  <threadedComment ref="B88" dT="2022-05-28T13:39:02.74" personId="{CF7EB0AC-F3F2-4B77-B762-D48BDBE7ABD7}" id="{9E4EA5F1-015C-4124-A9A4-4168375DD428}">
    <text>Cash cost per payable ounce of silver equivalent</text>
  </threadedComment>
  <threadedComment ref="B90" dT="2022-06-16T11:02:11.81" personId="{CF7EB0AC-F3F2-4B77-B762-D48BDBE7ABD7}" id="{1093C181-E988-400F-A8F3-50C52A18357F}">
    <text>Not the same as corporate general and administrative, but general and administrative expenses attributed to the mine</text>
  </threadedComment>
  <threadedComment ref="B98" dT="2022-06-16T13:24:47.04" personId="{CF7EB0AC-F3F2-4B77-B762-D48BDBE7ABD7}" id="{2F8F7A04-53A7-4A6B-A49F-7871D7873388}">
    <text>No historic data on royalties because Fortuna doesn't specify the amounts of the individual royalties</text>
  </threadedComment>
  <threadedComment ref="B99" dT="2022-06-16T12:40:29.45" personId="{CF7EB0AC-F3F2-4B77-B762-D48BDBE7ABD7}" id="{A902119F-F3EF-4EBF-8D6B-AEDBF628CE8E}">
    <text>2% of NSR to Lemuria Royalties</text>
  </threadedComment>
  <threadedComment ref="J99" dT="2022-06-16T12:50:26.31" personId="{CF7EB0AC-F3F2-4B77-B762-D48BDBE7ABD7}" id="{57BAFA8B-6004-4C43-A6CE-41CDFB398618}">
    <text>During this quarter they surpassed 21 million ounces of produced silver and thereby the royalty agreement started to apply.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7" dT="2022-05-24T12:21:31.32" personId="{CF7EB0AC-F3F2-4B77-B762-D48BDBE7ABD7}" id="{A45D7BD1-9D4A-4F58-B160-768459EDE764}">
    <text>End of 2022 Q1</text>
  </threadedComment>
  <threadedComment ref="J14" dT="2022-06-02T18:50:09.33" personId="{CF7EB0AC-F3F2-4B77-B762-D48BDBE7ABD7}" id="{E2BB65F7-FC00-4FA4-B134-3AD8FCDD3CBE}">
    <text>Average realized price</text>
  </threadedComment>
  <threadedComment ref="G15" dT="2022-06-13T09:23:53.23" personId="{CF7EB0AC-F3F2-4B77-B762-D48BDBE7ABD7}" id="{0D159333-E2E9-4BC8-8450-AFBDD55407AA}">
    <text>So small gold production that they do not show produced gold and realized gold price for Caylloma until MD&amp;A 2021</text>
  </threadedComment>
  <threadedComment ref="F62" dT="2022-06-17T16:14:33.01" personId="{CF7EB0AC-F3F2-4B77-B762-D48BDBE7ABD7}" id="{4584A3AA-9787-4F9B-8CDB-3D33B8126881}">
    <text>No data 2017-2018</text>
  </threadedComment>
  <threadedComment ref="B64" dT="2022-06-14T14:19:04.88" personId="{CF7EB0AC-F3F2-4B77-B762-D48BDBE7ABD7}" id="{D3EAACDA-33DE-4CF6-B37C-FEB288281512}">
    <text>Historic data is taken from the financial statement as sales</text>
  </threadedComment>
  <threadedComment ref="B70" dT="2022-06-15T22:55:15.09" personId="{CF7EB0AC-F3F2-4B77-B762-D48BDBE7ABD7}" id="{E35774B8-2A37-4453-AB58-98F258FA6800}">
    <text>Cash cost net of treatment and refining charges</text>
  </threadedComment>
  <threadedComment ref="B72" dT="2022-05-28T13:39:02.74" personId="{CF7EB0AC-F3F2-4B77-B762-D48BDBE7ABD7}" id="{553C7DD0-598C-4FA0-9B49-B70CE226ECB8}">
    <text>Cash cost per payable ounce of silver equivalent</text>
  </threadedComment>
  <threadedComment ref="B74" dT="2022-06-16T11:02:11.81" personId="{CF7EB0AC-F3F2-4B77-B762-D48BDBE7ABD7}" id="{E976631F-1542-4CB6-ACA4-129F18F954E3}">
    <text>Not the same as corporate general and administrative, but general and administrative expenses attributed to the mine</text>
  </threadedComment>
  <threadedComment ref="B78" dT="2022-06-16T13:24:47.04" personId="{CF7EB0AC-F3F2-4B77-B762-D48BDBE7ABD7}" id="{7DB33537-F172-4252-A08F-58846D0FA62E}">
    <text>No historic data on royalties because Fortuna doesn't specify the amounts of the individual royalties</text>
  </threadedComment>
  <threadedComment ref="B79" dT="2022-06-18T15:26:26.33" personId="{CF7EB0AC-F3F2-4B77-B762-D48BDBE7ABD7}" id="{D7DA344A-8402-4A44-A3F9-FB7F1B341C49}">
    <text>3% of NSR</text>
  </threadedComment>
  <threadedComment ref="B80" dT="2022-05-28T19:14:26.99" personId="{CF7EB0AC-F3F2-4B77-B762-D48BDBE7ABD7}" id="{69CADE26-820D-4544-ADDC-CDD88AA5733C}">
    <text>7.5% of EBITDA</text>
  </threadedComment>
  <threadedComment ref="B81" dT="2022-05-28T19:14:39.58" personId="{CF7EB0AC-F3F2-4B77-B762-D48BDBE7ABD7}" id="{1EC9BDDF-B246-4747-8184-99D4786DF32B}">
    <text>0.5% on  gross sales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7" dT="2022-06-19T22:04:36.18" personId="{CF7EB0AC-F3F2-4B77-B762-D48BDBE7ABD7}" id="{98807025-6271-424D-9205-222DF23474AA}">
    <text>At the end of Q1 2022</text>
  </threadedComment>
  <threadedComment ref="B53" dT="2022-05-28T14:25:30.54" personId="{CF7EB0AC-F3F2-4B77-B762-D48BDBE7ABD7}" id="{BC001E1B-7C7A-4444-9205-F358D8F2F167}">
    <text>Mining, processing, smelting, refining, transportation and selling costs, direct overhead costs (on-site general and administrative)</text>
  </threadedComment>
  <threadedComment ref="B55" dT="2022-06-20T09:34:55.31" personId="{CF7EB0AC-F3F2-4B77-B762-D48BDBE7ABD7}" id="{54087790-122C-4F62-8671-8D7063B7F14D}">
    <text>Cash cost per payable ounce of gold</text>
  </threadedComment>
  <threadedComment ref="B57" dT="2022-06-16T11:02:11.81" personId="{CF7EB0AC-F3F2-4B77-B762-D48BDBE7ABD7}" id="{0BC83164-1C36-4019-8CDE-57DB9DAD7769}">
    <text>Not the same as corporate general and administrative, but general and administrative expenses attributed to the mine</text>
  </threadedComment>
  <threadedComment ref="B61" dT="2022-06-16T13:24:47.04" personId="{CF7EB0AC-F3F2-4B77-B762-D48BDBE7ABD7}" id="{CB1AE352-72E9-4FB9-9DDF-F171A99F779E}">
    <text>No historic data on royalties because Fortuna doesn't specify the amounts of the individual royalties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7" dT="2022-06-19T22:04:36.18" personId="{CF7EB0AC-F3F2-4B77-B762-D48BDBE7ABD7}" id="{2E935B24-D8FF-4D8F-8AA3-97AC34C29BC2}">
    <text>At the end of Q1 2022</text>
  </threadedComment>
  <threadedComment ref="I29" dT="2022-06-20T14:32:45.05" personId="{CF7EB0AC-F3F2-4B77-B762-D48BDBE7ABD7}" id="{67411A2C-34FC-48EC-A4BD-2CBFB1DFA1A2}">
    <text>As of July 2, 2021, when Fortuna Silver Mines merged with Roxgold who operated Yaramoko.</text>
  </threadedComment>
  <threadedComment ref="B57" dT="2022-05-28T14:25:30.54" personId="{CF7EB0AC-F3F2-4B77-B762-D48BDBE7ABD7}" id="{6715EF4F-D484-4BA4-800A-541E11F0AFDC}">
    <text>Mining, processing, smelting, refining, transportation and selling costs, direct overhead costs (on-site general and administrative)</text>
  </threadedComment>
  <threadedComment ref="I58" dT="2022-06-20T18:03:08.16" personId="{CF7EB0AC-F3F2-4B77-B762-D48BDBE7ABD7}" id="{AAE74646-4442-40AF-A1A9-0F56CA130B3F}">
    <text>Production cash cost + Refining charges</text>
  </threadedComment>
  <threadedComment ref="B59" dT="2022-06-20T09:34:55.31" personId="{CF7EB0AC-F3F2-4B77-B762-D48BDBE7ABD7}" id="{739CE373-BB62-4932-8DC9-105C63E89622}">
    <text>Cash cost per payable ounce of gold</text>
  </threadedComment>
  <threadedComment ref="B61" dT="2022-06-16T11:02:11.81" personId="{CF7EB0AC-F3F2-4B77-B762-D48BDBE7ABD7}" id="{98472763-924B-4A94-B1CD-3F8772C2E0CC}">
    <text>Not the same as corporate general and administrative, but general and administrative expenses attributed to the mine</text>
  </threadedComment>
  <threadedComment ref="B65" dT="2022-06-16T13:24:47.04" personId="{CF7EB0AC-F3F2-4B77-B762-D48BDBE7ABD7}" id="{B963781B-DBA4-4650-931C-7BD6A6523576}">
    <text>No historic data on royalties because Fortuna doesn't specify the amounts of the individual royalties</text>
  </threadedComment>
  <threadedComment ref="B66" dT="2022-06-20T21:07:32.63" personId="{CF7EB0AC-F3F2-4B77-B762-D48BDBE7ABD7}" id="{ECA43817-2163-4ACC-B640-FA197DE58424}">
    <text>5% of NSR as long as the gold price is above $1,300/oz</text>
  </threadedComment>
  <threadedComment ref="B67" dT="2022-06-20T21:07:13.25" personId="{CF7EB0AC-F3F2-4B77-B762-D48BDBE7ABD7}" id="{A69F58BF-8372-46AC-BD8A-693C6CDC2D43}">
    <text>1% of NSR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7" dT="2022-06-21T12:41:49.12" personId="{CF7EB0AC-F3F2-4B77-B762-D48BDBE7ABD7}" id="{110637A1-56C1-4F57-8414-1C500095F4E8}">
    <text>At the end of Q1 2022</text>
  </threadedComment>
  <threadedComment ref="B12" dT="2022-06-21T12:10:45.22" personId="{CF7EB0AC-F3F2-4B77-B762-D48BDBE7ABD7}" id="{1C4C0568-8EED-4A17-997B-5186085AEAEE}">
    <text>Average realized price for the whole company</text>
  </threadedComment>
  <threadedComment ref="F69" dT="2022-06-22T16:02:23.08" personId="{CF7EB0AC-F3F2-4B77-B762-D48BDBE7ABD7}" id="{D3C87581-03B1-463B-A64C-498B5ADAAC73}">
    <text>MD&amp;A Q1 2022 p. 19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22" dT="2022-06-21T17:49:41.09" personId="{CF7EB0AC-F3F2-4B77-B762-D48BDBE7ABD7}" id="{D4B94AA0-818F-4A80-963D-280CD44FE642}">
    <text>For Seguela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3" dT="2022-04-04T08:10:22.85" personId="{CF7EB0AC-F3F2-4B77-B762-D48BDBE7ABD7}" id="{2FC4041A-D2E5-4581-BADD-6E11C55753B9}">
    <text>10 yr treasury yield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0A84-8254-46E6-9A50-5E98B4DCC031}">
  <dimension ref="A1:D15"/>
  <sheetViews>
    <sheetView showGridLines="0" topLeftCell="A22" workbookViewId="0">
      <selection activeCell="C12" sqref="C12"/>
    </sheetView>
  </sheetViews>
  <sheetFormatPr defaultRowHeight="15" x14ac:dyDescent="0.25"/>
  <cols>
    <col min="2" max="2" width="24.42578125" bestFit="1" customWidth="1"/>
  </cols>
  <sheetData>
    <row r="1" spans="1:4" x14ac:dyDescent="0.25">
      <c r="B1" s="59" t="s">
        <v>164</v>
      </c>
    </row>
    <row r="2" spans="1:4" ht="21" x14ac:dyDescent="0.35">
      <c r="A2" s="81"/>
      <c r="B2" s="81" t="s">
        <v>291</v>
      </c>
      <c r="C2" s="81"/>
      <c r="D2" s="81"/>
    </row>
    <row r="3" spans="1:4" x14ac:dyDescent="0.25">
      <c r="B3" t="s">
        <v>163</v>
      </c>
      <c r="C3" s="6">
        <f>'Central sheet'!K93/10^6</f>
        <v>703.52816230173278</v>
      </c>
    </row>
    <row r="4" spans="1:4" x14ac:dyDescent="0.25">
      <c r="B4" t="s">
        <v>172</v>
      </c>
      <c r="C4" s="6">
        <f>WACC!C20</f>
        <v>215.10599999999999</v>
      </c>
    </row>
    <row r="5" spans="1:4" x14ac:dyDescent="0.25">
      <c r="B5" s="6" t="s">
        <v>292</v>
      </c>
      <c r="C5" s="6">
        <v>110.36499999999999</v>
      </c>
    </row>
    <row r="6" spans="1:4" x14ac:dyDescent="0.25">
      <c r="B6" s="6" t="s">
        <v>298</v>
      </c>
      <c r="C6" s="6">
        <f>C4-C5</f>
        <v>104.741</v>
      </c>
    </row>
    <row r="7" spans="1:4" ht="15.75" thickBot="1" x14ac:dyDescent="0.3">
      <c r="B7" s="60" t="s">
        <v>293</v>
      </c>
      <c r="C7" s="60">
        <v>10</v>
      </c>
    </row>
    <row r="8" spans="1:4" x14ac:dyDescent="0.25">
      <c r="B8" s="3" t="s">
        <v>294</v>
      </c>
      <c r="C8" s="67">
        <f>C3+C7</f>
        <v>713.52816230173278</v>
      </c>
    </row>
    <row r="9" spans="1:4" x14ac:dyDescent="0.25">
      <c r="B9" s="32" t="s">
        <v>295</v>
      </c>
      <c r="C9" s="10">
        <v>292.18</v>
      </c>
    </row>
    <row r="10" spans="1:4" x14ac:dyDescent="0.25">
      <c r="B10" s="32" t="s">
        <v>296</v>
      </c>
      <c r="C10" s="10">
        <f>C9+2.973</f>
        <v>295.15300000000002</v>
      </c>
    </row>
    <row r="11" spans="1:4" x14ac:dyDescent="0.25">
      <c r="B11" s="3" t="s">
        <v>297</v>
      </c>
      <c r="C11" s="67">
        <f>(C8-C6)*C9/C10</f>
        <v>602.65500632322994</v>
      </c>
    </row>
    <row r="12" spans="1:4" x14ac:dyDescent="0.25">
      <c r="B12" t="s">
        <v>299</v>
      </c>
      <c r="C12" s="11">
        <f>C11/C9</f>
        <v>2.0626155326279347</v>
      </c>
    </row>
    <row r="13" spans="1:4" x14ac:dyDescent="0.25">
      <c r="B13" t="s">
        <v>300</v>
      </c>
      <c r="C13" s="11">
        <v>3</v>
      </c>
    </row>
    <row r="14" spans="1:4" x14ac:dyDescent="0.25">
      <c r="B14" t="s">
        <v>301</v>
      </c>
      <c r="C14" s="44">
        <f>C12/C13-1</f>
        <v>-0.31246148912402172</v>
      </c>
    </row>
    <row r="15" spans="1:4" x14ac:dyDescent="0.25">
      <c r="B15" t="s">
        <v>302</v>
      </c>
      <c r="C15" s="44">
        <f>C13/C12-1</f>
        <v>0.45446398155344236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2285-D3F9-4F81-9569-7412CE710E33}">
  <dimension ref="A1:D23"/>
  <sheetViews>
    <sheetView showGridLines="0" topLeftCell="A2" zoomScale="145" zoomScaleNormal="145" workbookViewId="0">
      <selection activeCell="A21" sqref="A21"/>
    </sheetView>
  </sheetViews>
  <sheetFormatPr defaultRowHeight="15" x14ac:dyDescent="0.25"/>
  <cols>
    <col min="2" max="2" width="34.42578125" bestFit="1" customWidth="1"/>
  </cols>
  <sheetData>
    <row r="1" spans="1:4" x14ac:dyDescent="0.25">
      <c r="B1" s="59" t="s">
        <v>164</v>
      </c>
    </row>
    <row r="2" spans="1:4" x14ac:dyDescent="0.25">
      <c r="A2" s="12"/>
      <c r="B2" s="12" t="s">
        <v>1</v>
      </c>
      <c r="C2" s="12"/>
      <c r="D2" s="12"/>
    </row>
    <row r="4" spans="1:4" ht="15.75" thickBot="1" x14ac:dyDescent="0.3">
      <c r="B4" s="14" t="s">
        <v>165</v>
      </c>
      <c r="C4" s="60"/>
    </row>
    <row r="5" spans="1:4" x14ac:dyDescent="0.25">
      <c r="B5" t="s">
        <v>176</v>
      </c>
      <c r="C5" s="10">
        <v>157.23099999999999</v>
      </c>
    </row>
    <row r="6" spans="1:4" x14ac:dyDescent="0.25">
      <c r="B6" t="s">
        <v>175</v>
      </c>
      <c r="C6" s="10">
        <v>40.774999999999999</v>
      </c>
    </row>
    <row r="7" spans="1:4" x14ac:dyDescent="0.25">
      <c r="B7" t="s">
        <v>166</v>
      </c>
      <c r="C7" s="10">
        <v>17.100000000000001</v>
      </c>
    </row>
    <row r="8" spans="1:4" x14ac:dyDescent="0.25">
      <c r="B8" t="s">
        <v>177</v>
      </c>
      <c r="C8" s="19">
        <v>4.4999999999999998E-2</v>
      </c>
    </row>
    <row r="9" spans="1:4" ht="15.75" thickBot="1" x14ac:dyDescent="0.3">
      <c r="B9" s="60" t="s">
        <v>178</v>
      </c>
      <c r="C9" s="61">
        <v>4.65E-2</v>
      </c>
    </row>
    <row r="10" spans="1:4" x14ac:dyDescent="0.25">
      <c r="B10" s="3" t="s">
        <v>165</v>
      </c>
      <c r="C10" s="4">
        <f>(C5*C8+C6*C9)/SUM(C5:C6)</f>
        <v>4.5308892154783183E-2</v>
      </c>
    </row>
    <row r="12" spans="1:4" ht="15.75" thickBot="1" x14ac:dyDescent="0.3">
      <c r="B12" s="14" t="s">
        <v>167</v>
      </c>
      <c r="C12" s="60"/>
    </row>
    <row r="13" spans="1:4" x14ac:dyDescent="0.25">
      <c r="B13" t="s">
        <v>168</v>
      </c>
      <c r="C13" s="22">
        <v>3.2239999999999998E-2</v>
      </c>
    </row>
    <row r="14" spans="1:4" x14ac:dyDescent="0.25">
      <c r="B14" t="s">
        <v>169</v>
      </c>
      <c r="C14" s="22">
        <v>6.6000000000000003E-2</v>
      </c>
    </row>
    <row r="15" spans="1:4" ht="15.75" thickBot="1" x14ac:dyDescent="0.3">
      <c r="B15" s="60" t="s">
        <v>170</v>
      </c>
      <c r="C15" s="60">
        <v>1.05</v>
      </c>
    </row>
    <row r="16" spans="1:4" x14ac:dyDescent="0.25">
      <c r="B16" s="3" t="s">
        <v>167</v>
      </c>
      <c r="C16" s="4">
        <f>C13+C14*C15</f>
        <v>0.10153999999999999</v>
      </c>
    </row>
    <row r="18" spans="2:3" ht="15.75" thickBot="1" x14ac:dyDescent="0.3">
      <c r="B18" s="14" t="s">
        <v>1</v>
      </c>
      <c r="C18" s="60"/>
    </row>
    <row r="19" spans="2:3" x14ac:dyDescent="0.25">
      <c r="B19" t="s">
        <v>171</v>
      </c>
      <c r="C19" s="21">
        <v>0.30349999999999999</v>
      </c>
    </row>
    <row r="20" spans="2:3" x14ac:dyDescent="0.25">
      <c r="B20" t="s">
        <v>172</v>
      </c>
      <c r="C20" s="6">
        <f>SUM(C5:C7)</f>
        <v>215.10599999999999</v>
      </c>
    </row>
    <row r="21" spans="2:3" x14ac:dyDescent="0.25">
      <c r="B21" t="s">
        <v>173</v>
      </c>
      <c r="C21" s="6">
        <v>935</v>
      </c>
    </row>
    <row r="22" spans="2:3" ht="15.75" thickBot="1" x14ac:dyDescent="0.3">
      <c r="B22" s="60" t="s">
        <v>174</v>
      </c>
      <c r="C22" s="62">
        <f>SUM(C20:C21)</f>
        <v>1150.106</v>
      </c>
    </row>
    <row r="23" spans="2:3" x14ac:dyDescent="0.25">
      <c r="B23" s="3" t="s">
        <v>1</v>
      </c>
      <c r="C23" s="63">
        <f>(1-C19)*C20/C22*C10+C21*C16/C22</f>
        <v>8.8451097931970868E-2</v>
      </c>
    </row>
  </sheetData>
  <pageMargins left="0.7" right="0.7" top="0.75" bottom="0.75" header="0.3" footer="0.3"/>
  <ignoredErrors>
    <ignoredError sqref="C20" formulaRange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238F-4FF0-4A31-ACEF-B5F8E5FEAF77}">
  <dimension ref="A1:M11"/>
  <sheetViews>
    <sheetView showGridLines="0" zoomScale="160" zoomScaleNormal="160" workbookViewId="0">
      <selection activeCell="E19" sqref="E19"/>
    </sheetView>
  </sheetViews>
  <sheetFormatPr defaultRowHeight="15" x14ac:dyDescent="0.25"/>
  <cols>
    <col min="1" max="1" width="20.85546875" bestFit="1" customWidth="1"/>
    <col min="5" max="5" width="8.5703125" bestFit="1" customWidth="1"/>
    <col min="8" max="8" width="23.5703125" bestFit="1" customWidth="1"/>
    <col min="15" max="15" width="20.85546875" bestFit="1" customWidth="1"/>
  </cols>
  <sheetData>
    <row r="1" spans="1:13" ht="18.75" x14ac:dyDescent="0.3">
      <c r="A1" s="82" t="s">
        <v>98</v>
      </c>
      <c r="B1" s="82"/>
      <c r="C1" s="82"/>
      <c r="D1" s="82"/>
      <c r="E1" s="82"/>
      <c r="F1" s="82"/>
      <c r="H1" s="82" t="s">
        <v>99</v>
      </c>
      <c r="I1" s="82"/>
      <c r="J1" s="82"/>
      <c r="K1" s="82"/>
      <c r="L1" s="82"/>
      <c r="M1" s="82"/>
    </row>
    <row r="2" spans="1:13" x14ac:dyDescent="0.25">
      <c r="B2" s="35">
        <v>2017</v>
      </c>
      <c r="C2" s="35">
        <v>2018</v>
      </c>
      <c r="D2" s="35">
        <v>2019</v>
      </c>
      <c r="E2" s="35">
        <v>2020</v>
      </c>
      <c r="F2" s="35">
        <v>2021</v>
      </c>
      <c r="I2" s="35">
        <v>2017</v>
      </c>
      <c r="J2" s="35">
        <v>2018</v>
      </c>
      <c r="K2" s="35">
        <v>2019</v>
      </c>
      <c r="L2" s="35">
        <v>2020</v>
      </c>
      <c r="M2" s="35">
        <v>2021</v>
      </c>
    </row>
    <row r="3" spans="1:13" x14ac:dyDescent="0.25">
      <c r="A3" t="s">
        <v>100</v>
      </c>
      <c r="B3" s="36">
        <v>1</v>
      </c>
      <c r="C3" s="35">
        <v>0.8</v>
      </c>
      <c r="D3" t="s">
        <v>115</v>
      </c>
      <c r="E3" t="s">
        <v>115</v>
      </c>
      <c r="F3" t="s">
        <v>111</v>
      </c>
      <c r="H3" t="s">
        <v>100</v>
      </c>
      <c r="I3" s="35">
        <v>7.1</v>
      </c>
      <c r="J3" s="35">
        <v>7.5</v>
      </c>
      <c r="K3" s="35" t="s">
        <v>119</v>
      </c>
      <c r="L3" s="35" t="s">
        <v>113</v>
      </c>
      <c r="M3" t="s">
        <v>102</v>
      </c>
    </row>
    <row r="4" spans="1:13" x14ac:dyDescent="0.25">
      <c r="A4" t="s">
        <v>101</v>
      </c>
      <c r="B4" s="35">
        <v>0.94</v>
      </c>
      <c r="C4" s="35">
        <v>0.91</v>
      </c>
      <c r="D4" s="35">
        <v>0.94</v>
      </c>
      <c r="E4" s="35">
        <v>0.97</v>
      </c>
      <c r="F4" s="35">
        <v>1.07</v>
      </c>
      <c r="H4" t="s">
        <v>101</v>
      </c>
      <c r="I4" s="35">
        <v>7.5</v>
      </c>
      <c r="J4" s="36">
        <v>8</v>
      </c>
      <c r="K4" s="35">
        <v>7.9</v>
      </c>
      <c r="L4" s="35">
        <v>6.2</v>
      </c>
      <c r="M4" s="35">
        <v>6.4</v>
      </c>
    </row>
    <row r="5" spans="1:13" x14ac:dyDescent="0.25">
      <c r="A5" t="s">
        <v>103</v>
      </c>
      <c r="B5" s="36">
        <v>30</v>
      </c>
      <c r="C5" s="35">
        <v>25.8</v>
      </c>
      <c r="D5" s="35" t="s">
        <v>128</v>
      </c>
      <c r="E5" s="35" t="s">
        <v>116</v>
      </c>
      <c r="F5" t="s">
        <v>109</v>
      </c>
      <c r="H5" t="s">
        <v>107</v>
      </c>
      <c r="I5" s="35">
        <v>51.9</v>
      </c>
      <c r="J5" s="35">
        <v>48.3</v>
      </c>
      <c r="K5" s="35" t="s">
        <v>120</v>
      </c>
      <c r="L5" s="35" t="s">
        <v>114</v>
      </c>
      <c r="M5" t="s">
        <v>112</v>
      </c>
    </row>
    <row r="6" spans="1:13" x14ac:dyDescent="0.25">
      <c r="A6" t="s">
        <v>104</v>
      </c>
      <c r="B6" s="35">
        <v>29.9</v>
      </c>
      <c r="C6" s="35">
        <v>28.3</v>
      </c>
      <c r="D6" s="35">
        <v>28.7</v>
      </c>
      <c r="E6" s="35">
        <v>29.6</v>
      </c>
      <c r="F6" s="36">
        <v>33</v>
      </c>
      <c r="H6" s="8" t="s">
        <v>108</v>
      </c>
      <c r="I6" s="39">
        <v>56</v>
      </c>
      <c r="J6" s="38">
        <v>53.5</v>
      </c>
      <c r="K6" s="38">
        <v>48.9</v>
      </c>
      <c r="L6" s="38">
        <v>37.799999999999997</v>
      </c>
      <c r="M6" s="38">
        <v>39.4</v>
      </c>
    </row>
    <row r="7" spans="1:13" x14ac:dyDescent="0.25">
      <c r="A7" t="s">
        <v>105</v>
      </c>
      <c r="B7" s="36">
        <v>41</v>
      </c>
      <c r="C7" s="35">
        <v>44.8</v>
      </c>
      <c r="D7" s="35" t="s">
        <v>118</v>
      </c>
      <c r="E7" s="35" t="s">
        <v>117</v>
      </c>
      <c r="F7" t="s">
        <v>110</v>
      </c>
      <c r="H7" t="s">
        <v>121</v>
      </c>
      <c r="I7" t="s">
        <v>126</v>
      </c>
      <c r="J7" t="s">
        <v>126</v>
      </c>
      <c r="K7" t="s">
        <v>125</v>
      </c>
      <c r="L7" t="s">
        <v>127</v>
      </c>
      <c r="M7" t="s">
        <v>125</v>
      </c>
    </row>
    <row r="8" spans="1:13" x14ac:dyDescent="0.25">
      <c r="A8" s="8" t="s">
        <v>106</v>
      </c>
      <c r="B8" s="38">
        <v>44.3</v>
      </c>
      <c r="C8" s="38">
        <v>45.5</v>
      </c>
      <c r="D8" s="38">
        <v>45.6</v>
      </c>
      <c r="E8" s="38">
        <v>45.5</v>
      </c>
      <c r="F8" s="38">
        <v>47.5</v>
      </c>
      <c r="H8" t="s">
        <v>124</v>
      </c>
      <c r="I8" t="s">
        <v>126</v>
      </c>
      <c r="J8" t="s">
        <v>126</v>
      </c>
      <c r="K8" s="40" t="s">
        <v>129</v>
      </c>
      <c r="L8" t="s">
        <v>127</v>
      </c>
      <c r="M8" s="40" t="s">
        <v>125</v>
      </c>
    </row>
    <row r="9" spans="1:13" x14ac:dyDescent="0.25">
      <c r="A9" t="s">
        <v>121</v>
      </c>
      <c r="B9" t="s">
        <v>125</v>
      </c>
      <c r="C9" t="s">
        <v>127</v>
      </c>
      <c r="D9" t="s">
        <v>125</v>
      </c>
      <c r="E9" t="s">
        <v>125</v>
      </c>
      <c r="F9" t="s">
        <v>125</v>
      </c>
    </row>
    <row r="10" spans="1:13" x14ac:dyDescent="0.25">
      <c r="A10" t="s">
        <v>122</v>
      </c>
      <c r="B10" t="s">
        <v>125</v>
      </c>
      <c r="C10" t="s">
        <v>126</v>
      </c>
      <c r="D10" s="40" t="s">
        <v>125</v>
      </c>
      <c r="E10" s="40" t="s">
        <v>125</v>
      </c>
      <c r="F10" s="40" t="s">
        <v>126</v>
      </c>
    </row>
    <row r="11" spans="1:13" x14ac:dyDescent="0.25">
      <c r="A11" t="s">
        <v>123</v>
      </c>
      <c r="B11" t="s">
        <v>126</v>
      </c>
      <c r="C11" t="s">
        <v>126</v>
      </c>
      <c r="D11" s="40" t="s">
        <v>126</v>
      </c>
      <c r="E11" s="40" t="s">
        <v>125</v>
      </c>
      <c r="F11" t="s">
        <v>125</v>
      </c>
    </row>
  </sheetData>
  <mergeCells count="2">
    <mergeCell ref="A1:F1"/>
    <mergeCell ref="H1:M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0C7-484A-4E9F-BC60-C724615AAB69}">
  <dimension ref="B4:O21"/>
  <sheetViews>
    <sheetView showGridLines="0" workbookViewId="0">
      <selection activeCell="A3" sqref="A3:P22"/>
    </sheetView>
  </sheetViews>
  <sheetFormatPr defaultRowHeight="15" x14ac:dyDescent="0.25"/>
  <cols>
    <col min="2" max="2" width="22.140625" bestFit="1" customWidth="1"/>
  </cols>
  <sheetData>
    <row r="4" spans="2:15" x14ac:dyDescent="0.25">
      <c r="B4" t="s">
        <v>209</v>
      </c>
      <c r="C4" s="11">
        <f>38.19</f>
        <v>38.19</v>
      </c>
      <c r="D4" s="11">
        <v>40.92</v>
      </c>
      <c r="E4" s="11">
        <f>38.85</f>
        <v>38.85</v>
      </c>
      <c r="F4" s="11">
        <v>39.25</v>
      </c>
      <c r="G4" s="11">
        <v>38</v>
      </c>
      <c r="H4" s="11">
        <v>37.22</v>
      </c>
      <c r="I4" s="11">
        <v>36.14</v>
      </c>
      <c r="J4" s="11">
        <v>36.68</v>
      </c>
      <c r="K4" s="11">
        <v>36</v>
      </c>
      <c r="L4" s="11">
        <v>35.61</v>
      </c>
      <c r="M4" s="11">
        <v>35.340000000000003</v>
      </c>
      <c r="N4" s="11">
        <v>35.33</v>
      </c>
      <c r="O4" s="11">
        <v>35.06</v>
      </c>
    </row>
    <row r="5" spans="2:15" x14ac:dyDescent="0.25">
      <c r="B5" t="s">
        <v>210</v>
      </c>
      <c r="C5" s="70">
        <v>7.92</v>
      </c>
      <c r="D5" s="70">
        <v>7.94</v>
      </c>
      <c r="E5" s="71">
        <v>8.06</v>
      </c>
      <c r="F5" s="71">
        <v>8.09</v>
      </c>
      <c r="G5" s="71">
        <v>8.07</v>
      </c>
      <c r="H5" s="71">
        <v>8.07</v>
      </c>
      <c r="I5" s="11">
        <v>8.1</v>
      </c>
      <c r="J5" s="11">
        <v>8.1</v>
      </c>
      <c r="K5" s="11">
        <v>8</v>
      </c>
      <c r="L5" s="11">
        <v>7.96</v>
      </c>
      <c r="M5" s="11">
        <v>8.1300000000000008</v>
      </c>
      <c r="N5" s="11">
        <v>8.2100000000000009</v>
      </c>
      <c r="O5" s="11">
        <v>8.0500000000000007</v>
      </c>
    </row>
    <row r="6" spans="2:15" x14ac:dyDescent="0.25">
      <c r="B6" t="s">
        <v>211</v>
      </c>
      <c r="C6" s="70">
        <v>6.33</v>
      </c>
      <c r="D6" s="70">
        <v>6.34</v>
      </c>
      <c r="E6" s="71">
        <v>6.34</v>
      </c>
      <c r="F6" s="71">
        <v>6.34</v>
      </c>
      <c r="G6" s="71">
        <v>6.36</v>
      </c>
      <c r="H6" s="71">
        <v>6.38</v>
      </c>
      <c r="I6" s="11">
        <v>6.41</v>
      </c>
      <c r="J6" s="11">
        <v>6.41</v>
      </c>
      <c r="K6" s="11">
        <v>6.41</v>
      </c>
      <c r="L6" s="11">
        <v>6.41</v>
      </c>
      <c r="M6" s="11">
        <v>6.41</v>
      </c>
      <c r="N6" s="11">
        <v>6.41</v>
      </c>
      <c r="O6" s="11">
        <v>6.36</v>
      </c>
    </row>
    <row r="7" spans="2:15" x14ac:dyDescent="0.25">
      <c r="B7" t="s">
        <v>133</v>
      </c>
      <c r="C7" s="70">
        <v>71.73</v>
      </c>
      <c r="D7" s="70">
        <v>75.83</v>
      </c>
      <c r="E7" s="71">
        <v>73.39</v>
      </c>
      <c r="F7" s="71">
        <v>74.73</v>
      </c>
      <c r="G7" s="71">
        <v>73.33</v>
      </c>
      <c r="H7" s="71">
        <v>73.069999999999993</v>
      </c>
      <c r="I7" s="11">
        <v>72.48</v>
      </c>
      <c r="J7" s="11">
        <v>73.66</v>
      </c>
      <c r="K7" s="11">
        <v>72.19</v>
      </c>
      <c r="L7" s="11">
        <v>73.09</v>
      </c>
      <c r="M7" s="11">
        <v>71.16</v>
      </c>
      <c r="N7" s="11">
        <v>72.03</v>
      </c>
      <c r="O7" s="11">
        <v>69.19</v>
      </c>
    </row>
    <row r="9" spans="2:15" x14ac:dyDescent="0.25">
      <c r="C9" s="18">
        <f>SUM(C4:C6)/C7</f>
        <v>0.73107486407360933</v>
      </c>
      <c r="D9" s="18">
        <f t="shared" ref="D9:O9" si="0">SUM(D4:D6)/D7</f>
        <v>0.72794408545430578</v>
      </c>
      <c r="E9" s="18">
        <f t="shared" si="0"/>
        <v>0.72557569151110501</v>
      </c>
      <c r="F9" s="18">
        <f t="shared" si="0"/>
        <v>0.7183192827512378</v>
      </c>
      <c r="G9" s="18">
        <f t="shared" si="0"/>
        <v>0.71498704486567577</v>
      </c>
      <c r="H9" s="18">
        <f t="shared" si="0"/>
        <v>0.70713014917202688</v>
      </c>
      <c r="I9" s="18">
        <f t="shared" si="0"/>
        <v>0.69881346578366454</v>
      </c>
      <c r="J9" s="18">
        <f t="shared" si="0"/>
        <v>0.69494976920988327</v>
      </c>
      <c r="K9" s="18">
        <f t="shared" si="0"/>
        <v>0.6982961629034492</v>
      </c>
      <c r="L9" s="18">
        <f t="shared" si="0"/>
        <v>0.68381447530441919</v>
      </c>
      <c r="M9" s="18">
        <f t="shared" si="0"/>
        <v>0.70095559302979216</v>
      </c>
      <c r="N9" s="18">
        <f t="shared" si="0"/>
        <v>0.69346105789254475</v>
      </c>
      <c r="O9" s="18">
        <f t="shared" si="0"/>
        <v>0.71498771498771496</v>
      </c>
    </row>
    <row r="11" spans="2:15" x14ac:dyDescent="0.25">
      <c r="B11" t="s">
        <v>212</v>
      </c>
      <c r="C11" s="21">
        <f>AVERAGE(C9:O9)</f>
        <v>0.70848533514918677</v>
      </c>
    </row>
    <row r="13" spans="2:15" x14ac:dyDescent="0.25">
      <c r="B13" t="s">
        <v>213</v>
      </c>
      <c r="C13">
        <v>69.760000000000005</v>
      </c>
      <c r="D13">
        <v>36.880000000000003</v>
      </c>
      <c r="E13">
        <v>27.24</v>
      </c>
      <c r="F13">
        <v>39.96</v>
      </c>
      <c r="G13">
        <v>32.99</v>
      </c>
      <c r="H13">
        <v>28.7</v>
      </c>
      <c r="I13">
        <v>30.84</v>
      </c>
      <c r="J13">
        <v>34.17</v>
      </c>
      <c r="K13">
        <v>37.56</v>
      </c>
      <c r="L13">
        <v>32.229999999999997</v>
      </c>
      <c r="M13">
        <v>40.89</v>
      </c>
      <c r="N13">
        <v>20.350000000000001</v>
      </c>
    </row>
    <row r="14" spans="2:15" x14ac:dyDescent="0.25">
      <c r="B14" t="s">
        <v>214</v>
      </c>
      <c r="C14">
        <v>12.97</v>
      </c>
      <c r="D14">
        <v>7.11</v>
      </c>
      <c r="E14">
        <v>3.48</v>
      </c>
      <c r="F14">
        <v>10.77</v>
      </c>
      <c r="G14">
        <v>8.58</v>
      </c>
      <c r="H14">
        <v>7.03</v>
      </c>
      <c r="I14">
        <v>7.92</v>
      </c>
      <c r="J14">
        <v>10.08</v>
      </c>
      <c r="K14">
        <v>11.37</v>
      </c>
      <c r="L14">
        <v>9.76</v>
      </c>
      <c r="M14">
        <v>13.74</v>
      </c>
      <c r="N14">
        <v>6.75</v>
      </c>
    </row>
    <row r="15" spans="2:15" x14ac:dyDescent="0.25">
      <c r="B15" t="s">
        <v>215</v>
      </c>
      <c r="C15" s="5">
        <v>0.35</v>
      </c>
    </row>
    <row r="16" spans="2:15" x14ac:dyDescent="0.25">
      <c r="B16" t="s">
        <v>139</v>
      </c>
      <c r="C16" s="37">
        <f>C13-C14/$C$15</f>
        <v>32.702857142857141</v>
      </c>
      <c r="D16" s="37">
        <f t="shared" ref="D16:N16" si="1">D13-D14/$C$15</f>
        <v>16.565714285714286</v>
      </c>
      <c r="E16" s="37">
        <f t="shared" si="1"/>
        <v>17.297142857142855</v>
      </c>
      <c r="F16" s="37">
        <f t="shared" si="1"/>
        <v>9.1885714285714286</v>
      </c>
      <c r="G16" s="37">
        <f t="shared" si="1"/>
        <v>8.475714285714286</v>
      </c>
      <c r="H16" s="37">
        <f t="shared" si="1"/>
        <v>8.6142857142857103</v>
      </c>
      <c r="I16" s="37">
        <f t="shared" si="1"/>
        <v>8.21142857142857</v>
      </c>
      <c r="J16" s="37">
        <f t="shared" si="1"/>
        <v>5.370000000000001</v>
      </c>
      <c r="K16" s="37">
        <f t="shared" si="1"/>
        <v>5.0742857142857147</v>
      </c>
      <c r="L16" s="37">
        <f t="shared" si="1"/>
        <v>4.3442857142857108</v>
      </c>
      <c r="M16" s="37">
        <f t="shared" si="1"/>
        <v>1.6328571428571408</v>
      </c>
      <c r="N16" s="37">
        <f t="shared" si="1"/>
        <v>1.0642857142857132</v>
      </c>
    </row>
    <row r="17" spans="2:14" x14ac:dyDescent="0.25">
      <c r="B17" t="s">
        <v>216</v>
      </c>
      <c r="C17">
        <v>5.46</v>
      </c>
      <c r="D17">
        <v>2.19</v>
      </c>
      <c r="E17">
        <v>5.31</v>
      </c>
      <c r="F17">
        <v>3.18</v>
      </c>
      <c r="G17">
        <v>2.86</v>
      </c>
      <c r="H17">
        <v>3.99</v>
      </c>
      <c r="I17">
        <v>4.6100000000000003</v>
      </c>
      <c r="J17">
        <v>2.54</v>
      </c>
      <c r="K17">
        <v>1.76</v>
      </c>
      <c r="L17">
        <v>0.59</v>
      </c>
      <c r="M17">
        <v>16.22</v>
      </c>
      <c r="N17">
        <v>18.96</v>
      </c>
    </row>
    <row r="18" spans="2:14" x14ac:dyDescent="0.25">
      <c r="B18" t="s">
        <v>217</v>
      </c>
      <c r="C18" s="11">
        <f>C16/C17</f>
        <v>5.9895342752485607</v>
      </c>
      <c r="D18" s="11">
        <f t="shared" ref="D18:L18" si="2">D16/D17</f>
        <v>7.5642530984996741</v>
      </c>
      <c r="E18" s="11">
        <f t="shared" si="2"/>
        <v>3.257465698143664</v>
      </c>
      <c r="F18" s="11">
        <f t="shared" si="2"/>
        <v>2.8894878706199458</v>
      </c>
      <c r="G18" s="11">
        <f t="shared" si="2"/>
        <v>2.9635364635364638</v>
      </c>
      <c r="H18" s="11">
        <f t="shared" si="2"/>
        <v>2.158968850698173</v>
      </c>
      <c r="I18" s="11">
        <f t="shared" si="2"/>
        <v>1.7812209482491475</v>
      </c>
      <c r="J18" s="11">
        <f t="shared" si="2"/>
        <v>2.1141732283464569</v>
      </c>
      <c r="K18" s="11">
        <f t="shared" si="2"/>
        <v>2.8831168831168834</v>
      </c>
      <c r="L18" s="11">
        <f t="shared" si="2"/>
        <v>7.3631961259079848</v>
      </c>
    </row>
    <row r="20" spans="2:14" x14ac:dyDescent="0.25">
      <c r="B20" s="11">
        <f>AVERAGE(E18:K18)</f>
        <v>2.5782814203872482</v>
      </c>
    </row>
    <row r="21" spans="2:14" x14ac:dyDescent="0.25">
      <c r="B21" s="37">
        <f>AVERAGE(C16:L16)</f>
        <v>11.584428571428571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EB57-E330-49E2-8053-A62A40FFFA73}">
  <dimension ref="A1:AZ93"/>
  <sheetViews>
    <sheetView showGridLines="0" topLeftCell="A67" workbookViewId="0">
      <selection activeCell="K93" sqref="K93"/>
    </sheetView>
  </sheetViews>
  <sheetFormatPr defaultRowHeight="15" x14ac:dyDescent="0.25"/>
  <cols>
    <col min="2" max="2" width="42.7109375" customWidth="1"/>
    <col min="3" max="3" width="11.28515625" bestFit="1" customWidth="1"/>
    <col min="4" max="4" width="16" bestFit="1" customWidth="1"/>
    <col min="5" max="5" width="15.28515625" bestFit="1" customWidth="1"/>
    <col min="6" max="6" width="19.5703125" bestFit="1" customWidth="1"/>
    <col min="7" max="7" width="18.5703125" bestFit="1" customWidth="1"/>
    <col min="8" max="8" width="19.5703125" bestFit="1" customWidth="1"/>
    <col min="9" max="9" width="18.5703125" bestFit="1" customWidth="1"/>
    <col min="10" max="10" width="19.140625" bestFit="1" customWidth="1"/>
    <col min="11" max="11" width="18.7109375" bestFit="1" customWidth="1"/>
    <col min="12" max="13" width="12.7109375" bestFit="1" customWidth="1"/>
    <col min="14" max="14" width="15.28515625" bestFit="1" customWidth="1"/>
    <col min="15" max="15" width="18.5703125" bestFit="1" customWidth="1"/>
    <col min="16" max="16" width="15.28515625" bestFit="1" customWidth="1"/>
    <col min="17" max="17" width="14.140625" bestFit="1" customWidth="1"/>
    <col min="18" max="18" width="13.5703125" bestFit="1" customWidth="1"/>
    <col min="19" max="19" width="19.5703125" bestFit="1" customWidth="1"/>
    <col min="20" max="20" width="18.5703125" bestFit="1" customWidth="1"/>
    <col min="21" max="21" width="19.140625" bestFit="1" customWidth="1"/>
    <col min="22" max="22" width="18.7109375" bestFit="1" customWidth="1"/>
    <col min="23" max="23" width="11.140625" bestFit="1" customWidth="1"/>
    <col min="24" max="24" width="12.7109375" bestFit="1" customWidth="1"/>
    <col min="25" max="25" width="11.140625" bestFit="1" customWidth="1"/>
    <col min="26" max="26" width="16" bestFit="1" customWidth="1"/>
    <col min="27" max="27" width="15.28515625" bestFit="1" customWidth="1"/>
    <col min="28" max="28" width="14.140625" bestFit="1" customWidth="1"/>
    <col min="29" max="29" width="13.5703125" bestFit="1" customWidth="1"/>
    <col min="30" max="30" width="19.5703125" bestFit="1" customWidth="1"/>
    <col min="31" max="31" width="18.5703125" bestFit="1" customWidth="1"/>
    <col min="32" max="32" width="19.140625" bestFit="1" customWidth="1"/>
    <col min="33" max="33" width="18.7109375" bestFit="1" customWidth="1"/>
  </cols>
  <sheetData>
    <row r="1" spans="1:52" ht="23.25" x14ac:dyDescent="0.35">
      <c r="A1" s="1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3" spans="1:52" ht="18.75" x14ac:dyDescent="0.3">
      <c r="B3" s="77" t="s">
        <v>233</v>
      </c>
    </row>
    <row r="4" spans="1:52" ht="3.75" customHeight="1" x14ac:dyDescent="0.3">
      <c r="B4" s="77"/>
    </row>
    <row r="5" spans="1:52" ht="16.5" thickBot="1" x14ac:dyDescent="0.3">
      <c r="B5" s="78" t="s">
        <v>235</v>
      </c>
    </row>
    <row r="6" spans="1:52" x14ac:dyDescent="0.25">
      <c r="B6" s="3" t="s">
        <v>3</v>
      </c>
      <c r="C6" s="3" t="s">
        <v>4</v>
      </c>
      <c r="D6" s="3" t="s">
        <v>5</v>
      </c>
      <c r="E6" s="3" t="s">
        <v>6</v>
      </c>
      <c r="F6" s="3" t="s">
        <v>50</v>
      </c>
      <c r="G6" s="3" t="s">
        <v>51</v>
      </c>
      <c r="H6" s="3" t="s">
        <v>7</v>
      </c>
      <c r="I6" s="3" t="s">
        <v>8</v>
      </c>
      <c r="J6" s="3" t="s">
        <v>52</v>
      </c>
      <c r="K6" s="3" t="s">
        <v>53</v>
      </c>
      <c r="M6" s="3" t="s">
        <v>3</v>
      </c>
      <c r="N6" s="3" t="s">
        <v>4</v>
      </c>
      <c r="O6" s="3" t="s">
        <v>5</v>
      </c>
      <c r="P6" s="3" t="s">
        <v>6</v>
      </c>
      <c r="Q6" s="3" t="s">
        <v>50</v>
      </c>
      <c r="R6" s="3" t="s">
        <v>51</v>
      </c>
      <c r="S6" s="3" t="s">
        <v>7</v>
      </c>
      <c r="T6" s="3" t="s">
        <v>8</v>
      </c>
      <c r="U6" s="3" t="s">
        <v>52</v>
      </c>
      <c r="V6" s="3" t="s">
        <v>53</v>
      </c>
      <c r="W6" s="3"/>
      <c r="X6" s="3" t="s">
        <v>3</v>
      </c>
      <c r="Y6" s="3" t="s">
        <v>4</v>
      </c>
      <c r="Z6" s="3" t="s">
        <v>5</v>
      </c>
      <c r="AA6" s="3" t="s">
        <v>6</v>
      </c>
      <c r="AB6" s="3" t="s">
        <v>50</v>
      </c>
      <c r="AC6" s="3" t="s">
        <v>51</v>
      </c>
      <c r="AD6" s="3" t="s">
        <v>7</v>
      </c>
      <c r="AE6" s="3" t="s">
        <v>8</v>
      </c>
      <c r="AF6" s="3" t="s">
        <v>52</v>
      </c>
      <c r="AG6" s="3" t="s">
        <v>53</v>
      </c>
    </row>
    <row r="7" spans="1:52" x14ac:dyDescent="0.25">
      <c r="B7" t="s">
        <v>12</v>
      </c>
      <c r="C7" s="6">
        <f>'DCF Caylloma'!F7+'DCF San Jose'!F7</f>
        <v>101426</v>
      </c>
      <c r="D7">
        <f>'DCF Caylloma'!G7</f>
        <v>101</v>
      </c>
      <c r="E7" s="11">
        <f>'DCF Caylloma'!H7</f>
        <v>0.3</v>
      </c>
      <c r="F7" s="19">
        <f>'DCF Caylloma'!I7</f>
        <v>2.3800000000000002E-2</v>
      </c>
      <c r="G7" s="19">
        <f>'DCF Caylloma'!J7</f>
        <v>2.9600000000000001E-2</v>
      </c>
      <c r="H7" s="6">
        <f>C7*D7/Auxiliary!$C$4</f>
        <v>329353.08376843581</v>
      </c>
      <c r="I7" s="6">
        <f>C7*E7/Auxiliary!$C$4</f>
        <v>978.27648644089845</v>
      </c>
      <c r="J7" s="6">
        <f>C7*F7*Auxiliary!$C$6</f>
        <v>5321824.0817756569</v>
      </c>
      <c r="K7" s="6">
        <f>C7*G7*Auxiliary!$C$6</f>
        <v>6618739.1941411523</v>
      </c>
      <c r="M7" s="6" t="s">
        <v>13</v>
      </c>
      <c r="N7" s="6">
        <f>'DCF Caylloma'!Q7+'DCF San Jose'!M7</f>
        <v>762000</v>
      </c>
      <c r="O7" s="6">
        <f>('DCF Caylloma'!$Q$7*'DCF Caylloma'!R7+'DCF San Jose'!$M$7*'DCF San Jose'!N7)/N7</f>
        <v>98.196850393700785</v>
      </c>
      <c r="P7" s="54">
        <f>('DCF Caylloma'!$Q$7*'DCF Caylloma'!S7+'DCF San Jose'!$M$7*'DCF San Jose'!O7)/N7</f>
        <v>0.36393700787401573</v>
      </c>
      <c r="Q7" s="22">
        <f>'DCF Caylloma'!T7</f>
        <v>1.7899999999999999E-2</v>
      </c>
      <c r="R7" s="22">
        <f>'DCF Caylloma'!U7</f>
        <v>3.2399999999999998E-2</v>
      </c>
      <c r="S7" s="6">
        <f>N7*O7/Auxiliary!$C$4</f>
        <v>2405711.7627441571</v>
      </c>
      <c r="T7" s="6">
        <f>N7*P7/Auxiliary!$C$4</f>
        <v>8916.0450384119122</v>
      </c>
      <c r="U7" s="6">
        <f>N7*Q7*Auxiliary!$C$6</f>
        <v>30070611.612275999</v>
      </c>
      <c r="V7" s="6">
        <f>N7*R7*Auxiliary!$C$6</f>
        <v>54429486.940655999</v>
      </c>
      <c r="X7" t="s">
        <v>14</v>
      </c>
      <c r="Y7" s="6">
        <f>'DCF Caylloma'!AB7+'DCF San Jose'!T7</f>
        <v>6820000</v>
      </c>
      <c r="Z7" s="6">
        <f>('DCF Caylloma'!$AB$7*'DCF Caylloma'!AC7+'DCF San Jose'!$T$7*'DCF San Jose'!U7)/$Y$7</f>
        <v>119.97346041055718</v>
      </c>
      <c r="AA7" s="54">
        <f>('DCF Caylloma'!$AB$7*'DCF Caylloma'!AD7+'DCF San Jose'!$T$7*'DCF San Jose'!V7)/$Y$7</f>
        <v>0.74010850439882703</v>
      </c>
      <c r="AB7" s="22">
        <f>'DCF Caylloma'!AE7</f>
        <v>2.0299999999999999E-2</v>
      </c>
      <c r="AC7" s="22">
        <f>'DCF Caylloma'!AF7</f>
        <v>3.5000000000000003E-2</v>
      </c>
      <c r="AD7" s="6">
        <f>Y7*Z7/Auxiliary!$C$4</f>
        <v>26306351.706636216</v>
      </c>
      <c r="AE7" s="6">
        <f>Y7*AA7/Auxiliary!$C$4</f>
        <v>162282.17933501248</v>
      </c>
      <c r="AF7" s="6">
        <f>Y7*AB7*Auxiliary!C6</f>
        <v>305221183.24852002</v>
      </c>
      <c r="AG7" s="6">
        <f>Y7*AC7*Auxiliary!C6</f>
        <v>526243419.39400011</v>
      </c>
    </row>
    <row r="8" spans="1:52" x14ac:dyDescent="0.25">
      <c r="B8" t="s">
        <v>16</v>
      </c>
      <c r="C8" s="7">
        <f>'DCF Caylloma'!F8+'DCF San Jose'!F8</f>
        <v>5671053</v>
      </c>
      <c r="D8" s="72">
        <f>('DCF Caylloma'!F8*'DCF Caylloma'!G8+'DCF San Jose'!F8*'DCF San Jose'!G8)/C8</f>
        <v>129.83277356074788</v>
      </c>
      <c r="E8" s="9">
        <f>('DCF Caylloma'!F8*'DCF Caylloma'!H8+'DCF San Jose'!F8*'DCF San Jose'!H8)/C8</f>
        <v>0.66315585659312293</v>
      </c>
      <c r="F8" s="20">
        <f>'DCF Caylloma'!I8</f>
        <v>2.5499999999999998E-2</v>
      </c>
      <c r="G8" s="20">
        <f>'DCF Caylloma'!J8</f>
        <v>3.7600000000000001E-2</v>
      </c>
      <c r="H8" s="7">
        <f>$C$8*D8/Auxiliary!$C$4</f>
        <v>23672226.250925105</v>
      </c>
      <c r="I8" s="7">
        <f>$C$8*E8/Auxiliary!$C$4</f>
        <v>120912.27081083102</v>
      </c>
      <c r="J8" s="7">
        <f>C8*F8*Auxiliary!$C$6</f>
        <v>318814558.9369809</v>
      </c>
      <c r="K8" s="7">
        <f>C8*G8*Auxiliary!$C$6</f>
        <v>470095192.78550917</v>
      </c>
      <c r="M8" t="s">
        <v>17</v>
      </c>
      <c r="N8" s="7">
        <f>'DCF Caylloma'!Q8+'DCF San Jose'!M8</f>
        <v>2895000</v>
      </c>
      <c r="O8" s="7">
        <f>('DCF Caylloma'!$Q$8*'DCF Caylloma'!R8+'DCF San Jose'!$M$8*'DCF San Jose'!N8)/N8</f>
        <v>86.979620034542307</v>
      </c>
      <c r="P8" s="79">
        <f>('DCF Caylloma'!$Q$8*'DCF Caylloma'!S8+'DCF San Jose'!$M$8*'DCF San Jose'!O8)/N8</f>
        <v>0.3676027633851468</v>
      </c>
      <c r="Q8" s="23">
        <f>'DCF Caylloma'!T8</f>
        <v>1.61E-2</v>
      </c>
      <c r="R8" s="23">
        <f>'DCF Caylloma'!U8</f>
        <v>3.09E-2</v>
      </c>
      <c r="S8" s="7">
        <f>N8*O8/Auxiliary!$C$4</f>
        <v>8095750.8904599361</v>
      </c>
      <c r="T8" s="7">
        <f>N8*P8/Auxiliary!$C$4</f>
        <v>34215.146005799586</v>
      </c>
      <c r="U8" s="7">
        <f>N8*Q8*Auxiliary!$C$6</f>
        <v>102756358.00689</v>
      </c>
      <c r="V8" s="7">
        <f>N8*R8*Auxiliary!$C$6</f>
        <v>197215618.78341001</v>
      </c>
    </row>
    <row r="9" spans="1:52" x14ac:dyDescent="0.25">
      <c r="B9" t="s">
        <v>19</v>
      </c>
      <c r="C9" s="6">
        <f>SUM(C7:C8)</f>
        <v>5772479</v>
      </c>
      <c r="D9" s="10">
        <f>(D7*C7+D8*C8)/C9</f>
        <v>129.32616402762142</v>
      </c>
      <c r="E9" s="11">
        <f>(C7*E7+C8*E8)/C9</f>
        <v>0.6567749852359791</v>
      </c>
      <c r="F9" s="19">
        <f>'DCF Caylloma'!I9</f>
        <v>2.5443177325794073E-2</v>
      </c>
      <c r="G9" s="19">
        <f>'DCF Caylloma'!J9</f>
        <v>3.7332599180207392E-2</v>
      </c>
      <c r="H9" s="6">
        <f>SUM(H7:H8)</f>
        <v>24001579.33469354</v>
      </c>
      <c r="I9" s="6">
        <f>SUM(I7:I8)</f>
        <v>121890.54729727191</v>
      </c>
      <c r="J9" s="6">
        <f t="shared" ref="J9:K9" si="0">SUM(J7:J8)</f>
        <v>324136383.01875657</v>
      </c>
      <c r="K9" s="6">
        <f t="shared" si="0"/>
        <v>476713931.97965032</v>
      </c>
      <c r="M9" t="s">
        <v>19</v>
      </c>
      <c r="N9" s="6">
        <f>SUM(N7:N8)</f>
        <v>3657000</v>
      </c>
      <c r="O9" s="10">
        <f>(O7*N7+O8*N8)/N9</f>
        <v>89.316926442439154</v>
      </c>
      <c r="P9" s="11">
        <f>(P7*N7+P8*N8)/N9</f>
        <v>0.36683893902105552</v>
      </c>
      <c r="Q9" s="19">
        <f>'DCF Caylloma'!T9</f>
        <v>1.6579470198675495E-2</v>
      </c>
      <c r="R9" s="19">
        <f>'DCF Caylloma'!U9</f>
        <v>3.1299558498896249E-2</v>
      </c>
      <c r="S9" s="6">
        <f>SUM(S7:S8)</f>
        <v>10501462.653204093</v>
      </c>
      <c r="T9" s="6">
        <f>SUM(T7:T8)</f>
        <v>43131.191044211497</v>
      </c>
      <c r="U9" s="6">
        <f t="shared" ref="U9:V9" si="1">SUM(U7:U8)</f>
        <v>132826969.619166</v>
      </c>
      <c r="V9" s="6">
        <f t="shared" si="1"/>
        <v>251645105.72406602</v>
      </c>
    </row>
    <row r="11" spans="1:52" ht="16.5" thickBot="1" x14ac:dyDescent="0.3">
      <c r="B11" s="78" t="s">
        <v>236</v>
      </c>
    </row>
    <row r="12" spans="1:52" x14ac:dyDescent="0.25">
      <c r="B12" s="3" t="s">
        <v>3</v>
      </c>
      <c r="C12" s="3" t="s">
        <v>4</v>
      </c>
      <c r="D12" s="3" t="s">
        <v>6</v>
      </c>
      <c r="E12" s="3" t="s">
        <v>8</v>
      </c>
      <c r="G12" s="3" t="s">
        <v>3</v>
      </c>
      <c r="H12" s="3" t="s">
        <v>4</v>
      </c>
      <c r="I12" s="3" t="s">
        <v>6</v>
      </c>
      <c r="J12" s="3" t="s">
        <v>8</v>
      </c>
      <c r="L12" s="3" t="s">
        <v>3</v>
      </c>
      <c r="M12" s="3" t="s">
        <v>4</v>
      </c>
      <c r="N12" s="3" t="s">
        <v>6</v>
      </c>
      <c r="O12" s="3" t="s">
        <v>8</v>
      </c>
    </row>
    <row r="13" spans="1:52" x14ac:dyDescent="0.25">
      <c r="B13" t="s">
        <v>12</v>
      </c>
      <c r="C13" s="6">
        <f>'DCF Lindero'!F7+'DCF Yaramoko'!F7</f>
        <v>24662277</v>
      </c>
      <c r="D13" s="11">
        <f>('DCF Lindero'!F7*'DCF Lindero'!G7+'DCF Yaramoko'!F7*'DCF Yaramoko'!G7)/C13</f>
        <v>0.6817635962810733</v>
      </c>
      <c r="E13" s="6">
        <f>C13*D13/Auxiliary!$C$4</f>
        <v>540577.59420644573</v>
      </c>
      <c r="G13" t="s">
        <v>13</v>
      </c>
      <c r="H13" s="6">
        <f>'DCF Lindero'!K7+'DCF Yaramoko'!K7</f>
        <v>1771000</v>
      </c>
      <c r="I13" s="11">
        <f>('DCF Lindero'!K7*'DCF Lindero'!L7+'DCF Yaramoko'!K7*'DCF Yaramoko'!L7)/H13</f>
        <v>0.64446075663466973</v>
      </c>
      <c r="J13" s="6">
        <f>H13*I13/Auxiliary!$C$4</f>
        <v>36694.933088637859</v>
      </c>
      <c r="L13" t="s">
        <v>14</v>
      </c>
      <c r="M13" s="6">
        <f>'DCF Lindero'!P7+'DCF Yaramoko'!P7+'DCF Seguela'!N7</f>
        <v>32234000</v>
      </c>
      <c r="N13" s="11">
        <f>('DCF Lindero'!P7*'DCF Lindero'!Q7+'DCF Yaramoko'!P7*'DCF Yaramoko'!Q7+'DCF Seguela'!N7*'DCF Seguela'!O7)/M13</f>
        <v>0.83712167276788485</v>
      </c>
      <c r="O13" s="6">
        <f>M13*N13/Auxiliary!$C$4</f>
        <v>867548.67224361235</v>
      </c>
    </row>
    <row r="14" spans="1:52" x14ac:dyDescent="0.25">
      <c r="B14" s="69" t="s">
        <v>16</v>
      </c>
      <c r="C14" s="7">
        <f>'DCF Lindero'!F8+'DCF Yaramoko'!F8+'DCF Seguela'!D7</f>
        <v>76747000</v>
      </c>
      <c r="D14" s="9">
        <f>('DCF Lindero'!F8*'DCF Lindero'!G8+'DCF Yaramoko'!F8*'DCF Yaramoko'!G8+'DCF Seguela'!D7*'DCF Seguela'!E7)/C14</f>
        <v>1.0482513974487602</v>
      </c>
      <c r="E14" s="7">
        <f>C14*D14/Auxiliary!$C$4</f>
        <v>2586532.3840581062</v>
      </c>
      <c r="G14" s="69" t="s">
        <v>17</v>
      </c>
      <c r="H14" s="7">
        <f>'DCF Lindero'!K8+'DCF Yaramoko'!K8+'DCF Seguela'!I7</f>
        <v>35819000</v>
      </c>
      <c r="I14" s="9">
        <f>('DCF Lindero'!K8*'DCF Lindero'!L8+'DCF Yaramoko'!K8*'DCF Yaramoko'!L8+'DCF Seguela'!I7*'DCF Seguela'!J7)/H14</f>
        <v>0.62136184706440711</v>
      </c>
      <c r="J14" s="7">
        <f>H14*I14/Auxiliary!$C$4</f>
        <v>715565.02004946279</v>
      </c>
    </row>
    <row r="15" spans="1:52" x14ac:dyDescent="0.25">
      <c r="B15" t="s">
        <v>19</v>
      </c>
      <c r="C15" s="6">
        <f>SUM(C13:C14)</f>
        <v>101409277</v>
      </c>
      <c r="D15" s="11">
        <f>(C13*D13+C14*D14)/C15</f>
        <v>0.95912322360803337</v>
      </c>
      <c r="E15" s="6">
        <f>SUM(E13:E14)</f>
        <v>3127109.9782645521</v>
      </c>
      <c r="G15" t="s">
        <v>19</v>
      </c>
      <c r="H15" s="6">
        <f>SUM(H13:H14)</f>
        <v>37590000</v>
      </c>
      <c r="I15" s="11">
        <f>(H13*I13+H14*I14)/H15</f>
        <v>0.6224501197126896</v>
      </c>
      <c r="J15" s="6">
        <f>SUM(J13:J14)</f>
        <v>752259.95313810068</v>
      </c>
    </row>
    <row r="17" spans="2:52" x14ac:dyDescent="0.25">
      <c r="B17" s="3" t="s">
        <v>1</v>
      </c>
      <c r="C17" s="4">
        <f>WACC!C23</f>
        <v>8.8451097931970868E-2</v>
      </c>
    </row>
    <row r="19" spans="2:52" x14ac:dyDescent="0.25">
      <c r="B19" s="12" t="s">
        <v>20</v>
      </c>
      <c r="C19" s="12" t="s">
        <v>21</v>
      </c>
      <c r="D19" s="12"/>
      <c r="E19" s="12" t="s">
        <v>22</v>
      </c>
      <c r="F19" s="12" t="s">
        <v>23</v>
      </c>
      <c r="G19" s="12" t="s">
        <v>24</v>
      </c>
      <c r="H19" s="12" t="s">
        <v>25</v>
      </c>
      <c r="I19" s="12" t="s">
        <v>26</v>
      </c>
      <c r="J19" s="12" t="s">
        <v>27</v>
      </c>
      <c r="K19" s="12" t="s">
        <v>28</v>
      </c>
      <c r="L19" s="12" t="s">
        <v>29</v>
      </c>
      <c r="M19" s="12" t="s">
        <v>30</v>
      </c>
      <c r="N19" s="12" t="s">
        <v>31</v>
      </c>
      <c r="O19" s="12" t="s">
        <v>32</v>
      </c>
      <c r="P19" s="12" t="s">
        <v>33</v>
      </c>
      <c r="Q19" s="12" t="s">
        <v>34</v>
      </c>
      <c r="R19" s="12" t="s">
        <v>35</v>
      </c>
      <c r="S19" s="12" t="s">
        <v>36</v>
      </c>
      <c r="T19" s="12" t="s">
        <v>37</v>
      </c>
      <c r="U19" s="12" t="s">
        <v>38</v>
      </c>
      <c r="V19" s="12" t="s">
        <v>39</v>
      </c>
      <c r="W19" s="12" t="s">
        <v>40</v>
      </c>
      <c r="X19" s="12" t="s">
        <v>41</v>
      </c>
      <c r="Y19" s="12" t="s">
        <v>54</v>
      </c>
      <c r="Z19" s="12" t="s">
        <v>55</v>
      </c>
      <c r="AA19" s="12" t="s">
        <v>71</v>
      </c>
      <c r="AB19" s="12" t="s">
        <v>72</v>
      </c>
      <c r="AC19" s="12" t="s">
        <v>73</v>
      </c>
      <c r="AD19" s="12" t="s">
        <v>74</v>
      </c>
      <c r="AE19" s="12" t="s">
        <v>75</v>
      </c>
      <c r="AF19" s="12" t="s">
        <v>76</v>
      </c>
      <c r="AG19" s="12" t="s">
        <v>77</v>
      </c>
      <c r="AH19" s="12" t="s">
        <v>78</v>
      </c>
      <c r="AI19" s="12" t="s">
        <v>79</v>
      </c>
      <c r="AJ19" s="12" t="s">
        <v>80</v>
      </c>
      <c r="AK19" s="12" t="s">
        <v>81</v>
      </c>
      <c r="AL19" s="12" t="s">
        <v>180</v>
      </c>
      <c r="AM19" s="12" t="s">
        <v>181</v>
      </c>
      <c r="AN19" s="12" t="s">
        <v>191</v>
      </c>
      <c r="AO19" s="12" t="s">
        <v>192</v>
      </c>
      <c r="AP19" s="12" t="s">
        <v>193</v>
      </c>
      <c r="AQ19" s="12" t="s">
        <v>194</v>
      </c>
      <c r="AR19" s="12" t="s">
        <v>195</v>
      </c>
      <c r="AS19" s="12" t="s">
        <v>196</v>
      </c>
      <c r="AT19" s="12" t="s">
        <v>197</v>
      </c>
      <c r="AU19" s="12" t="s">
        <v>198</v>
      </c>
      <c r="AV19" s="12" t="s">
        <v>199</v>
      </c>
      <c r="AW19" s="12" t="s">
        <v>200</v>
      </c>
      <c r="AX19" s="12" t="s">
        <v>201</v>
      </c>
      <c r="AY19" s="12"/>
      <c r="AZ19" s="12"/>
    </row>
    <row r="20" spans="2:52" x14ac:dyDescent="0.25"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2:52" ht="15.75" thickBot="1" x14ac:dyDescent="0.3">
      <c r="B21" s="14" t="s">
        <v>42</v>
      </c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2:52" x14ac:dyDescent="0.25">
      <c r="B22" t="s">
        <v>83</v>
      </c>
      <c r="C22" t="s">
        <v>43</v>
      </c>
      <c r="E22" s="11">
        <v>17.04</v>
      </c>
      <c r="F22">
        <v>15.74</v>
      </c>
      <c r="G22" s="11">
        <v>16.2</v>
      </c>
      <c r="H22" s="11">
        <v>21.18</v>
      </c>
      <c r="I22">
        <v>25.16</v>
      </c>
      <c r="J22">
        <v>24.18</v>
      </c>
      <c r="K22" s="56">
        <f>AVERAGE(L22:AW22)</f>
        <v>24.789473684210527</v>
      </c>
      <c r="L22" s="13">
        <v>22</v>
      </c>
      <c r="M22" s="13">
        <v>22</v>
      </c>
      <c r="N22" s="13">
        <v>23</v>
      </c>
      <c r="O22" s="13">
        <v>25</v>
      </c>
      <c r="P22" s="13">
        <f>O22</f>
        <v>25</v>
      </c>
      <c r="Q22" s="13">
        <f t="shared" ref="Q22:AL25" si="2">P22</f>
        <v>25</v>
      </c>
      <c r="R22" s="13">
        <f t="shared" si="2"/>
        <v>25</v>
      </c>
      <c r="S22" s="13">
        <f t="shared" si="2"/>
        <v>25</v>
      </c>
      <c r="T22" s="13">
        <f t="shared" si="2"/>
        <v>25</v>
      </c>
      <c r="U22" s="13">
        <f t="shared" si="2"/>
        <v>25</v>
      </c>
      <c r="V22" s="13">
        <f t="shared" si="2"/>
        <v>25</v>
      </c>
      <c r="W22" s="13">
        <f t="shared" si="2"/>
        <v>25</v>
      </c>
      <c r="X22" s="13">
        <f t="shared" si="2"/>
        <v>25</v>
      </c>
      <c r="Y22" s="13">
        <f t="shared" si="2"/>
        <v>25</v>
      </c>
      <c r="Z22" s="13">
        <f t="shared" si="2"/>
        <v>25</v>
      </c>
      <c r="AA22" s="13">
        <f t="shared" si="2"/>
        <v>25</v>
      </c>
      <c r="AB22" s="13">
        <f t="shared" si="2"/>
        <v>25</v>
      </c>
      <c r="AC22" s="13">
        <f t="shared" si="2"/>
        <v>25</v>
      </c>
      <c r="AD22" s="13">
        <f t="shared" si="2"/>
        <v>25</v>
      </c>
      <c r="AE22" s="13">
        <f t="shared" si="2"/>
        <v>25</v>
      </c>
      <c r="AF22" s="13">
        <f t="shared" si="2"/>
        <v>25</v>
      </c>
      <c r="AG22" s="13">
        <f t="shared" si="2"/>
        <v>25</v>
      </c>
      <c r="AH22" s="13">
        <f t="shared" si="2"/>
        <v>25</v>
      </c>
      <c r="AI22" s="13">
        <f t="shared" si="2"/>
        <v>25</v>
      </c>
      <c r="AJ22" s="13">
        <f t="shared" si="2"/>
        <v>25</v>
      </c>
      <c r="AK22" s="13">
        <f t="shared" si="2"/>
        <v>25</v>
      </c>
      <c r="AL22" s="13">
        <f t="shared" si="2"/>
        <v>25</v>
      </c>
      <c r="AM22" s="13">
        <f t="shared" ref="AM22:AM25" si="3">AL22</f>
        <v>25</v>
      </c>
      <c r="AN22" s="13">
        <f t="shared" ref="AN22:AN25" si="4">AM22</f>
        <v>25</v>
      </c>
      <c r="AO22" s="13">
        <f t="shared" ref="AO22:AO25" si="5">AN22</f>
        <v>25</v>
      </c>
      <c r="AP22" s="13">
        <f t="shared" ref="AP22:AP25" si="6">AO22</f>
        <v>25</v>
      </c>
      <c r="AQ22" s="13">
        <f t="shared" ref="AQ22:AQ25" si="7">AP22</f>
        <v>25</v>
      </c>
      <c r="AR22" s="13">
        <f t="shared" ref="AR22:AR25" si="8">AQ22</f>
        <v>25</v>
      </c>
      <c r="AS22" s="13">
        <f t="shared" ref="AS22:AS25" si="9">AR22</f>
        <v>25</v>
      </c>
      <c r="AT22" s="13">
        <f t="shared" ref="AT22:AT25" si="10">AS22</f>
        <v>25</v>
      </c>
      <c r="AU22" s="13">
        <f t="shared" ref="AU22:AU25" si="11">AT22</f>
        <v>25</v>
      </c>
      <c r="AV22" s="13">
        <f t="shared" ref="AV22:AV25" si="12">AU22</f>
        <v>25</v>
      </c>
      <c r="AW22" s="13">
        <f t="shared" ref="AW22:AW25" si="13">AV22</f>
        <v>25</v>
      </c>
      <c r="AX22" s="13"/>
    </row>
    <row r="23" spans="2:52" x14ac:dyDescent="0.25">
      <c r="B23" t="s">
        <v>188</v>
      </c>
      <c r="C23" t="s">
        <v>43</v>
      </c>
      <c r="E23" s="6">
        <v>1257</v>
      </c>
      <c r="F23" s="6">
        <v>1273</v>
      </c>
      <c r="G23" s="6">
        <v>1393</v>
      </c>
      <c r="H23" s="6">
        <v>1805</v>
      </c>
      <c r="I23" s="6">
        <v>1789</v>
      </c>
      <c r="J23" s="6">
        <v>1884</v>
      </c>
      <c r="K23" s="15">
        <f t="shared" ref="K23:K25" si="14">AVERAGE(L23:AW23)</f>
        <v>1757.1052631578948</v>
      </c>
      <c r="L23" s="16">
        <v>1870</v>
      </c>
      <c r="M23" s="16">
        <v>1850</v>
      </c>
      <c r="N23" s="16">
        <v>1800</v>
      </c>
      <c r="O23" s="16">
        <v>1750</v>
      </c>
      <c r="P23" s="16">
        <f>O23</f>
        <v>1750</v>
      </c>
      <c r="Q23" s="16">
        <f t="shared" si="2"/>
        <v>1750</v>
      </c>
      <c r="R23" s="16">
        <f t="shared" si="2"/>
        <v>1750</v>
      </c>
      <c r="S23" s="16">
        <f t="shared" si="2"/>
        <v>1750</v>
      </c>
      <c r="T23" s="16">
        <f t="shared" si="2"/>
        <v>1750</v>
      </c>
      <c r="U23" s="16">
        <f t="shared" si="2"/>
        <v>1750</v>
      </c>
      <c r="V23" s="16">
        <f t="shared" si="2"/>
        <v>1750</v>
      </c>
      <c r="W23" s="16">
        <f t="shared" si="2"/>
        <v>1750</v>
      </c>
      <c r="X23" s="16">
        <f t="shared" si="2"/>
        <v>1750</v>
      </c>
      <c r="Y23" s="16">
        <f t="shared" si="2"/>
        <v>1750</v>
      </c>
      <c r="Z23" s="16">
        <f t="shared" si="2"/>
        <v>1750</v>
      </c>
      <c r="AA23" s="16">
        <f t="shared" si="2"/>
        <v>1750</v>
      </c>
      <c r="AB23" s="16">
        <f t="shared" si="2"/>
        <v>1750</v>
      </c>
      <c r="AC23" s="16">
        <f t="shared" si="2"/>
        <v>1750</v>
      </c>
      <c r="AD23" s="16">
        <f t="shared" si="2"/>
        <v>1750</v>
      </c>
      <c r="AE23" s="16">
        <f t="shared" si="2"/>
        <v>1750</v>
      </c>
      <c r="AF23" s="16">
        <f t="shared" si="2"/>
        <v>1750</v>
      </c>
      <c r="AG23" s="16">
        <f t="shared" si="2"/>
        <v>1750</v>
      </c>
      <c r="AH23" s="16">
        <f t="shared" si="2"/>
        <v>1750</v>
      </c>
      <c r="AI23" s="16">
        <f t="shared" si="2"/>
        <v>1750</v>
      </c>
      <c r="AJ23" s="16">
        <f t="shared" si="2"/>
        <v>1750</v>
      </c>
      <c r="AK23" s="16">
        <f t="shared" si="2"/>
        <v>1750</v>
      </c>
      <c r="AL23" s="16">
        <f t="shared" si="2"/>
        <v>1750</v>
      </c>
      <c r="AM23" s="16">
        <f t="shared" si="3"/>
        <v>1750</v>
      </c>
      <c r="AN23" s="16">
        <f t="shared" si="4"/>
        <v>1750</v>
      </c>
      <c r="AO23" s="16">
        <f t="shared" si="5"/>
        <v>1750</v>
      </c>
      <c r="AP23" s="16">
        <f t="shared" si="6"/>
        <v>1750</v>
      </c>
      <c r="AQ23" s="16">
        <f t="shared" si="7"/>
        <v>1750</v>
      </c>
      <c r="AR23" s="16">
        <f t="shared" si="8"/>
        <v>1750</v>
      </c>
      <c r="AS23" s="16">
        <f t="shared" si="9"/>
        <v>1750</v>
      </c>
      <c r="AT23" s="16">
        <f t="shared" si="10"/>
        <v>1750</v>
      </c>
      <c r="AU23" s="16">
        <f t="shared" si="11"/>
        <v>1750</v>
      </c>
      <c r="AV23" s="16">
        <f t="shared" si="12"/>
        <v>1750</v>
      </c>
      <c r="AW23" s="16">
        <f t="shared" si="13"/>
        <v>1750</v>
      </c>
      <c r="AX23" s="13"/>
    </row>
    <row r="24" spans="2:52" x14ac:dyDescent="0.25">
      <c r="B24" t="s">
        <v>189</v>
      </c>
      <c r="C24" t="s">
        <v>49</v>
      </c>
      <c r="E24">
        <v>1.05</v>
      </c>
      <c r="F24">
        <v>1.02</v>
      </c>
      <c r="G24">
        <v>0.91</v>
      </c>
      <c r="H24">
        <v>0.83</v>
      </c>
      <c r="I24" s="11">
        <v>1</v>
      </c>
      <c r="J24">
        <v>1.06</v>
      </c>
      <c r="K24" s="56">
        <f t="shared" si="14"/>
        <v>0.90131578947368363</v>
      </c>
      <c r="L24" s="13">
        <v>0.95</v>
      </c>
      <c r="M24" s="24">
        <v>0.9</v>
      </c>
      <c r="N24" s="24">
        <f>M24</f>
        <v>0.9</v>
      </c>
      <c r="O24" s="24">
        <f t="shared" ref="O24:Y25" si="15">N24</f>
        <v>0.9</v>
      </c>
      <c r="P24" s="24">
        <f t="shared" si="15"/>
        <v>0.9</v>
      </c>
      <c r="Q24" s="24">
        <f t="shared" si="15"/>
        <v>0.9</v>
      </c>
      <c r="R24" s="24">
        <f t="shared" si="15"/>
        <v>0.9</v>
      </c>
      <c r="S24" s="24">
        <f t="shared" si="15"/>
        <v>0.9</v>
      </c>
      <c r="T24" s="24">
        <f t="shared" si="15"/>
        <v>0.9</v>
      </c>
      <c r="U24" s="24">
        <f t="shared" si="15"/>
        <v>0.9</v>
      </c>
      <c r="V24" s="24">
        <f t="shared" si="15"/>
        <v>0.9</v>
      </c>
      <c r="W24" s="24">
        <f t="shared" si="15"/>
        <v>0.9</v>
      </c>
      <c r="X24" s="24">
        <f t="shared" si="15"/>
        <v>0.9</v>
      </c>
      <c r="Y24" s="24">
        <f t="shared" si="15"/>
        <v>0.9</v>
      </c>
      <c r="Z24" s="24">
        <f t="shared" si="2"/>
        <v>0.9</v>
      </c>
      <c r="AA24" s="24">
        <f t="shared" si="2"/>
        <v>0.9</v>
      </c>
      <c r="AB24" s="24">
        <f t="shared" si="2"/>
        <v>0.9</v>
      </c>
      <c r="AC24" s="24">
        <f t="shared" si="2"/>
        <v>0.9</v>
      </c>
      <c r="AD24" s="24">
        <f t="shared" si="2"/>
        <v>0.9</v>
      </c>
      <c r="AE24" s="24">
        <f t="shared" si="2"/>
        <v>0.9</v>
      </c>
      <c r="AF24" s="24">
        <f t="shared" si="2"/>
        <v>0.9</v>
      </c>
      <c r="AG24" s="24">
        <f t="shared" si="2"/>
        <v>0.9</v>
      </c>
      <c r="AH24" s="24">
        <f t="shared" si="2"/>
        <v>0.9</v>
      </c>
      <c r="AI24" s="24">
        <f t="shared" si="2"/>
        <v>0.9</v>
      </c>
      <c r="AJ24" s="24">
        <f t="shared" si="2"/>
        <v>0.9</v>
      </c>
      <c r="AK24" s="24">
        <f t="shared" si="2"/>
        <v>0.9</v>
      </c>
      <c r="AL24" s="24">
        <f t="shared" si="2"/>
        <v>0.9</v>
      </c>
      <c r="AM24" s="24">
        <f t="shared" si="3"/>
        <v>0.9</v>
      </c>
      <c r="AN24" s="24">
        <f t="shared" si="4"/>
        <v>0.9</v>
      </c>
      <c r="AO24" s="24">
        <f t="shared" si="5"/>
        <v>0.9</v>
      </c>
      <c r="AP24" s="24">
        <f t="shared" si="6"/>
        <v>0.9</v>
      </c>
      <c r="AQ24" s="24">
        <f t="shared" si="7"/>
        <v>0.9</v>
      </c>
      <c r="AR24" s="24">
        <f t="shared" si="8"/>
        <v>0.9</v>
      </c>
      <c r="AS24" s="24">
        <f t="shared" si="9"/>
        <v>0.9</v>
      </c>
      <c r="AT24" s="24">
        <f t="shared" si="10"/>
        <v>0.9</v>
      </c>
      <c r="AU24" s="24">
        <f t="shared" si="11"/>
        <v>0.9</v>
      </c>
      <c r="AV24" s="24">
        <f t="shared" si="12"/>
        <v>0.9</v>
      </c>
      <c r="AW24" s="24">
        <f t="shared" si="13"/>
        <v>0.9</v>
      </c>
      <c r="AX24" s="13"/>
    </row>
    <row r="25" spans="2:52" x14ac:dyDescent="0.25">
      <c r="B25" t="s">
        <v>190</v>
      </c>
      <c r="C25" t="s">
        <v>49</v>
      </c>
      <c r="E25">
        <v>1.32</v>
      </c>
      <c r="F25">
        <v>1.32</v>
      </c>
      <c r="G25">
        <v>1.1499999999999999</v>
      </c>
      <c r="H25">
        <v>1.03</v>
      </c>
      <c r="I25">
        <v>1.36</v>
      </c>
      <c r="J25">
        <v>1.69</v>
      </c>
      <c r="K25" s="56">
        <f t="shared" si="14"/>
        <v>1.1289473684210534</v>
      </c>
      <c r="L25" s="24">
        <v>1.7</v>
      </c>
      <c r="M25" s="13">
        <v>1.45</v>
      </c>
      <c r="N25" s="13">
        <v>1.25</v>
      </c>
      <c r="O25" s="24">
        <v>1.1000000000000001</v>
      </c>
      <c r="P25" s="24">
        <f>O25</f>
        <v>1.1000000000000001</v>
      </c>
      <c r="Q25" s="24">
        <f t="shared" si="15"/>
        <v>1.1000000000000001</v>
      </c>
      <c r="R25" s="24">
        <f t="shared" si="15"/>
        <v>1.1000000000000001</v>
      </c>
      <c r="S25" s="24">
        <f t="shared" si="15"/>
        <v>1.1000000000000001</v>
      </c>
      <c r="T25" s="24">
        <f t="shared" si="15"/>
        <v>1.1000000000000001</v>
      </c>
      <c r="U25" s="24">
        <f t="shared" si="15"/>
        <v>1.1000000000000001</v>
      </c>
      <c r="V25" s="24">
        <f t="shared" si="15"/>
        <v>1.1000000000000001</v>
      </c>
      <c r="W25" s="24">
        <f t="shared" si="15"/>
        <v>1.1000000000000001</v>
      </c>
      <c r="X25" s="24">
        <f t="shared" si="15"/>
        <v>1.1000000000000001</v>
      </c>
      <c r="Y25" s="24">
        <f t="shared" si="15"/>
        <v>1.1000000000000001</v>
      </c>
      <c r="Z25" s="24">
        <f t="shared" si="2"/>
        <v>1.1000000000000001</v>
      </c>
      <c r="AA25" s="24">
        <f t="shared" si="2"/>
        <v>1.1000000000000001</v>
      </c>
      <c r="AB25" s="24">
        <f t="shared" si="2"/>
        <v>1.1000000000000001</v>
      </c>
      <c r="AC25" s="24">
        <f t="shared" si="2"/>
        <v>1.1000000000000001</v>
      </c>
      <c r="AD25" s="24">
        <f t="shared" si="2"/>
        <v>1.1000000000000001</v>
      </c>
      <c r="AE25" s="24">
        <f t="shared" si="2"/>
        <v>1.1000000000000001</v>
      </c>
      <c r="AF25" s="24">
        <f t="shared" si="2"/>
        <v>1.1000000000000001</v>
      </c>
      <c r="AG25" s="24">
        <f t="shared" si="2"/>
        <v>1.1000000000000001</v>
      </c>
      <c r="AH25" s="24">
        <f t="shared" si="2"/>
        <v>1.1000000000000001</v>
      </c>
      <c r="AI25" s="24">
        <f t="shared" si="2"/>
        <v>1.1000000000000001</v>
      </c>
      <c r="AJ25" s="24">
        <f t="shared" si="2"/>
        <v>1.1000000000000001</v>
      </c>
      <c r="AK25" s="24">
        <f t="shared" si="2"/>
        <v>1.1000000000000001</v>
      </c>
      <c r="AL25" s="24">
        <f t="shared" si="2"/>
        <v>1.1000000000000001</v>
      </c>
      <c r="AM25" s="24">
        <f t="shared" si="3"/>
        <v>1.1000000000000001</v>
      </c>
      <c r="AN25" s="24">
        <f t="shared" si="4"/>
        <v>1.1000000000000001</v>
      </c>
      <c r="AO25" s="24">
        <f t="shared" si="5"/>
        <v>1.1000000000000001</v>
      </c>
      <c r="AP25" s="24">
        <f t="shared" si="6"/>
        <v>1.1000000000000001</v>
      </c>
      <c r="AQ25" s="24">
        <f t="shared" si="7"/>
        <v>1.1000000000000001</v>
      </c>
      <c r="AR25" s="24">
        <f t="shared" si="8"/>
        <v>1.1000000000000001</v>
      </c>
      <c r="AS25" s="24">
        <f t="shared" si="9"/>
        <v>1.1000000000000001</v>
      </c>
      <c r="AT25" s="24">
        <f t="shared" si="10"/>
        <v>1.1000000000000001</v>
      </c>
      <c r="AU25" s="24">
        <f t="shared" si="11"/>
        <v>1.1000000000000001</v>
      </c>
      <c r="AV25" s="24">
        <f t="shared" si="12"/>
        <v>1.1000000000000001</v>
      </c>
      <c r="AW25" s="24">
        <f t="shared" si="13"/>
        <v>1.1000000000000001</v>
      </c>
      <c r="AX25" s="13"/>
    </row>
    <row r="26" spans="2:52" x14ac:dyDescent="0.25"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2:52" ht="15.75" thickBot="1" x14ac:dyDescent="0.3">
      <c r="B27" s="14" t="s">
        <v>237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2:52" x14ac:dyDescent="0.25">
      <c r="B28" t="s">
        <v>238</v>
      </c>
      <c r="C28" t="s">
        <v>70</v>
      </c>
      <c r="K28" s="13"/>
      <c r="L28" s="43">
        <f>('DCF Caylloma'!L20+'DCF Caylloma'!L21+'DCF San Jose'!L18+'DCF San Jose'!L19+'DCF Lindero'!L17+'DCF Lindero'!L18+'DCF Yaramoko'!L17+'DCF Yaramoko'!L18+'DCF Seguela'!H15)/($C$9+$C$15)</f>
        <v>1</v>
      </c>
      <c r="M28" s="43">
        <f>('DCF Caylloma'!M20+'DCF Caylloma'!M21+'DCF San Jose'!M18+'DCF San Jose'!M19+'DCF Lindero'!M17+'DCF Lindero'!M18+'DCF Yaramoko'!M17+'DCF Yaramoko'!M18+'DCF Seguela'!I15)/($C$9+$C$15)</f>
        <v>0.97917397123692074</v>
      </c>
      <c r="N28" s="43">
        <f>('DCF Caylloma'!N20+'DCF Caylloma'!N21+'DCF San Jose'!N18+'DCF San Jose'!N19+'DCF Lindero'!N17+'DCF Lindero'!N18+'DCF Yaramoko'!N17+'DCF Yaramoko'!N18+'DCF Seguela'!J15)/($C$9+$C$15)</f>
        <v>0.95834794247384159</v>
      </c>
      <c r="O28" s="43">
        <f>('DCF Caylloma'!O20+'DCF Caylloma'!O21+'DCF San Jose'!O18+'DCF San Jose'!O19+'DCF Lindero'!O17+'DCF Lindero'!O18+'DCF Yaramoko'!O17+'DCF Yaramoko'!O18+'DCF Seguela'!K15)/($C$9+$C$15)</f>
        <v>0.93934829729790958</v>
      </c>
      <c r="P28" s="43">
        <f>('DCF Caylloma'!P20+'DCF Caylloma'!P21+'DCF San Jose'!P18+'DCF San Jose'!P19+'DCF Lindero'!P17+'DCF Lindero'!P18+'DCF Yaramoko'!P17+'DCF Yaramoko'!P18+'DCF Seguela'!L15)/($C$9+$C$15)</f>
        <v>0.91997187218354504</v>
      </c>
      <c r="Q28" s="43">
        <f>('DCF Caylloma'!Q20+'DCF Caylloma'!Q21+'DCF San Jose'!Q18+'DCF San Jose'!Q19+'DCF Lindero'!Q17+'DCF Lindero'!Q18+'DCF Yaramoko'!Q17+'DCF Yaramoko'!Q18+'DCF Seguela'!M15)/($C$9+$C$15)</f>
        <v>0.86076612877854253</v>
      </c>
      <c r="R28" s="43">
        <f>('DCF Caylloma'!R20+'DCF Caylloma'!R21+'DCF San Jose'!R18+'DCF San Jose'!R19+'DCF Lindero'!R17+'DCF Lindero'!R18+'DCF Yaramoko'!R17+'DCF Yaramoko'!R18+'DCF Seguela'!N15)/($C$9+$C$15)</f>
        <v>0.77188691370011187</v>
      </c>
      <c r="S28" s="43">
        <f>('DCF Caylloma'!S20+'DCF Caylloma'!S21+'DCF San Jose'!S18+'DCF San Jose'!S19+'DCF Lindero'!S17+'DCF Lindero'!S18+'DCF Yaramoko'!S17+'DCF Yaramoko'!S18+'DCF Seguela'!O15)/($C$9+$C$15)</f>
        <v>0.6914179940437325</v>
      </c>
      <c r="T28" s="43">
        <f>('DCF Caylloma'!T20+'DCF Caylloma'!T21+'DCF San Jose'!T18+'DCF San Jose'!T19+'DCF Lindero'!T17+'DCF Lindero'!T18+'DCF Yaramoko'!T17+'DCF Yaramoko'!T18+'DCF Seguela'!P15)/($C$9+$C$15)</f>
        <v>0.61227137685983168</v>
      </c>
      <c r="U28" s="43">
        <f>('DCF Caylloma'!U20+'DCF Caylloma'!U21+'DCF San Jose'!U18+'DCF San Jose'!U19+'DCF Lindero'!U17+'DCF Lindero'!U18+'DCF Yaramoko'!U17+'DCF Yaramoko'!U18+'DCF Seguela'!Q15)/($C$9+$C$15)</f>
        <v>0.5338139449777255</v>
      </c>
      <c r="V28" s="43">
        <f>('DCF Caylloma'!V20+'DCF Caylloma'!V21+'DCF San Jose'!V18+'DCF San Jose'!V19+'DCF Lindero'!V17+'DCF Lindero'!V18+'DCF Yaramoko'!V17+'DCF Yaramoko'!V18+'DCF Seguela'!R15)/($C$9+$C$15)</f>
        <v>0.46309067748432858</v>
      </c>
      <c r="W28" s="43">
        <f>('DCF Caylloma'!W20+'DCF Caylloma'!W21+'DCF San Jose'!W18+'DCF San Jose'!W19+'DCF Lindero'!W17+'DCF Lindero'!W18+'DCF Yaramoko'!W17+'DCF Yaramoko'!W18+'DCF Seguela'!S15)/($C$9+$C$15)</f>
        <v>0.39191335883692746</v>
      </c>
      <c r="X28" s="43">
        <f>('DCF Caylloma'!X20+'DCF Caylloma'!X21+'DCF San Jose'!X18+'DCF San Jose'!X19+'DCF Lindero'!X17+'DCF Lindero'!X18+'DCF Yaramoko'!X17+'DCF Yaramoko'!X18+'DCF Seguela'!T15)/($C$9+$C$15)</f>
        <v>0.31823561465068739</v>
      </c>
      <c r="Y28" s="43">
        <f>('DCF Caylloma'!Y20+'DCF Caylloma'!Y21+'DCF San Jose'!Y18+'DCF San Jose'!Y19+'DCF Lindero'!Y17+'DCF Lindero'!Y18+'DCF Yaramoko'!Y17+'DCF Yaramoko'!Y18+'DCF Seguela'!U15)/($C$9+$C$15)</f>
        <v>0.24596669231655433</v>
      </c>
      <c r="Z28" s="43">
        <f>('DCF Caylloma'!Z20+'DCF Caylloma'!Z21+'DCF San Jose'!Z18+'DCF San Jose'!Z19+'DCF Lindero'!Z17+'DCF Lindero'!Z18+'DCF Yaramoko'!Z17+'DCF Yaramoko'!Z18+'DCF Seguela'!V15)/($C$9+$C$15)</f>
        <v>0.17807039847341183</v>
      </c>
      <c r="AA28" s="43">
        <f>('DCF Caylloma'!AA20+'DCF Caylloma'!AA21+'DCF San Jose'!AA18+'DCF San Jose'!AA19+'DCF Lindero'!AA17+'DCF Lindero'!AA18+'DCF Yaramoko'!AA17+'DCF Yaramoko'!AA18+'DCF Seguela'!W15)/($C$9+$C$15)</f>
        <v>0.11904066957066835</v>
      </c>
      <c r="AB28" s="43">
        <f>('DCF Caylloma'!AB20+'DCF Caylloma'!AB21+'DCF San Jose'!AB18+'DCF San Jose'!AB19+'DCF Lindero'!AB17+'DCF Lindero'!AB18+'DCF Yaramoko'!AB17+'DCF Yaramoko'!AB18+'DCF Seguela'!X15)/($C$9+$C$15)</f>
        <v>6.0010940667924867E-2</v>
      </c>
      <c r="AC28" s="43">
        <f>('DCF Caylloma'!AC20+'DCF Caylloma'!AC21+'DCF San Jose'!AC18+'DCF San Jose'!AC19+'DCF Lindero'!AC17+'DCF Lindero'!AC18+'DCF Yaramoko'!AC17+'DCF Yaramoko'!AC18+'DCF Seguela'!Y15)/($C$9+$C$15)</f>
        <v>9.8121176518138034E-4</v>
      </c>
      <c r="AD28" s="43">
        <f>('DCF Caylloma'!AD20+'DCF Caylloma'!AD21+'DCF San Jose'!AD18+'DCF San Jose'!AD19+'DCF Lindero'!AD17+'DCF Lindero'!AD18+'DCF Yaramoko'!AD17+'DCF Yaramoko'!AD18+'DCF Seguela'!Z15)/($C$9+$C$15)</f>
        <v>0</v>
      </c>
      <c r="AE28" s="43">
        <f>('DCF Caylloma'!AE20+'DCF Caylloma'!AE21+'DCF San Jose'!AE18+'DCF San Jose'!AE19+'DCF Lindero'!AE17+'DCF Lindero'!AE18+'DCF Yaramoko'!AE17+'DCF Yaramoko'!AE18+'DCF Seguela'!AA15)/($C$9+$C$15)</f>
        <v>0</v>
      </c>
      <c r="AF28" s="43">
        <f>('DCF Caylloma'!AF20+'DCF Caylloma'!AF21+'DCF San Jose'!AF18+'DCF San Jose'!AF19+'DCF Lindero'!AF17+'DCF Lindero'!AF18+'DCF Yaramoko'!AF17+'DCF Yaramoko'!AF18+'DCF Seguela'!AB15)/($C$9+$C$15)</f>
        <v>0</v>
      </c>
      <c r="AG28" s="43">
        <f>('DCF Caylloma'!AG20+'DCF Caylloma'!AG21+'DCF San Jose'!AG18+'DCF San Jose'!AG19+'DCF Lindero'!AG17+'DCF Lindero'!AG18+'DCF Yaramoko'!AG17+'DCF Yaramoko'!AG18+'DCF Seguela'!AC15)/($C$9+$C$15)</f>
        <v>0</v>
      </c>
      <c r="AH28" s="43">
        <f>('DCF Caylloma'!AH20+'DCF Caylloma'!AH21+'DCF San Jose'!AH18+'DCF San Jose'!AH19+'DCF Lindero'!AH17+'DCF Lindero'!AH18+'DCF Yaramoko'!AH17+'DCF Yaramoko'!AH18+'DCF Seguela'!AD15)/($C$9+$C$15)</f>
        <v>0</v>
      </c>
      <c r="AI28" s="43">
        <f>('DCF Caylloma'!AI20+'DCF Caylloma'!AI21+'DCF San Jose'!AI18+'DCF San Jose'!AI19+'DCF Lindero'!AI17+'DCF Lindero'!AI18+'DCF Yaramoko'!AI17+'DCF Yaramoko'!AI18+'DCF Seguela'!AE15)/($C$9+$C$15)</f>
        <v>0</v>
      </c>
      <c r="AJ28" s="43">
        <f>('DCF Caylloma'!AJ20+'DCF Caylloma'!AJ21+'DCF San Jose'!AJ18+'DCF San Jose'!AJ19+'DCF Lindero'!AJ17+'DCF Lindero'!AJ18+'DCF Yaramoko'!AJ17+'DCF Yaramoko'!AJ18+'DCF Seguela'!AF15)/($C$9+$C$15)</f>
        <v>0</v>
      </c>
      <c r="AK28" s="43">
        <f>('DCF Caylloma'!AK20+'DCF Caylloma'!AK21+'DCF San Jose'!AK18+'DCF San Jose'!AK19+'DCF Lindero'!AK17+'DCF Lindero'!AK18+'DCF Yaramoko'!AK17+'DCF Yaramoko'!AK18+'DCF Seguela'!AG15)/($C$9+$C$15)</f>
        <v>0</v>
      </c>
      <c r="AL28" s="43">
        <f>('DCF Caylloma'!AL20+'DCF Caylloma'!AL21+'DCF San Jose'!AL18+'DCF San Jose'!AL19+'DCF Lindero'!AL17+'DCF Lindero'!AL18+'DCF Yaramoko'!AL17+'DCF Yaramoko'!AL18+'DCF Seguela'!AH15)/($C$9+$C$15)</f>
        <v>0</v>
      </c>
      <c r="AM28" s="43">
        <f>('DCF Caylloma'!AM20+'DCF Caylloma'!AM21+'DCF San Jose'!AM18+'DCF San Jose'!AM19+'DCF Lindero'!AM17+'DCF Lindero'!AM18+'DCF Yaramoko'!AM17+'DCF Yaramoko'!AM18+'DCF Seguela'!AI15)/($C$9+$C$15)</f>
        <v>0</v>
      </c>
      <c r="AN28" s="43">
        <f>('DCF Caylloma'!AN20+'DCF Caylloma'!AN21+'DCF San Jose'!AN18+'DCF San Jose'!AN19+'DCF Lindero'!AN17+'DCF Lindero'!AN18+'DCF Yaramoko'!AN17+'DCF Yaramoko'!AN18+'DCF Seguela'!AJ15)/($C$9+$C$15)</f>
        <v>0</v>
      </c>
      <c r="AO28" s="43">
        <f>('DCF Caylloma'!AO20+'DCF Caylloma'!AO21+'DCF San Jose'!AO18+'DCF San Jose'!AO19+'DCF Lindero'!AO17+'DCF Lindero'!AO18+'DCF Yaramoko'!AO17+'DCF Yaramoko'!AO18+'DCF Seguela'!AK15)/($C$9+$C$15)</f>
        <v>0</v>
      </c>
      <c r="AP28" s="43">
        <f>('DCF Caylloma'!AP20+'DCF Caylloma'!AP21+'DCF San Jose'!AP18+'DCF San Jose'!AP19+'DCF Lindero'!AP17+'DCF Lindero'!AP18+'DCF Yaramoko'!AP17+'DCF Yaramoko'!AP18+'DCF Seguela'!AL15)/($C$9+$C$15)</f>
        <v>0</v>
      </c>
      <c r="AQ28" s="43">
        <f>('DCF Caylloma'!AQ20+'DCF Caylloma'!AQ21+'DCF San Jose'!AQ18+'DCF San Jose'!AQ19+'DCF Lindero'!AQ17+'DCF Lindero'!AQ18+'DCF Yaramoko'!AQ17+'DCF Yaramoko'!AQ18+'DCF Seguela'!AM15)/($C$9+$C$15)</f>
        <v>0</v>
      </c>
      <c r="AR28" s="43">
        <f>('DCF Caylloma'!AR20+'DCF Caylloma'!AR21+'DCF San Jose'!AR18+'DCF San Jose'!AR19+'DCF Lindero'!AR17+'DCF Lindero'!AR18+'DCF Yaramoko'!AR17+'DCF Yaramoko'!AR18+'DCF Seguela'!AN15)/($C$9+$C$15)</f>
        <v>0</v>
      </c>
      <c r="AS28" s="43">
        <f>('DCF Caylloma'!AS20+'DCF Caylloma'!AS21+'DCF San Jose'!AS18+'DCF San Jose'!AS19+'DCF Lindero'!AS17+'DCF Lindero'!AS18+'DCF Yaramoko'!AS17+'DCF Yaramoko'!AS18+'DCF Seguela'!AO15)/($C$9+$C$15)</f>
        <v>0</v>
      </c>
      <c r="AT28" s="43">
        <f>('DCF Caylloma'!AT20+'DCF Caylloma'!AT21+'DCF San Jose'!AT18+'DCF San Jose'!AT19+'DCF Lindero'!AT17+'DCF Lindero'!AT18+'DCF Yaramoko'!AT17+'DCF Yaramoko'!AT18+'DCF Seguela'!AP15)/($C$9+$C$15)</f>
        <v>0</v>
      </c>
      <c r="AU28" s="43">
        <f>('DCF Caylloma'!AU20+'DCF Caylloma'!AU21+'DCF San Jose'!AU18+'DCF San Jose'!AU19+'DCF Lindero'!AU17+'DCF Lindero'!AU18+'DCF Yaramoko'!AU17+'DCF Yaramoko'!AU18+'DCF Seguela'!AQ15)/($C$9+$C$15)</f>
        <v>0</v>
      </c>
      <c r="AV28" s="43">
        <f>('DCF Caylloma'!AV20+'DCF Caylloma'!AV21+'DCF San Jose'!AV18+'DCF San Jose'!AV19+'DCF Lindero'!AV17+'DCF Lindero'!AV18+'DCF Yaramoko'!AV17+'DCF Yaramoko'!AV18+'DCF Seguela'!AR15)/($C$9+$C$15)</f>
        <v>0</v>
      </c>
      <c r="AW28" s="43">
        <f>('DCF Caylloma'!AW20+'DCF Caylloma'!AW21+'DCF San Jose'!AW18+'DCF San Jose'!AW19+'DCF Lindero'!AW17+'DCF Lindero'!AW18+'DCF Yaramoko'!AW17+'DCF Yaramoko'!AW18+'DCF Seguela'!AS15)/($C$9+$C$15)</f>
        <v>0</v>
      </c>
      <c r="AX28" s="13"/>
    </row>
    <row r="29" spans="2:52" x14ac:dyDescent="0.25">
      <c r="B29" t="s">
        <v>239</v>
      </c>
      <c r="C29" t="s">
        <v>70</v>
      </c>
      <c r="K29" s="13"/>
      <c r="L29" s="43">
        <f>('DCF Caylloma'!L24+'DCF Caylloma'!L25+'DCF San Jose'!L22+'DCF San Jose'!L23+'DCF Lindero'!L21+'DCF Lindero'!L22+'DCF Yaramoko'!L21+'DCF Yaramoko'!L22)/($N$9+$H$15)</f>
        <v>0.51636482653283877</v>
      </c>
      <c r="M29" s="43">
        <f>('DCF Caylloma'!M24+'DCF Caylloma'!M25+'DCF San Jose'!M22+'DCF San Jose'!M23+'DCF Lindero'!M21+'DCF Lindero'!M22+'DCF Yaramoko'!M21+'DCF Yaramoko'!M22)/($N$9+$H$15)</f>
        <v>0.51636482653283877</v>
      </c>
      <c r="N29" s="43">
        <f>('DCF Caylloma'!N24+'DCF Caylloma'!N25+'DCF San Jose'!N22+'DCF San Jose'!N23+'DCF Lindero'!N21+'DCF Lindero'!N22+'DCF Yaramoko'!N21+'DCF Yaramoko'!N22)/($N$9+$H$15)</f>
        <v>0.51636482653283877</v>
      </c>
      <c r="O29" s="43">
        <f>('DCF Caylloma'!O24+'DCF Caylloma'!O25+'DCF San Jose'!O22+'DCF San Jose'!O23+'DCF Lindero'!O21+'DCF Lindero'!O22+'DCF Yaramoko'!O21+'DCF Yaramoko'!O22)/($N$9+$H$15)</f>
        <v>0.51636482653283877</v>
      </c>
      <c r="P29" s="43">
        <f>('DCF Caylloma'!P24+'DCF Caylloma'!P25+'DCF San Jose'!P22+'DCF San Jose'!P23+'DCF Lindero'!P21+'DCF Lindero'!P22+'DCF Yaramoko'!P21+'DCF Yaramoko'!P22)/($N$9+$H$15)</f>
        <v>0.51636482653283877</v>
      </c>
      <c r="Q29" s="43">
        <f>('DCF Caylloma'!Q24+'DCF Caylloma'!Q25+'DCF San Jose'!Q22+'DCF San Jose'!Q23+'DCF Lindero'!Q21+'DCF Lindero'!Q22+'DCF Yaramoko'!Q21+'DCF Yaramoko'!Q22)/($N$9+$H$15)</f>
        <v>0.51636482653283877</v>
      </c>
      <c r="R29" s="43">
        <f>('DCF Caylloma'!R24+'DCF Caylloma'!R25+'DCF San Jose'!R22+'DCF San Jose'!R23+'DCF Lindero'!R21+'DCF Lindero'!R22+'DCF Yaramoko'!R21+'DCF Yaramoko'!R22)/($N$9+$H$15)</f>
        <v>0.51225737591542564</v>
      </c>
      <c r="S29" s="43">
        <f>('DCF Caylloma'!S24+'DCF Caylloma'!S25+'DCF San Jose'!S22+'DCF San Jose'!S23+'DCF Lindero'!S21+'DCF Lindero'!S22+'DCF Yaramoko'!S21+'DCF Yaramoko'!S22)/($N$9+$H$15)</f>
        <v>0.50015273838097318</v>
      </c>
      <c r="T29" s="43">
        <f>('DCF Caylloma'!T24+'DCF Caylloma'!T25+'DCF San Jose'!T22+'DCF San Jose'!T23+'DCF Lindero'!T21+'DCF Lindero'!T22+'DCF Yaramoko'!T21+'DCF Yaramoko'!T22)/($N$9+$H$15)</f>
        <v>0.49014473779911266</v>
      </c>
      <c r="U29" s="43">
        <f>('DCF Caylloma'!U24+'DCF Caylloma'!U25+'DCF San Jose'!U22+'DCF San Jose'!U23+'DCF Lindero'!U21+'DCF Lindero'!U22+'DCF Yaramoko'!U21+'DCF Yaramoko'!U22)/($N$9+$H$15)</f>
        <v>0.48970791520620977</v>
      </c>
      <c r="V29" s="43">
        <f>('DCF Caylloma'!V24+'DCF Caylloma'!V25+'DCF San Jose'!V22+'DCF San Jose'!V23+'DCF Lindero'!V21+'DCF Lindero'!V22+'DCF Yaramoko'!V21+'DCF Yaramoko'!V22)/($N$9+$H$15)</f>
        <v>0.47681568415829151</v>
      </c>
      <c r="W29" s="43">
        <f>('DCF Caylloma'!W24+'DCF Caylloma'!W25+'DCF San Jose'!W22+'DCF San Jose'!W23+'DCF Lindero'!W21+'DCF Lindero'!W22+'DCF Yaramoko'!W21+'DCF Yaramoko'!W22)/($N$9+$H$15)</f>
        <v>0.46395867778536753</v>
      </c>
      <c r="X29" s="43">
        <f>('DCF Caylloma'!X24+'DCF Caylloma'!X25+'DCF San Jose'!X22+'DCF San Jose'!X23+'DCF Lindero'!X21+'DCF Lindero'!X22+'DCF Yaramoko'!X21+'DCF Yaramoko'!X22)/($N$9+$H$15)</f>
        <v>0.45110167141244356</v>
      </c>
      <c r="Y29" s="43">
        <f>('DCF Caylloma'!Y24+'DCF Caylloma'!Y25+'DCF San Jose'!Y22+'DCF San Jose'!Y23+'DCF Lindero'!Y21+'DCF Lindero'!Y22+'DCF Yaramoko'!Y21+'DCF Yaramoko'!Y22)/($N$9+$H$15)</f>
        <v>0.43824466503951959</v>
      </c>
      <c r="Z29" s="43">
        <f>('DCF Caylloma'!Z24+'DCF Caylloma'!Z25+'DCF San Jose'!Z22+'DCF San Jose'!Z23+'DCF Lindero'!Z21+'DCF Lindero'!Z22+'DCF Yaramoko'!Z21+'DCF Yaramoko'!Z22)/($N$9+$H$15)</f>
        <v>0.42535243399160122</v>
      </c>
      <c r="AA29" s="43">
        <f>('DCF Caylloma'!AA24+'DCF Caylloma'!AA25+'DCF San Jose'!AA22+'DCF San Jose'!AA23+'DCF Lindero'!AA21+'DCF Lindero'!AA22+'DCF Yaramoko'!AA21+'DCF Yaramoko'!AA22)/($N$9+$H$15)</f>
        <v>0.4242490362935486</v>
      </c>
      <c r="AB29" s="43">
        <f>('DCF Caylloma'!AB24+'DCF Caylloma'!AB25+'DCF San Jose'!AB22+'DCF San Jose'!AB23+'DCF Lindero'!AB21+'DCF Lindero'!AB22+'DCF Yaramoko'!AB21+'DCF Yaramoko'!AB22)/($N$9+$H$15)</f>
        <v>0.4242490362935486</v>
      </c>
      <c r="AC29" s="43">
        <f>('DCF Caylloma'!AC24+'DCF Caylloma'!AC25+'DCF San Jose'!AC22+'DCF San Jose'!AC23+'DCF Lindero'!AC21+'DCF Lindero'!AC22+'DCF Yaramoko'!AC21+'DCF Yaramoko'!AC22)/($N$9+$H$15)</f>
        <v>0.4242490362935486</v>
      </c>
      <c r="AD29" s="43">
        <f>('DCF Caylloma'!AD24+'DCF Caylloma'!AD25+'DCF San Jose'!AD22+'DCF San Jose'!AD23+'DCF Lindero'!AD21+'DCF Lindero'!AD22+'DCF Yaramoko'!AD21+'DCF Yaramoko'!AD22)/($N$9+$H$15)</f>
        <v>0.27340795694232306</v>
      </c>
      <c r="AE29" s="43">
        <f>('DCF Caylloma'!AE24+'DCF Caylloma'!AE25+'DCF San Jose'!AE22+'DCF San Jose'!AE23+'DCF Lindero'!AE21+'DCF Lindero'!AE22+'DCF Yaramoko'!AE21+'DCF Yaramoko'!AE22)/($N$9+$H$15)</f>
        <v>0.12001716488471889</v>
      </c>
      <c r="AF29" s="43">
        <f>('DCF Caylloma'!AF24+'DCF Caylloma'!AF25+'DCF San Jose'!AF22+'DCF San Jose'!AF23+'DCF Lindero'!AF21+'DCF Lindero'!AF22+'DCF Yaramoko'!AF21+'DCF Yaramoko'!AF22)/($N$9+$H$15)</f>
        <v>0</v>
      </c>
      <c r="AG29" s="43">
        <f>('DCF Caylloma'!AG24+'DCF Caylloma'!AG25+'DCF San Jose'!AG22+'DCF San Jose'!AG23+'DCF Lindero'!AG21+'DCF Lindero'!AG22+'DCF Yaramoko'!AG21+'DCF Yaramoko'!AG22)/($N$9+$H$15)</f>
        <v>0</v>
      </c>
      <c r="AH29" s="43">
        <f>('DCF Caylloma'!AH24+'DCF Caylloma'!AH25+'DCF San Jose'!AH22+'DCF San Jose'!AH23+'DCF Lindero'!AH21+'DCF Lindero'!AH22+'DCF Yaramoko'!AH21+'DCF Yaramoko'!AH22)/($N$9+$H$15)</f>
        <v>0</v>
      </c>
      <c r="AI29" s="43">
        <f>('DCF Caylloma'!AI24+'DCF Caylloma'!AI25+'DCF San Jose'!AI22+'DCF San Jose'!AI23+'DCF Lindero'!AI21+'DCF Lindero'!AI22+'DCF Yaramoko'!AI21+'DCF Yaramoko'!AI22)/($N$9+$H$15)</f>
        <v>0</v>
      </c>
      <c r="AJ29" s="43">
        <f>('DCF Caylloma'!AJ24+'DCF Caylloma'!AJ25+'DCF San Jose'!AJ22+'DCF San Jose'!AJ23+'DCF Lindero'!AJ21+'DCF Lindero'!AJ22+'DCF Yaramoko'!AJ21+'DCF Yaramoko'!AJ22)/($N$9+$H$15)</f>
        <v>0</v>
      </c>
      <c r="AK29" s="43">
        <f>('DCF Caylloma'!AK24+'DCF Caylloma'!AK25+'DCF San Jose'!AK22+'DCF San Jose'!AK23+'DCF Lindero'!AK21+'DCF Lindero'!AK22+'DCF Yaramoko'!AK21+'DCF Yaramoko'!AK22)/($N$9+$H$15)</f>
        <v>0</v>
      </c>
      <c r="AL29" s="43">
        <f>('DCF Caylloma'!AL24+'DCF Caylloma'!AL25+'DCF San Jose'!AL22+'DCF San Jose'!AL23+'DCF Lindero'!AL21+'DCF Lindero'!AL22+'DCF Yaramoko'!AL21+'DCF Yaramoko'!AL22)/($N$9+$H$15)</f>
        <v>0</v>
      </c>
      <c r="AM29" s="43">
        <f>('DCF Caylloma'!AM24+'DCF Caylloma'!AM25+'DCF San Jose'!AM22+'DCF San Jose'!AM23+'DCF Lindero'!AM21+'DCF Lindero'!AM22+'DCF Yaramoko'!AM21+'DCF Yaramoko'!AM22)/($N$9+$H$15)</f>
        <v>0</v>
      </c>
      <c r="AN29" s="43">
        <f>('DCF Caylloma'!AN24+'DCF Caylloma'!AN25+'DCF San Jose'!AN22+'DCF San Jose'!AN23+'DCF Lindero'!AN21+'DCF Lindero'!AN22+'DCF Yaramoko'!AN21+'DCF Yaramoko'!AN22)/($N$9+$H$15)</f>
        <v>0</v>
      </c>
      <c r="AO29" s="43">
        <f>('DCF Caylloma'!AO24+'DCF Caylloma'!AO25+'DCF San Jose'!AO22+'DCF San Jose'!AO23+'DCF Lindero'!AO21+'DCF Lindero'!AO22+'DCF Yaramoko'!AO21+'DCF Yaramoko'!AO22)/($N$9+$H$15)</f>
        <v>0</v>
      </c>
      <c r="AP29" s="43">
        <f>('DCF Caylloma'!AP24+'DCF Caylloma'!AP25+'DCF San Jose'!AP22+'DCF San Jose'!AP23+'DCF Lindero'!AP21+'DCF Lindero'!AP22+'DCF Yaramoko'!AP21+'DCF Yaramoko'!AP22)/($N$9+$H$15)</f>
        <v>0</v>
      </c>
      <c r="AQ29" s="43">
        <f>('DCF Caylloma'!AQ24+'DCF Caylloma'!AQ25+'DCF San Jose'!AQ22+'DCF San Jose'!AQ23+'DCF Lindero'!AQ21+'DCF Lindero'!AQ22+'DCF Yaramoko'!AQ21+'DCF Yaramoko'!AQ22)/($N$9+$H$15)</f>
        <v>0</v>
      </c>
      <c r="AR29" s="43">
        <f>('DCF Caylloma'!AR24+'DCF Caylloma'!AR25+'DCF San Jose'!AR22+'DCF San Jose'!AR23+'DCF Lindero'!AR21+'DCF Lindero'!AR22+'DCF Yaramoko'!AR21+'DCF Yaramoko'!AR22)/($N$9+$H$15)</f>
        <v>0</v>
      </c>
      <c r="AS29" s="43">
        <f>('DCF Caylloma'!AS24+'DCF Caylloma'!AS25+'DCF San Jose'!AS22+'DCF San Jose'!AS23+'DCF Lindero'!AS21+'DCF Lindero'!AS22+'DCF Yaramoko'!AS21+'DCF Yaramoko'!AS22)/($N$9+$H$15)</f>
        <v>0</v>
      </c>
      <c r="AT29" s="43">
        <f>('DCF Caylloma'!AT24+'DCF Caylloma'!AT25+'DCF San Jose'!AT22+'DCF San Jose'!AT23+'DCF Lindero'!AT21+'DCF Lindero'!AT22+'DCF Yaramoko'!AT21+'DCF Yaramoko'!AT22)/($N$9+$H$15)</f>
        <v>0</v>
      </c>
      <c r="AU29" s="43">
        <f>('DCF Caylloma'!AU24+'DCF Caylloma'!AU25+'DCF San Jose'!AU22+'DCF San Jose'!AU23+'DCF Lindero'!AU21+'DCF Lindero'!AU22+'DCF Yaramoko'!AU21+'DCF Yaramoko'!AU22)/($N$9+$H$15)</f>
        <v>0</v>
      </c>
      <c r="AV29" s="43">
        <f>('DCF Caylloma'!AV24+'DCF Caylloma'!AV25+'DCF San Jose'!AV22+'DCF San Jose'!AV23+'DCF Lindero'!AV21+'DCF Lindero'!AV22+'DCF Yaramoko'!AV21+'DCF Yaramoko'!AV22)/($N$9+$H$15)</f>
        <v>0</v>
      </c>
      <c r="AW29" s="43">
        <f>('DCF Caylloma'!AW24+'DCF Caylloma'!AW25+'DCF San Jose'!AW22+'DCF San Jose'!AW23+'DCF Lindero'!AW21+'DCF Lindero'!AW22+'DCF Yaramoko'!AW21+'DCF Yaramoko'!AW22)/($N$9+$H$15)</f>
        <v>0</v>
      </c>
      <c r="AX29" s="13"/>
    </row>
    <row r="30" spans="2:52" x14ac:dyDescent="0.25">
      <c r="B30" t="s">
        <v>240</v>
      </c>
      <c r="C30" t="s">
        <v>70</v>
      </c>
      <c r="K30" s="13"/>
      <c r="L30" s="80">
        <f>('DCF Caylloma'!L28+'DCF San Jose'!L26+'DCF Lindero'!L25+'DCF Yaramoko'!L25)/($Y$7+$M$13)</f>
        <v>9.7531622881138938E-2</v>
      </c>
      <c r="M30" s="80">
        <f>('DCF Caylloma'!M28+'DCF San Jose'!M26+'DCF Lindero'!M25+'DCF Yaramoko'!M25)/($Y$7+$M$13)</f>
        <v>9.7531622881138938E-2</v>
      </c>
      <c r="N30" s="80">
        <f>('DCF Caylloma'!N28+'DCF San Jose'!N26+'DCF Lindero'!N25+'DCF Yaramoko'!N25)/($Y$7+$M$13)</f>
        <v>9.7531622881138938E-2</v>
      </c>
      <c r="O30" s="80">
        <f>('DCF Caylloma'!O28+'DCF San Jose'!O26+'DCF Lindero'!O25+'DCF Yaramoko'!O25)/($Y$7+$M$13)</f>
        <v>9.7531622881138938E-2</v>
      </c>
      <c r="P30" s="80">
        <f>('DCF Caylloma'!P28+'DCF San Jose'!P26+'DCF Lindero'!P25+'DCF Yaramoko'!P25)/($Y$7+$M$13)</f>
        <v>9.7531622881138938E-2</v>
      </c>
      <c r="Q30" s="80">
        <f>('DCF Caylloma'!Q28+'DCF San Jose'!Q26+'DCF Lindero'!Q25+'DCF Yaramoko'!Q25)/($Y$7+$M$13)</f>
        <v>9.7531622881138938E-2</v>
      </c>
      <c r="R30" s="80">
        <f>('DCF Caylloma'!R28+'DCF San Jose'!R26+'DCF Lindero'!R25+'DCF Yaramoko'!R25)/($Y$7+$M$13)</f>
        <v>9.7531622881138938E-2</v>
      </c>
      <c r="S30" s="80">
        <f>('DCF Caylloma'!S28+'DCF San Jose'!S26+'DCF Lindero'!S25+'DCF Yaramoko'!S25)/($Y$7+$M$13)</f>
        <v>9.7531622881138938E-2</v>
      </c>
      <c r="T30" s="80">
        <f>('DCF Caylloma'!T28+'DCF San Jose'!T26+'DCF Lindero'!T25+'DCF Yaramoko'!T25)/($Y$7+$M$13)</f>
        <v>9.7531622881138938E-2</v>
      </c>
      <c r="U30" s="80">
        <f>('DCF Caylloma'!U28+'DCF San Jose'!U26+'DCF Lindero'!U25+'DCF Yaramoko'!U25)/($Y$7+$M$13)</f>
        <v>9.7531622881138938E-2</v>
      </c>
      <c r="V30" s="80">
        <f>('DCF Caylloma'!V28+'DCF San Jose'!V26+'DCF Lindero'!V25+'DCF Yaramoko'!V25)/($Y$7+$M$13)</f>
        <v>9.7531622881138938E-2</v>
      </c>
      <c r="W30" s="80">
        <f>('DCF Caylloma'!W28+'DCF San Jose'!W26+'DCF Lindero'!W25+'DCF Yaramoko'!W25)/($Y$7+$M$13)</f>
        <v>9.7531622881138938E-2</v>
      </c>
      <c r="X30" s="80">
        <f>('DCF Caylloma'!X28+'DCF San Jose'!X26+'DCF Lindero'!X25+'DCF Yaramoko'!X25)/($Y$7+$M$13)</f>
        <v>9.7531622881138938E-2</v>
      </c>
      <c r="Y30" s="80">
        <f>('DCF Caylloma'!Y28+'DCF San Jose'!Y26+'DCF Lindero'!Y25+'DCF Yaramoko'!Y25)/($Y$7+$M$13)</f>
        <v>9.7531622881138938E-2</v>
      </c>
      <c r="Z30" s="80">
        <f>('DCF Caylloma'!Z28+'DCF San Jose'!Z26+'DCF Lindero'!Z25+'DCF Yaramoko'!Z25)/($Y$7+$M$13)</f>
        <v>9.7531622881138938E-2</v>
      </c>
      <c r="AA30" s="80">
        <f>('DCF Caylloma'!AA28+'DCF San Jose'!AA26+'DCF Lindero'!AA25+'DCF Yaramoko'!AA25)/($Y$7+$M$13)</f>
        <v>8.511801359624066E-2</v>
      </c>
      <c r="AB30" s="80">
        <f>('DCF Caylloma'!AB28+'DCF San Jose'!AB26+'DCF Lindero'!AB25+'DCF Yaramoko'!AB25)/($Y$7+$M$13)</f>
        <v>7.1539047501500169E-2</v>
      </c>
      <c r="AC30" s="80">
        <f>('DCF Caylloma'!AC28+'DCF San Jose'!AC26+'DCF Lindero'!AC25+'DCF Yaramoko'!AC25)/($Y$7+$M$13)</f>
        <v>5.7960081406759678E-2</v>
      </c>
      <c r="AD30" s="80">
        <f>('DCF Caylloma'!AD28+'DCF San Jose'!AD26+'DCF Lindero'!AD25+'DCF Yaramoko'!AD25)/($Y$7+$M$13)</f>
        <v>4.4343912665184282E-2</v>
      </c>
      <c r="AE30" s="80">
        <f>('DCF Caylloma'!AE28+'DCF San Jose'!AE26+'DCF Lindero'!AE25+'DCF Yaramoko'!AE25)/($Y$7+$M$13)</f>
        <v>3.0764946570443794E-2</v>
      </c>
      <c r="AF30" s="80">
        <f>('DCF Caylloma'!AF28+'DCF San Jose'!AF26+'DCF Lindero'!AF25+'DCF Yaramoko'!AF25)/($Y$7+$M$13)</f>
        <v>1.7185980475703303E-2</v>
      </c>
      <c r="AG30" s="80">
        <f>('DCF Caylloma'!AG28+'DCF San Jose'!AG26+'DCF Lindero'!AG25+'DCF Yaramoko'!AG25)/($Y$7+$M$13)</f>
        <v>3.6070143809628112E-3</v>
      </c>
      <c r="AH30" s="80">
        <f>('DCF Caylloma'!AH28+'DCF San Jose'!AH26+'DCF Lindero'!AH25+'DCF Yaramoko'!AH25)/($Y$7+$M$13)</f>
        <v>0</v>
      </c>
      <c r="AI30" s="80">
        <f>('DCF Caylloma'!AI28+'DCF San Jose'!AI26+'DCF Lindero'!AI25+'DCF Yaramoko'!AI25)/($Y$7+$M$13)</f>
        <v>0</v>
      </c>
      <c r="AJ30" s="80">
        <f>('DCF Caylloma'!AJ28+'DCF San Jose'!AJ26+'DCF Lindero'!AJ25+'DCF Yaramoko'!AJ25)/($Y$7+$M$13)</f>
        <v>0</v>
      </c>
      <c r="AK30" s="80">
        <f>('DCF Caylloma'!AK28+'DCF San Jose'!AK26+'DCF Lindero'!AK25+'DCF Yaramoko'!AK25)/($Y$7+$M$13)</f>
        <v>0</v>
      </c>
      <c r="AL30" s="80">
        <f>('DCF Caylloma'!AL28+'DCF San Jose'!AL26+'DCF Lindero'!AL25+'DCF Yaramoko'!AL25)/($Y$7+$M$13)</f>
        <v>0</v>
      </c>
      <c r="AM30" s="80">
        <f>('DCF Caylloma'!AM28+'DCF San Jose'!AM26+'DCF Lindero'!AM25+'DCF Yaramoko'!AM25)/($Y$7+$M$13)</f>
        <v>0</v>
      </c>
      <c r="AN30" s="80">
        <f>('DCF Caylloma'!AN28+'DCF San Jose'!AN26+'DCF Lindero'!AN25+'DCF Yaramoko'!AN25)/($Y$7+$M$13)</f>
        <v>0</v>
      </c>
      <c r="AO30" s="80">
        <f>('DCF Caylloma'!AO28+'DCF San Jose'!AO26+'DCF Lindero'!AO25+'DCF Yaramoko'!AO25)/($Y$7+$M$13)</f>
        <v>0</v>
      </c>
      <c r="AP30" s="80">
        <f>('DCF Caylloma'!AP28+'DCF San Jose'!AP26+'DCF Lindero'!AP25+'DCF Yaramoko'!AP25)/($Y$7+$M$13)</f>
        <v>0</v>
      </c>
      <c r="AQ30" s="80">
        <f>('DCF Caylloma'!AQ28+'DCF San Jose'!AQ26+'DCF Lindero'!AQ25+'DCF Yaramoko'!AQ25)/($Y$7+$M$13)</f>
        <v>0</v>
      </c>
      <c r="AR30" s="80">
        <f>('DCF Caylloma'!AR28+'DCF San Jose'!AR26+'DCF Lindero'!AR25+'DCF Yaramoko'!AR25)/($Y$7+$M$13)</f>
        <v>0</v>
      </c>
      <c r="AS30" s="80">
        <f>('DCF Caylloma'!AS28+'DCF San Jose'!AS26+'DCF Lindero'!AS25+'DCF Yaramoko'!AS25)/($Y$7+$M$13)</f>
        <v>0</v>
      </c>
      <c r="AT30" s="80">
        <f>('DCF Caylloma'!AT28+'DCF San Jose'!AT26+'DCF Lindero'!AT25+'DCF Yaramoko'!AT25)/($Y$7+$M$13)</f>
        <v>0</v>
      </c>
      <c r="AU30" s="80">
        <f>('DCF Caylloma'!AU28+'DCF San Jose'!AU26+'DCF Lindero'!AU25+'DCF Yaramoko'!AU25)/($Y$7+$M$13)</f>
        <v>0</v>
      </c>
      <c r="AV30" s="80">
        <f>('DCF Caylloma'!AV28+'DCF San Jose'!AV26+'DCF Lindero'!AV25+'DCF Yaramoko'!AV25)/($Y$7+$M$13)</f>
        <v>0</v>
      </c>
      <c r="AW30" s="80">
        <f>('DCF Caylloma'!AW28+'DCF San Jose'!AW26+'DCF Lindero'!AW25+'DCF Yaramoko'!AW25)/($Y$7+$M$13)</f>
        <v>0</v>
      </c>
      <c r="AX30" s="13"/>
    </row>
    <row r="31" spans="2:52" x14ac:dyDescent="0.25"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2:52" ht="15.75" thickBot="1" x14ac:dyDescent="0.3">
      <c r="B32" s="14" t="s">
        <v>241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2:50" x14ac:dyDescent="0.25">
      <c r="B33" t="s">
        <v>64</v>
      </c>
      <c r="C33" t="s">
        <v>57</v>
      </c>
      <c r="E33" s="6">
        <f>'All inclusive sheet'!E34</f>
        <v>1600494</v>
      </c>
      <c r="F33" s="6">
        <f>'All inclusive sheet'!F34</f>
        <v>1575251</v>
      </c>
      <c r="G33" s="6">
        <f>'All inclusive sheet'!G34</f>
        <v>1600029</v>
      </c>
      <c r="H33" s="6">
        <f>'All inclusive sheet'!H34</f>
        <v>3054428</v>
      </c>
      <c r="I33" s="6">
        <f>'All inclusive sheet'!I34</f>
        <v>8293446</v>
      </c>
      <c r="J33" s="6">
        <f>'All inclusive sheet'!J34</f>
        <v>1807244</v>
      </c>
      <c r="K33" s="15">
        <f t="shared" ref="K33" si="16">SUM(L33:AW33)</f>
        <v>132270590.00000003</v>
      </c>
      <c r="L33" s="16">
        <f>'DCF Caylloma'!L32+'DCF San Jose'!L30+'DCF Lindero'!L29+'DCF Yaramoko'!L29+'DCF Seguela'!H19</f>
        <v>2232170.3333333335</v>
      </c>
      <c r="M33" s="16">
        <f>'DCF Caylloma'!M32+'DCF San Jose'!M30+'DCF Lindero'!M29+'DCF Yaramoko'!M29+'DCF Seguela'!I19</f>
        <v>2232170.3333333335</v>
      </c>
      <c r="N33" s="16">
        <f>'DCF Caylloma'!N32+'DCF San Jose'!N30+'DCF Lindero'!N29+'DCF Yaramoko'!N29+'DCF Seguela'!J19</f>
        <v>2036415.3333333333</v>
      </c>
      <c r="O33" s="16">
        <f>'DCF Caylloma'!O32+'DCF San Jose'!O30+'DCF Lindero'!O29+'DCF Yaramoko'!O29+'DCF Seguela'!K19</f>
        <v>2076799.2687600818</v>
      </c>
      <c r="P33" s="16">
        <f>'DCF Caylloma'!P32+'DCF San Jose'!P30+'DCF Lindero'!P29+'DCF Yaramoko'!P29+'DCF Seguela'!L19</f>
        <v>6345775.5434335833</v>
      </c>
      <c r="Q33" s="16">
        <f>'DCF Caylloma'!Q32+'DCF San Jose'!Q30+'DCF Lindero'!Q29+'DCF Yaramoko'!Q29+'DCF Seguela'!M19</f>
        <v>9695650.3596243337</v>
      </c>
      <c r="R33" s="16">
        <f>'DCF Caylloma'!R32+'DCF San Jose'!R30+'DCF Lindero'!R29+'DCF Yaramoko'!R29+'DCF Seguela'!N19</f>
        <v>9124080.0965772271</v>
      </c>
      <c r="S33" s="16">
        <f>'DCF Caylloma'!S32+'DCF San Jose'!S30+'DCF Lindero'!S29+'DCF Yaramoko'!S29+'DCF Seguela'!O19</f>
        <v>8895873.4112302437</v>
      </c>
      <c r="T33" s="16">
        <f>'DCF Caylloma'!T32+'DCF San Jose'!T30+'DCF Lindero'!T29+'DCF Yaramoko'!T29+'DCF Seguela'!P19</f>
        <v>8427222.941863995</v>
      </c>
      <c r="U33" s="16">
        <f>'DCF Caylloma'!U32+'DCF San Jose'!U30+'DCF Lindero'!U29+'DCF Yaramoko'!U29+'DCF Seguela'!Q19</f>
        <v>8112009.8540334851</v>
      </c>
      <c r="V33" s="16">
        <f>'DCF Caylloma'!V32+'DCF San Jose'!V30+'DCF Lindero'!V29+'DCF Yaramoko'!V29+'DCF Seguela'!R19</f>
        <v>8159222.941863995</v>
      </c>
      <c r="W33" s="16">
        <f>'DCF Caylloma'!W32+'DCF San Jose'!W30+'DCF Lindero'!W29+'DCF Yaramoko'!W29+'DCF Seguela'!S19</f>
        <v>8427222.941863995</v>
      </c>
      <c r="X33" s="16">
        <f>'DCF Caylloma'!X32+'DCF San Jose'!X30+'DCF Lindero'!X29+'DCF Yaramoko'!X29+'DCF Seguela'!T19</f>
        <v>8276222.941863995</v>
      </c>
      <c r="Y33" s="16">
        <f>'DCF Caylloma'!Y32+'DCF San Jose'!Y30+'DCF Lindero'!Y29+'DCF Yaramoko'!Y29+'DCF Seguela'!U19</f>
        <v>7773009.8540334851</v>
      </c>
      <c r="Z33" s="16">
        <f>'DCF Caylloma'!Z32+'DCF San Jose'!Z30+'DCF Lindero'!Z29+'DCF Yaramoko'!Z29+'DCF Seguela'!V19</f>
        <v>6857222.941863995</v>
      </c>
      <c r="AA33" s="16">
        <f>'DCF Caylloma'!AA32+'DCF San Jose'!AA30+'DCF Lindero'!AA29+'DCF Yaramoko'!AA29+'DCF Seguela'!W19</f>
        <v>6857222.941863995</v>
      </c>
      <c r="AB33" s="16">
        <f>'DCF Caylloma'!AB32+'DCF San Jose'!AB30+'DCF Lindero'!AB29+'DCF Yaramoko'!AB29+'DCF Seguela'!X19</f>
        <v>6857222.941863995</v>
      </c>
      <c r="AC33" s="16">
        <f>'DCF Caylloma'!AC32+'DCF San Jose'!AC30+'DCF Lindero'!AC29+'DCF Yaramoko'!AC29+'DCF Seguela'!Y19</f>
        <v>6876009.8540334851</v>
      </c>
      <c r="AD33" s="16">
        <f>'DCF Caylloma'!AD32+'DCF San Jose'!AD30+'DCF Lindero'!AD29+'DCF Yaramoko'!AD29+'DCF Seguela'!Z19</f>
        <v>6857222.941863995</v>
      </c>
      <c r="AE33" s="16">
        <f>'DCF Caylloma'!AE32+'DCF San Jose'!AE30+'DCF Lindero'!AE29+'DCF Yaramoko'!AE29+'DCF Seguela'!AA19</f>
        <v>5480660.941863995</v>
      </c>
      <c r="AF33" s="16">
        <f>'DCF Caylloma'!AF32+'DCF San Jose'!AF30+'DCF Lindero'!AF29+'DCF Yaramoko'!AF29+'DCF Seguela'!AB19</f>
        <v>530312.94186399516</v>
      </c>
      <c r="AG33" s="16">
        <f>'DCF Caylloma'!AG32+'DCF San Jose'!AG30+'DCF Lindero'!AG29+'DCF Yaramoko'!AG29+'DCF Seguela'!AC19</f>
        <v>140868.33963412163</v>
      </c>
      <c r="AH33" s="16">
        <f>'DCF Caylloma'!AH32+'DCF San Jose'!AH30+'DCF Lindero'!AH29+'DCF Yaramoko'!AH29+'DCF Seguela'!AD19</f>
        <v>0</v>
      </c>
      <c r="AI33" s="16">
        <f>'DCF Caylloma'!AI32+'DCF San Jose'!AI30+'DCF Lindero'!AI29+'DCF Yaramoko'!AI29+'DCF Seguela'!AE19</f>
        <v>0</v>
      </c>
      <c r="AJ33" s="16">
        <f>'DCF Caylloma'!AJ32+'DCF San Jose'!AJ30+'DCF Lindero'!AJ29+'DCF Yaramoko'!AJ29+'DCF Seguela'!AF19</f>
        <v>0</v>
      </c>
      <c r="AK33" s="16">
        <f>'DCF Caylloma'!AK32+'DCF San Jose'!AK30+'DCF Lindero'!AK29+'DCF Yaramoko'!AK29+'DCF Seguela'!AG19</f>
        <v>0</v>
      </c>
      <c r="AL33" s="16">
        <f>'DCF Caylloma'!AL32+'DCF San Jose'!AL30+'DCF Lindero'!AL29+'DCF Yaramoko'!AL29+'DCF Seguela'!AH19</f>
        <v>0</v>
      </c>
      <c r="AM33" s="16">
        <f>'DCF Caylloma'!AM32+'DCF San Jose'!AM30+'DCF Lindero'!AM29+'DCF Yaramoko'!AM29+'DCF Seguela'!AI19</f>
        <v>0</v>
      </c>
      <c r="AN33" s="16">
        <f>'DCF Caylloma'!AN32+'DCF San Jose'!AN30+'DCF Lindero'!AN29+'DCF Yaramoko'!AN29+'DCF Seguela'!AJ19</f>
        <v>0</v>
      </c>
      <c r="AO33" s="16">
        <f>'DCF Caylloma'!AO32+'DCF San Jose'!AO30+'DCF Lindero'!AO29+'DCF Yaramoko'!AO29+'DCF Seguela'!AK19</f>
        <v>0</v>
      </c>
      <c r="AP33" s="16">
        <f>'DCF Caylloma'!AP32+'DCF San Jose'!AP30+'DCF Lindero'!AP29+'DCF Yaramoko'!AP29+'DCF Seguela'!AL19</f>
        <v>0</v>
      </c>
      <c r="AQ33" s="16">
        <f>'DCF Caylloma'!AQ32+'DCF San Jose'!AQ30+'DCF Lindero'!AQ29+'DCF Yaramoko'!AQ29+'DCF Seguela'!AM19</f>
        <v>0</v>
      </c>
      <c r="AR33" s="16">
        <f>'DCF Caylloma'!AR32+'DCF San Jose'!AR30+'DCF Lindero'!AR29+'DCF Yaramoko'!AR29+'DCF Seguela'!AN19</f>
        <v>0</v>
      </c>
      <c r="AS33" s="16">
        <f>'DCF Caylloma'!AS32+'DCF San Jose'!AS30+'DCF Lindero'!AS29+'DCF Yaramoko'!AS29+'DCF Seguela'!AO19</f>
        <v>0</v>
      </c>
      <c r="AT33" s="16">
        <f>'DCF Caylloma'!AT32+'DCF San Jose'!AT30+'DCF Lindero'!AT29+'DCF Yaramoko'!AT29+'DCF Seguela'!AP19</f>
        <v>0</v>
      </c>
      <c r="AU33" s="16">
        <f>'DCF Caylloma'!AU32+'DCF San Jose'!AU30+'DCF Lindero'!AU29+'DCF Yaramoko'!AU29+'DCF Seguela'!AQ19</f>
        <v>0</v>
      </c>
      <c r="AV33" s="16">
        <f>'DCF Caylloma'!AV32+'DCF San Jose'!AV30+'DCF Lindero'!AV29+'DCF Yaramoko'!AV29+'DCF Seguela'!AR19</f>
        <v>0</v>
      </c>
      <c r="AW33" s="16">
        <f>'DCF Caylloma'!AW32+'DCF San Jose'!AW30+'DCF Lindero'!AW29+'DCF Yaramoko'!AW29+'DCF Seguela'!AS19</f>
        <v>0</v>
      </c>
      <c r="AX33" s="13"/>
    </row>
    <row r="34" spans="2:50" x14ac:dyDescent="0.25">
      <c r="B34" t="s">
        <v>242</v>
      </c>
      <c r="C34" t="s">
        <v>66</v>
      </c>
      <c r="E34" s="6">
        <f>'All inclusive sheet'!E35</f>
        <v>181.07439578030284</v>
      </c>
      <c r="F34" s="6">
        <f>'All inclusive sheet'!F35</f>
        <v>193.12159078140564</v>
      </c>
      <c r="G34" s="6">
        <f>'All inclusive sheet'!G35</f>
        <v>190.23668071016212</v>
      </c>
      <c r="H34" s="6">
        <f>'All inclusive sheet'!H35</f>
        <v>170.32675079685524</v>
      </c>
      <c r="I34" s="6">
        <f>'All inclusive sheet'!I35</f>
        <v>163.58972201858018</v>
      </c>
      <c r="J34" s="6">
        <f>'All inclusive sheet'!J35</f>
        <v>151.81510530062238</v>
      </c>
      <c r="K34" s="68">
        <f>AVERAGEIF(L34:AW34,"&gt;0")</f>
        <v>112.37604710210285</v>
      </c>
      <c r="L34" s="41">
        <f>IFERROR(('DCF Caylloma'!L32*'DCF Caylloma'!L33+'DCF San Jose'!L30*'DCF San Jose'!L31)/('DCF San Jose'!L30+'DCF Caylloma'!L32),0)</f>
        <v>145.92271607533107</v>
      </c>
      <c r="M34" s="41">
        <f>IFERROR(('DCF Caylloma'!M32*'DCF Caylloma'!M33+'DCF San Jose'!M30*'DCF San Jose'!M31)/('DCF San Jose'!M30+'DCF Caylloma'!M32),0)</f>
        <v>140.30388281467862</v>
      </c>
      <c r="N34" s="41">
        <f>IFERROR(('DCF Caylloma'!N32*'DCF Caylloma'!N33+'DCF San Jose'!N30*'DCF San Jose'!N31)/('DCF San Jose'!N30+'DCF Caylloma'!N32),0)</f>
        <v>140.30388281467862</v>
      </c>
      <c r="O34" s="41">
        <f>IFERROR(('DCF Caylloma'!O32*'DCF Caylloma'!O33+'DCF San Jose'!O30*'DCF San Jose'!O31)/('DCF San Jose'!O30+'DCF Caylloma'!O32),0)</f>
        <v>147.40335961312798</v>
      </c>
      <c r="P34" s="41">
        <f>IFERROR(('DCF Caylloma'!P32*'DCF Caylloma'!P33+'DCF San Jose'!P30*'DCF San Jose'!P31)/('DCF San Jose'!P30+'DCF Caylloma'!P32),0)</f>
        <v>147.40335961312798</v>
      </c>
      <c r="Q34" s="41">
        <f>IFERROR(('DCF Caylloma'!Q32*'DCF Caylloma'!Q33+'DCF San Jose'!Q30*'DCF San Jose'!Q31)/('DCF San Jose'!Q30+'DCF Caylloma'!Q32),0)</f>
        <v>139.17639463067778</v>
      </c>
      <c r="R34" s="41">
        <f>IFERROR(('DCF Caylloma'!R32*'DCF Caylloma'!R33+'DCF San Jose'!R30*'DCF San Jose'!R31)/('DCF San Jose'!R30+'DCF Caylloma'!R32),0)</f>
        <v>90.273942521194726</v>
      </c>
      <c r="S34" s="41">
        <f>IFERROR(('DCF Caylloma'!S32*'DCF Caylloma'!S33+'DCF San Jose'!S30*'DCF San Jose'!S31)/('DCF San Jose'!S30+'DCF Caylloma'!S32),0)</f>
        <v>83</v>
      </c>
      <c r="T34" s="41">
        <f>IFERROR(('DCF Caylloma'!T32*'DCF Caylloma'!T33+'DCF San Jose'!T30*'DCF San Jose'!T31)/('DCF San Jose'!T30+'DCF Caylloma'!T32),0)</f>
        <v>83.475656317128355</v>
      </c>
      <c r="U34" s="41">
        <f>IFERROR(('DCF Caylloma'!U32*'DCF Caylloma'!U33+'DCF San Jose'!U30*'DCF San Jose'!U31)/('DCF San Jose'!U30+'DCF Caylloma'!U32),0)</f>
        <v>97</v>
      </c>
      <c r="V34" s="41">
        <f>IFERROR(('DCF Caylloma'!V32*'DCF Caylloma'!V33+'DCF San Jose'!V30*'DCF San Jose'!V31)/('DCF San Jose'!V30+'DCF Caylloma'!V32),0)</f>
        <v>86.927746733787856</v>
      </c>
      <c r="W34" s="41">
        <f>IFERROR(('DCF Caylloma'!W32*'DCF Caylloma'!W33+'DCF San Jose'!W30*'DCF San Jose'!W31)/('DCF San Jose'!W30+'DCF Caylloma'!W32),0)</f>
        <v>82</v>
      </c>
      <c r="X34" s="41">
        <f>IFERROR(('DCF Caylloma'!X32*'DCF Caylloma'!X33+'DCF San Jose'!X30*'DCF San Jose'!X31)/('DCF San Jose'!X30+'DCF Caylloma'!X32),0)</f>
        <v>82</v>
      </c>
      <c r="Y34" s="41">
        <f>IFERROR(('DCF Caylloma'!Y32*'DCF Caylloma'!Y33+'DCF San Jose'!Y30*'DCF San Jose'!Y31)/('DCF San Jose'!Y30+'DCF Caylloma'!Y32),0)</f>
        <v>82</v>
      </c>
      <c r="Z34" s="41">
        <f>IFERROR(('DCF Caylloma'!Z32*'DCF Caylloma'!Z33+'DCF San Jose'!Z30*'DCF San Jose'!Z31)/('DCF San Jose'!Z30+'DCF Caylloma'!Z32),0)</f>
        <v>113.08209511252977</v>
      </c>
      <c r="AA34" s="41">
        <f>IFERROR(('DCF Caylloma'!AA32*'DCF Caylloma'!AA33+'DCF San Jose'!AA30*'DCF San Jose'!AA31)/('DCF San Jose'!AA30+'DCF Caylloma'!AA32),0)</f>
        <v>116</v>
      </c>
      <c r="AB34" s="41">
        <f>IFERROR(('DCF Caylloma'!AB32*'DCF Caylloma'!AB33+'DCF San Jose'!AB30*'DCF San Jose'!AB31)/('DCF San Jose'!AB30+'DCF Caylloma'!AB32),0)</f>
        <v>116</v>
      </c>
      <c r="AC34" s="41">
        <f>IFERROR(('DCF Caylloma'!AC32*'DCF Caylloma'!AC33+'DCF San Jose'!AC30*'DCF San Jose'!AC31)/('DCF San Jose'!AC30+'DCF Caylloma'!AC32),0)</f>
        <v>116</v>
      </c>
      <c r="AD34" s="41">
        <f>IFERROR(('DCF Caylloma'!AD32*'DCF Caylloma'!AD33+'DCF San Jose'!AD30*'DCF San Jose'!AD31)/('DCF San Jose'!AD30+'DCF Caylloma'!AD32),0)</f>
        <v>116</v>
      </c>
      <c r="AE34" s="41">
        <f>IFERROR(('DCF Caylloma'!AE32*'DCF Caylloma'!AE33+'DCF San Jose'!AE30*'DCF San Jose'!AE31)/('DCF San Jose'!AE30+'DCF Caylloma'!AE32),0)</f>
        <v>116</v>
      </c>
      <c r="AF34" s="41">
        <f>IFERROR(('DCF Caylloma'!AF32*'DCF Caylloma'!AF33+'DCF San Jose'!AF30*'DCF San Jose'!AF31)/('DCF San Jose'!AF30+'DCF Caylloma'!AF32),0)</f>
        <v>116</v>
      </c>
      <c r="AG34" s="41">
        <f>IFERROR(('DCF Caylloma'!AG32*'DCF Caylloma'!AG33+'DCF San Jose'!AG30*'DCF San Jose'!AG31)/('DCF San Jose'!AG30+'DCF Caylloma'!AG32),0)</f>
        <v>116</v>
      </c>
      <c r="AH34" s="41">
        <f>IFERROR(('DCF Caylloma'!AH32*'DCF Caylloma'!AH33+'DCF San Jose'!AH30*'DCF San Jose'!AH31)/('DCF San Jose'!AH30+'DCF Caylloma'!AH32),0)</f>
        <v>0</v>
      </c>
      <c r="AI34" s="41">
        <f>IFERROR(('DCF Caylloma'!AI32*'DCF Caylloma'!AI33+'DCF San Jose'!AI30*'DCF San Jose'!AI31)/('DCF San Jose'!AI30+'DCF Caylloma'!AI32),0)</f>
        <v>0</v>
      </c>
      <c r="AJ34" s="41">
        <f>IFERROR(('DCF Caylloma'!AJ32*'DCF Caylloma'!AJ33+'DCF San Jose'!AJ30*'DCF San Jose'!AJ31)/('DCF San Jose'!AJ30+'DCF Caylloma'!AJ32),0)</f>
        <v>0</v>
      </c>
      <c r="AK34" s="41">
        <f>IFERROR(('DCF Caylloma'!AK32*'DCF Caylloma'!AK33+'DCF San Jose'!AK30*'DCF San Jose'!AK31)/('DCF San Jose'!AK30+'DCF Caylloma'!AK32),0)</f>
        <v>0</v>
      </c>
      <c r="AL34" s="41">
        <f>IFERROR(('DCF Caylloma'!AL32*'DCF Caylloma'!AL33+'DCF San Jose'!AL30*'DCF San Jose'!AL31)/('DCF San Jose'!AL30+'DCF Caylloma'!AL32),0)</f>
        <v>0</v>
      </c>
      <c r="AM34" s="41">
        <f>IFERROR(('DCF Caylloma'!AM32*'DCF Caylloma'!AM33+'DCF San Jose'!AM30*'DCF San Jose'!AM31)/('DCF San Jose'!AM30+'DCF Caylloma'!AM32),0)</f>
        <v>0</v>
      </c>
      <c r="AN34" s="41">
        <f>IFERROR(('DCF Caylloma'!AN32*'DCF Caylloma'!AN33+'DCF San Jose'!AN30*'DCF San Jose'!AN31)/('DCF San Jose'!AN30+'DCF Caylloma'!AN32),0)</f>
        <v>0</v>
      </c>
      <c r="AO34" s="41">
        <f>IFERROR(('DCF Caylloma'!AO32*'DCF Caylloma'!AO33+'DCF San Jose'!AO30*'DCF San Jose'!AO31)/('DCF San Jose'!AO30+'DCF Caylloma'!AO32),0)</f>
        <v>0</v>
      </c>
      <c r="AP34" s="41">
        <f>IFERROR(('DCF Caylloma'!AP32*'DCF Caylloma'!AP33+'DCF San Jose'!AP30*'DCF San Jose'!AP31)/('DCF San Jose'!AP30+'DCF Caylloma'!AP32),0)</f>
        <v>0</v>
      </c>
      <c r="AQ34" s="41">
        <f>IFERROR(('DCF Caylloma'!AQ32*'DCF Caylloma'!AQ33+'DCF San Jose'!AQ30*'DCF San Jose'!AQ31)/('DCF San Jose'!AQ30+'DCF Caylloma'!AQ32),0)</f>
        <v>0</v>
      </c>
      <c r="AR34" s="41">
        <f>IFERROR(('DCF Caylloma'!AR32*'DCF Caylloma'!AR33+'DCF San Jose'!AR30*'DCF San Jose'!AR31)/('DCF San Jose'!AR30+'DCF Caylloma'!AR32),0)</f>
        <v>0</v>
      </c>
      <c r="AS34" s="41">
        <f>IFERROR(('DCF Caylloma'!AS32*'DCF Caylloma'!AS33+'DCF San Jose'!AS30*'DCF San Jose'!AS31)/('DCF San Jose'!AS30+'DCF Caylloma'!AS32),0)</f>
        <v>0</v>
      </c>
      <c r="AT34" s="41">
        <f>IFERROR(('DCF Caylloma'!AT32*'DCF Caylloma'!AT33+'DCF San Jose'!AT30*'DCF San Jose'!AT31)/('DCF San Jose'!AT30+'DCF Caylloma'!AT32),0)</f>
        <v>0</v>
      </c>
      <c r="AU34" s="41">
        <f>IFERROR(('DCF Caylloma'!AU32*'DCF Caylloma'!AU33+'DCF San Jose'!AU30*'DCF San Jose'!AU31)/('DCF San Jose'!AU30+'DCF Caylloma'!AU32),0)</f>
        <v>0</v>
      </c>
      <c r="AV34" s="41">
        <f>IFERROR(('DCF Caylloma'!AV32*'DCF Caylloma'!AV33+'DCF San Jose'!AV30*'DCF San Jose'!AV31)/('DCF San Jose'!AV30+'DCF Caylloma'!AV32),0)</f>
        <v>0</v>
      </c>
      <c r="AW34" s="41">
        <f>IFERROR(('DCF Caylloma'!AW32*'DCF Caylloma'!AW33+'DCF San Jose'!AW30*'DCF San Jose'!AW31)/('DCF San Jose'!AW30+'DCF Caylloma'!AW32),0)</f>
        <v>0</v>
      </c>
      <c r="AX34" s="13"/>
    </row>
    <row r="35" spans="2:50" x14ac:dyDescent="0.25">
      <c r="B35" t="s">
        <v>243</v>
      </c>
      <c r="C35" t="s">
        <v>66</v>
      </c>
      <c r="E35" s="54">
        <f>'All inclusive sheet'!E36</f>
        <v>1.1841958170414886</v>
      </c>
      <c r="F35" s="54">
        <f>'All inclusive sheet'!F36</f>
        <v>1.1559024561799993</v>
      </c>
      <c r="G35" s="54">
        <f>'All inclusive sheet'!G36</f>
        <v>1.0486644554567448</v>
      </c>
      <c r="H35" s="54">
        <f>'All inclusive sheet'!H36</f>
        <v>1.0177241205227296</v>
      </c>
      <c r="I35" s="54">
        <f>'All inclusive sheet'!I36</f>
        <v>1.1634242352334603</v>
      </c>
      <c r="J35" s="54">
        <f>'All inclusive sheet'!J36</f>
        <v>1.3306484071879612</v>
      </c>
      <c r="K35" s="68">
        <f>AVERAGEIF(L35:AW35,"&gt;0")</f>
        <v>0.84763137993302251</v>
      </c>
      <c r="L35" s="24">
        <f>IFERROR(('DCF Caylloma'!L32*'DCF Caylloma'!L34+'DCF San Jose'!L30*'DCF San Jose'!L32+'DCF Lindero'!L29*'DCF Lindero'!L30+'DCF Yaramoko'!L29*'DCF Yaramoko'!L30+'DCF Seguela'!H19*'DCF Seguela'!H20)/('DCF Seguela'!H19+'DCF Yaramoko'!L29+'DCF Lindero'!L29+'DCF San Jose'!L30+'DCF Caylloma'!L32),0)</f>
        <v>1.1004580805698077</v>
      </c>
      <c r="M35" s="24">
        <f>IFERROR(('DCF Caylloma'!M32*'DCF Caylloma'!M34+'DCF San Jose'!M30*'DCF San Jose'!M32+'DCF Lindero'!M29*'DCF Lindero'!M30+'DCF Yaramoko'!M29*'DCF Yaramoko'!M30+'DCF Seguela'!I19*'DCF Seguela'!I20)/('DCF Seguela'!I19+'DCF Yaramoko'!M29+'DCF Lindero'!M29+'DCF San Jose'!M30+'DCF Caylloma'!M32),0)</f>
        <v>1.0954598688144626</v>
      </c>
      <c r="N35" s="24">
        <f>IFERROR(('DCF Caylloma'!N32*'DCF Caylloma'!N34+'DCF San Jose'!N30*'DCF San Jose'!N32+'DCF Lindero'!N29*'DCF Lindero'!N30+'DCF Yaramoko'!N29*'DCF Yaramoko'!N30+'DCF Seguela'!J19*'DCF Seguela'!J20)/('DCF Seguela'!J19+'DCF Yaramoko'!N29+'DCF Lindero'!N29+'DCF San Jose'!N30+'DCF Caylloma'!N32),0)</f>
        <v>1.1258934419813493</v>
      </c>
      <c r="O35" s="24">
        <f>IFERROR(('DCF Caylloma'!O32*'DCF Caylloma'!O34+'DCF San Jose'!O30*'DCF San Jose'!O32+'DCF Lindero'!O29*'DCF Lindero'!O30+'DCF Yaramoko'!O29*'DCF Yaramoko'!O30+'DCF Seguela'!K19*'DCF Seguela'!K20)/('DCF Seguela'!K19+'DCF Yaramoko'!O29+'DCF Lindero'!O29+'DCF San Jose'!O30+'DCF Caylloma'!O32),0)</f>
        <v>1.1000439524546928</v>
      </c>
      <c r="P35" s="24">
        <f>IFERROR(('DCF Caylloma'!P32*'DCF Caylloma'!P34+'DCF San Jose'!P30*'DCF San Jose'!P32+'DCF Lindero'!P29*'DCF Lindero'!P30+'DCF Yaramoko'!P29*'DCF Yaramoko'!P30+'DCF Seguela'!L19*'DCF Seguela'!L20)/('DCF Seguela'!L19+'DCF Yaramoko'!P29+'DCF Lindero'!P29+'DCF San Jose'!P30+'DCF Caylloma'!P32),0)</f>
        <v>1.100043952454693</v>
      </c>
      <c r="Q35" s="24">
        <f>IFERROR(('DCF Caylloma'!Q32*'DCF Caylloma'!Q34+'DCF San Jose'!Q30*'DCF San Jose'!Q32+'DCF Lindero'!Q29*'DCF Lindero'!Q30+'DCF Yaramoko'!Q29*'DCF Yaramoko'!Q30+'DCF Seguela'!M19*'DCF Seguela'!M20)/('DCF Seguela'!M19+'DCF Yaramoko'!Q29+'DCF Lindero'!Q29+'DCF San Jose'!Q30+'DCF Caylloma'!Q32),0)</f>
        <v>1.301763958722211</v>
      </c>
      <c r="R35" s="24">
        <f>IFERROR(('DCF Caylloma'!R32*'DCF Caylloma'!R34+'DCF San Jose'!R30*'DCF San Jose'!R32+'DCF Lindero'!R29*'DCF Lindero'!R30+'DCF Yaramoko'!R29*'DCF Yaramoko'!R30+'DCF Seguela'!N19*'DCF Seguela'!N20)/('DCF Seguela'!N19+'DCF Yaramoko'!R29+'DCF Lindero'!R29+'DCF San Jose'!R30+'DCF Caylloma'!R32),0)</f>
        <v>1.4441278394786448</v>
      </c>
      <c r="S35" s="24">
        <f>IFERROR(('DCF Caylloma'!S32*'DCF Caylloma'!S34+'DCF San Jose'!S30*'DCF San Jose'!S32+'DCF Lindero'!S29*'DCF Lindero'!S30+'DCF Yaramoko'!S29*'DCF Yaramoko'!S30+'DCF Seguela'!O19*'DCF Seguela'!O20)/('DCF Seguela'!O19+'DCF Yaramoko'!S29+'DCF Lindero'!S29+'DCF San Jose'!S30+'DCF Caylloma'!S32),0)</f>
        <v>1.2354291763427192</v>
      </c>
      <c r="T35" s="24">
        <f>IFERROR(('DCF Caylloma'!T32*'DCF Caylloma'!T34+'DCF San Jose'!T30*'DCF San Jose'!T32+'DCF Lindero'!T29*'DCF Lindero'!T30+'DCF Yaramoko'!T29*'DCF Yaramoko'!T30+'DCF Seguela'!P19*'DCF Seguela'!P20)/('DCF Seguela'!P19+'DCF Yaramoko'!T29+'DCF Lindero'!T29+'DCF San Jose'!T30+'DCF Caylloma'!T32),0)</f>
        <v>0.99889660689522963</v>
      </c>
      <c r="U35" s="24">
        <f>IFERROR(('DCF Caylloma'!U32*'DCF Caylloma'!U34+'DCF San Jose'!U30*'DCF San Jose'!U32+'DCF Lindero'!U29*'DCF Lindero'!U30+'DCF Yaramoko'!U29*'DCF Yaramoko'!U30+'DCF Seguela'!Q19*'DCF Seguela'!Q20)/('DCF Seguela'!Q19+'DCF Yaramoko'!U29+'DCF Lindero'!U29+'DCF San Jose'!U30+'DCF Caylloma'!U32),0)</f>
        <v>0.93350598022339704</v>
      </c>
      <c r="V35" s="24">
        <f>IFERROR(('DCF Caylloma'!V32*'DCF Caylloma'!V34+'DCF San Jose'!V30*'DCF San Jose'!V32+'DCF Lindero'!V29*'DCF Lindero'!V30+'DCF Yaramoko'!V29*'DCF Yaramoko'!V30+'DCF Seguela'!R19*'DCF Seguela'!R20)/('DCF Seguela'!R19+'DCF Yaramoko'!V29+'DCF Lindero'!V29+'DCF San Jose'!V30+'DCF Caylloma'!V32),0)</f>
        <v>1.0015830081765258</v>
      </c>
      <c r="W35" s="24">
        <f>IFERROR(('DCF Caylloma'!W32*'DCF Caylloma'!W34+'DCF San Jose'!W30*'DCF San Jose'!W32+'DCF Lindero'!W29*'DCF Lindero'!W30+'DCF Yaramoko'!W29*'DCF Yaramoko'!W30+'DCF Seguela'!S19*'DCF Seguela'!S20)/('DCF Seguela'!S19+'DCF Yaramoko'!W29+'DCF Lindero'!W29+'DCF San Jose'!W30+'DCF Caylloma'!W32),0)</f>
        <v>0.77257210957412836</v>
      </c>
      <c r="X35" s="24">
        <f>IFERROR(('DCF Caylloma'!X32*'DCF Caylloma'!X34+'DCF San Jose'!X30*'DCF San Jose'!X32+'DCF Lindero'!X29*'DCF Lindero'!X30+'DCF Yaramoko'!X29*'DCF Yaramoko'!X30+'DCF Seguela'!T19*'DCF Seguela'!T20)/('DCF Seguela'!T19+'DCF Yaramoko'!X29+'DCF Lindero'!X29+'DCF San Jose'!X30+'DCF Caylloma'!X32),0)</f>
        <v>0.76174209543797955</v>
      </c>
      <c r="Y35" s="24">
        <f>IFERROR(('DCF Caylloma'!Y32*'DCF Caylloma'!Y34+'DCF San Jose'!Y30*'DCF San Jose'!Y32+'DCF Lindero'!Y29*'DCF Lindero'!Y30+'DCF Yaramoko'!Y29*'DCF Yaramoko'!Y30+'DCF Seguela'!U19*'DCF Seguela'!U20)/('DCF Seguela'!U19+'DCF Yaramoko'!Y29+'DCF Lindero'!Y29+'DCF San Jose'!Y30+'DCF Caylloma'!Y32),0)</f>
        <v>0.67056561394468328</v>
      </c>
      <c r="Z35" s="24">
        <f>IFERROR(('DCF Caylloma'!Z32*'DCF Caylloma'!Z34+'DCF San Jose'!Z30*'DCF San Jose'!Z32+'DCF Lindero'!Z29*'DCF Lindero'!Z30+'DCF Yaramoko'!Z29*'DCF Yaramoko'!Z30+'DCF Seguela'!V19*'DCF Seguela'!V20)/('DCF Seguela'!V19+'DCF Yaramoko'!Z29+'DCF Lindero'!Z29+'DCF San Jose'!Z30+'DCF Caylloma'!Z32),0)</f>
        <v>0.53231721076425564</v>
      </c>
      <c r="AA35" s="24">
        <f>IFERROR(('DCF Caylloma'!AA32*'DCF Caylloma'!AA34+'DCF San Jose'!AA30*'DCF San Jose'!AA32+'DCF Lindero'!AA29*'DCF Lindero'!AA30+'DCF Yaramoko'!AA29*'DCF Yaramoko'!AA30+'DCF Seguela'!W19*'DCF Seguela'!W20)/('DCF Seguela'!W19+'DCF Yaramoko'!AA29+'DCF Lindero'!AA29+'DCF San Jose'!AA30+'DCF Caylloma'!AA32),0)</f>
        <v>0.53464018404849911</v>
      </c>
      <c r="AB35" s="24">
        <f>IFERROR(('DCF Caylloma'!AB32*'DCF Caylloma'!AB34+'DCF San Jose'!AB30*'DCF San Jose'!AB32+'DCF Lindero'!AB29*'DCF Lindero'!AB30+'DCF Yaramoko'!AB29*'DCF Yaramoko'!AB30+'DCF Seguela'!X19*'DCF Seguela'!X20)/('DCF Seguela'!X19+'DCF Yaramoko'!AB29+'DCF Lindero'!AB29+'DCF San Jose'!AB30+'DCF Caylloma'!AB32),0)</f>
        <v>0.53464018404849911</v>
      </c>
      <c r="AC35" s="24">
        <f>IFERROR(('DCF Caylloma'!AC32*'DCF Caylloma'!AC34+'DCF San Jose'!AC30*'DCF San Jose'!AC32+'DCF Lindero'!AC29*'DCF Lindero'!AC30+'DCF Yaramoko'!AC29*'DCF Yaramoko'!AC30+'DCF Seguela'!Y19*'DCF Seguela'!Y20)/('DCF Seguela'!Y19+'DCF Yaramoko'!AC29+'DCF Lindero'!AC29+'DCF San Jose'!AC30+'DCF Caylloma'!AC32),0)</f>
        <v>0.42764668991200611</v>
      </c>
      <c r="AD35" s="24">
        <f>IFERROR(('DCF Caylloma'!AD32*'DCF Caylloma'!AD34+'DCF San Jose'!AD30*'DCF San Jose'!AD32+'DCF Lindero'!AD29*'DCF Lindero'!AD30+'DCF Yaramoko'!AD29*'DCF Yaramoko'!AD30+'DCF Seguela'!Z19*'DCF Seguela'!Z20)/('DCF Seguela'!Z19+'DCF Yaramoko'!AD29+'DCF Lindero'!AD29+'DCF San Jose'!AD30+'DCF Caylloma'!AD32),0)</f>
        <v>0.39624064416974702</v>
      </c>
      <c r="AE35" s="24">
        <f>IFERROR(('DCF Caylloma'!AE32*'DCF Caylloma'!AE34+'DCF San Jose'!AE30*'DCF San Jose'!AE32+'DCF Lindero'!AE29*'DCF Lindero'!AE30+'DCF Yaramoko'!AE29*'DCF Yaramoko'!AE30+'DCF Seguela'!AA19*'DCF Seguela'!AA20)/('DCF Seguela'!AA19+'DCF Yaramoko'!AE29+'DCF Lindero'!AE29+'DCF San Jose'!AE30+'DCF Caylloma'!AE32),0)</f>
        <v>0.40031976051296525</v>
      </c>
      <c r="AF35" s="24">
        <f>IFERROR(('DCF Caylloma'!AF32*'DCF Caylloma'!AF34+'DCF San Jose'!AF30*'DCF San Jose'!AF32+'DCF Lindero'!AF29*'DCF Lindero'!AF30+'DCF Yaramoko'!AF29*'DCF Yaramoko'!AF30+'DCF Seguela'!AB19*'DCF Seguela'!AB20)/('DCF Seguela'!AB19+'DCF Yaramoko'!AF29+'DCF Lindero'!AF29+'DCF San Jose'!AF30+'DCF Caylloma'!AF32),0)</f>
        <v>0.59</v>
      </c>
      <c r="AG35" s="24">
        <f>IFERROR(('DCF Caylloma'!AG32*'DCF Caylloma'!AG34+'DCF San Jose'!AG30*'DCF San Jose'!AG32+'DCF Lindero'!AG29*'DCF Lindero'!AG30+'DCF Yaramoko'!AG29*'DCF Yaramoko'!AG30+'DCF Seguela'!AC19*'DCF Seguela'!AC20)/('DCF Seguela'!AC19+'DCF Yaramoko'!AG29+'DCF Lindero'!AG29+'DCF San Jose'!AG30+'DCF Caylloma'!AG32),0)</f>
        <v>0.59</v>
      </c>
      <c r="AH35" s="24">
        <f>IFERROR(('DCF Caylloma'!AH32*'DCF Caylloma'!AH34+'DCF San Jose'!AH30*'DCF San Jose'!AH32+'DCF Lindero'!AH29*'DCF Lindero'!AH30+'DCF Yaramoko'!AH29*'DCF Yaramoko'!AH30+'DCF Seguela'!AD19*'DCF Seguela'!AD20)/('DCF Seguela'!AD19+'DCF Yaramoko'!AH29+'DCF Lindero'!AH29+'DCF San Jose'!AH30+'DCF Caylloma'!AH32),0)</f>
        <v>0</v>
      </c>
      <c r="AI35" s="24">
        <f>IFERROR(('DCF Caylloma'!AI32*'DCF Caylloma'!AI34+'DCF San Jose'!AI30*'DCF San Jose'!AI32+'DCF Lindero'!AI29*'DCF Lindero'!AI30+'DCF Yaramoko'!AI29*'DCF Yaramoko'!AI30+'DCF Seguela'!AE19*'DCF Seguela'!AE20)/('DCF Seguela'!AE19+'DCF Yaramoko'!AI29+'DCF Lindero'!AI29+'DCF San Jose'!AI30+'DCF Caylloma'!AI32),0)</f>
        <v>0</v>
      </c>
      <c r="AJ35" s="24">
        <f>IFERROR(('DCF Caylloma'!AJ32*'DCF Caylloma'!AJ34+'DCF San Jose'!AJ30*'DCF San Jose'!AJ32+'DCF Lindero'!AJ29*'DCF Lindero'!AJ30+'DCF Yaramoko'!AJ29*'DCF Yaramoko'!AJ30+'DCF Seguela'!AF19*'DCF Seguela'!AF20)/('DCF Seguela'!AF19+'DCF Yaramoko'!AJ29+'DCF Lindero'!AJ29+'DCF San Jose'!AJ30+'DCF Caylloma'!AJ32),0)</f>
        <v>0</v>
      </c>
      <c r="AK35" s="24">
        <f>IFERROR(('DCF Caylloma'!AK32*'DCF Caylloma'!AK34+'DCF San Jose'!AK30*'DCF San Jose'!AK32+'DCF Lindero'!AK29*'DCF Lindero'!AK30+'DCF Yaramoko'!AK29*'DCF Yaramoko'!AK30+'DCF Seguela'!AG19*'DCF Seguela'!AG20)/('DCF Seguela'!AG19+'DCF Yaramoko'!AK29+'DCF Lindero'!AK29+'DCF San Jose'!AK30+'DCF Caylloma'!AK32),0)</f>
        <v>0</v>
      </c>
      <c r="AL35" s="24">
        <f>IFERROR(('DCF Caylloma'!AL32*'DCF Caylloma'!AL34+'DCF San Jose'!AL30*'DCF San Jose'!AL32+'DCF Lindero'!AL29*'DCF Lindero'!AL30+'DCF Yaramoko'!AL29*'DCF Yaramoko'!AL30+'DCF Seguela'!AH19*'DCF Seguela'!AH20)/('DCF Seguela'!AH19+'DCF Yaramoko'!AL29+'DCF Lindero'!AL29+'DCF San Jose'!AL30+'DCF Caylloma'!AL32),0)</f>
        <v>0</v>
      </c>
      <c r="AM35" s="24">
        <f>IFERROR(('DCF Caylloma'!AM32*'DCF Caylloma'!AM34+'DCF San Jose'!AM30*'DCF San Jose'!AM32+'DCF Lindero'!AM29*'DCF Lindero'!AM30+'DCF Yaramoko'!AM29*'DCF Yaramoko'!AM30+'DCF Seguela'!AI19*'DCF Seguela'!AI20)/('DCF Seguela'!AI19+'DCF Yaramoko'!AM29+'DCF Lindero'!AM29+'DCF San Jose'!AM30+'DCF Caylloma'!AM32),0)</f>
        <v>0</v>
      </c>
      <c r="AN35" s="24">
        <f>IFERROR(('DCF Caylloma'!AN32*'DCF Caylloma'!AN34+'DCF San Jose'!AN30*'DCF San Jose'!AN32+'DCF Lindero'!AN29*'DCF Lindero'!AN30+'DCF Yaramoko'!AN29*'DCF Yaramoko'!AN30+'DCF Seguela'!AJ19*'DCF Seguela'!AJ20)/('DCF Seguela'!AJ19+'DCF Yaramoko'!AN29+'DCF Lindero'!AN29+'DCF San Jose'!AN30+'DCF Caylloma'!AN32),0)</f>
        <v>0</v>
      </c>
      <c r="AO35" s="24">
        <f>IFERROR(('DCF Caylloma'!AO32*'DCF Caylloma'!AO34+'DCF San Jose'!AO30*'DCF San Jose'!AO32+'DCF Lindero'!AO29*'DCF Lindero'!AO30+'DCF Yaramoko'!AO29*'DCF Yaramoko'!AO30+'DCF Seguela'!AK19*'DCF Seguela'!AK20)/('DCF Seguela'!AK19+'DCF Yaramoko'!AO29+'DCF Lindero'!AO29+'DCF San Jose'!AO30+'DCF Caylloma'!AO32),0)</f>
        <v>0</v>
      </c>
      <c r="AP35" s="24">
        <f>IFERROR(('DCF Caylloma'!AP32*'DCF Caylloma'!AP34+'DCF San Jose'!AP30*'DCF San Jose'!AP32+'DCF Lindero'!AP29*'DCF Lindero'!AP30+'DCF Yaramoko'!AP29*'DCF Yaramoko'!AP30+'DCF Seguela'!AL19*'DCF Seguela'!AL20)/('DCF Seguela'!AL19+'DCF Yaramoko'!AP29+'DCF Lindero'!AP29+'DCF San Jose'!AP30+'DCF Caylloma'!AP32),0)</f>
        <v>0</v>
      </c>
      <c r="AQ35" s="24">
        <f>IFERROR(('DCF Caylloma'!AQ32*'DCF Caylloma'!AQ34+'DCF San Jose'!AQ30*'DCF San Jose'!AQ32+'DCF Lindero'!AQ29*'DCF Lindero'!AQ30+'DCF Yaramoko'!AQ29*'DCF Yaramoko'!AQ30+'DCF Seguela'!AM19*'DCF Seguela'!AM20)/('DCF Seguela'!AM19+'DCF Yaramoko'!AQ29+'DCF Lindero'!AQ29+'DCF San Jose'!AQ30+'DCF Caylloma'!AQ32),0)</f>
        <v>0</v>
      </c>
      <c r="AR35" s="24">
        <f>IFERROR(('DCF Caylloma'!AR32*'DCF Caylloma'!AR34+'DCF San Jose'!AR30*'DCF San Jose'!AR32+'DCF Lindero'!AR29*'DCF Lindero'!AR30+'DCF Yaramoko'!AR29*'DCF Yaramoko'!AR30+'DCF Seguela'!AN19*'DCF Seguela'!AN20)/('DCF Seguela'!AN19+'DCF Yaramoko'!AR29+'DCF Lindero'!AR29+'DCF San Jose'!AR30+'DCF Caylloma'!AR32),0)</f>
        <v>0</v>
      </c>
      <c r="AS35" s="24">
        <f>IFERROR(('DCF Caylloma'!AS32*'DCF Caylloma'!AS34+'DCF San Jose'!AS30*'DCF San Jose'!AS32+'DCF Lindero'!AS29*'DCF Lindero'!AS30+'DCF Yaramoko'!AS29*'DCF Yaramoko'!AS30+'DCF Seguela'!AO19*'DCF Seguela'!AO20)/('DCF Seguela'!AO19+'DCF Yaramoko'!AS29+'DCF Lindero'!AS29+'DCF San Jose'!AS30+'DCF Caylloma'!AS32),0)</f>
        <v>0</v>
      </c>
      <c r="AT35" s="24">
        <f>IFERROR(('DCF Caylloma'!AT32*'DCF Caylloma'!AT34+'DCF San Jose'!AT30*'DCF San Jose'!AT32+'DCF Lindero'!AT29*'DCF Lindero'!AT30+'DCF Yaramoko'!AT29*'DCF Yaramoko'!AT30+'DCF Seguela'!AP19*'DCF Seguela'!AP20)/('DCF Seguela'!AP19+'DCF Yaramoko'!AT29+'DCF Lindero'!AT29+'DCF San Jose'!AT30+'DCF Caylloma'!AT32),0)</f>
        <v>0</v>
      </c>
      <c r="AU35" s="24">
        <f>IFERROR(('DCF Caylloma'!AU32*'DCF Caylloma'!AU34+'DCF San Jose'!AU30*'DCF San Jose'!AU32+'DCF Lindero'!AU29*'DCF Lindero'!AU30+'DCF Yaramoko'!AU29*'DCF Yaramoko'!AU30+'DCF Seguela'!AQ19*'DCF Seguela'!AQ20)/('DCF Seguela'!AQ19+'DCF Yaramoko'!AU29+'DCF Lindero'!AU29+'DCF San Jose'!AU30+'DCF Caylloma'!AU32),0)</f>
        <v>0</v>
      </c>
      <c r="AV35" s="24">
        <f>IFERROR(('DCF Caylloma'!AV32*'DCF Caylloma'!AV34+'DCF San Jose'!AV30*'DCF San Jose'!AV32+'DCF Lindero'!AV29*'DCF Lindero'!AV30+'DCF Yaramoko'!AV29*'DCF Yaramoko'!AV30+'DCF Seguela'!AR19*'DCF Seguela'!AR20)/('DCF Seguela'!AR19+'DCF Yaramoko'!AV29+'DCF Lindero'!AV29+'DCF San Jose'!AV30+'DCF Caylloma'!AV32),0)</f>
        <v>0</v>
      </c>
      <c r="AW35" s="24">
        <f>IFERROR(('DCF Caylloma'!AW32*'DCF Caylloma'!AW34+'DCF San Jose'!AW30*'DCF San Jose'!AW32+'DCF Lindero'!AW29*'DCF Lindero'!AW30+'DCF Yaramoko'!AW29*'DCF Yaramoko'!AW30+'DCF Seguela'!AS19*'DCF Seguela'!AS20)/('DCF Seguela'!AS19+'DCF Yaramoko'!AW29+'DCF Lindero'!AW29+'DCF San Jose'!AW30+'DCF Caylloma'!AW32),0)</f>
        <v>0</v>
      </c>
      <c r="AX35" s="13"/>
    </row>
    <row r="36" spans="2:50" x14ac:dyDescent="0.25">
      <c r="B36" t="s">
        <v>250</v>
      </c>
      <c r="C36" t="s">
        <v>70</v>
      </c>
      <c r="E36" s="19">
        <f>'All inclusive sheet'!E37</f>
        <v>2.81E-2</v>
      </c>
      <c r="F36" s="19">
        <f>'All inclusive sheet'!F37</f>
        <v>2.6200000000000001E-2</v>
      </c>
      <c r="G36" s="19">
        <f>'All inclusive sheet'!G37</f>
        <v>2.7199999999999998E-2</v>
      </c>
      <c r="H36" s="19">
        <f>'All inclusive sheet'!H37</f>
        <v>0.03</v>
      </c>
      <c r="I36" s="19">
        <f>'All inclusive sheet'!I37</f>
        <v>3.1600000000000003E-2</v>
      </c>
      <c r="J36" s="19">
        <f>'All inclusive sheet'!J37</f>
        <v>3.5499999999999997E-2</v>
      </c>
      <c r="K36" s="29">
        <f>AVERAGEIF(L36:AW36,"&gt;0")</f>
        <v>2.20305758683828E-2</v>
      </c>
      <c r="L36" s="30">
        <f>'DCF Caylloma'!L35</f>
        <v>2.8000000000000001E-2</v>
      </c>
      <c r="M36" s="30">
        <f>'DCF Caylloma'!M35</f>
        <v>2.9499999999999998E-2</v>
      </c>
      <c r="N36" s="30">
        <f>'DCF Caylloma'!N35</f>
        <v>2.9499999999999998E-2</v>
      </c>
      <c r="O36" s="30">
        <f>'DCF Caylloma'!O35</f>
        <v>2.5499999999999998E-2</v>
      </c>
      <c r="P36" s="30">
        <f>'DCF Caylloma'!P35</f>
        <v>2.5499999999999998E-2</v>
      </c>
      <c r="Q36" s="30">
        <f>'DCF Caylloma'!Q35</f>
        <v>2.5499999999999998E-2</v>
      </c>
      <c r="R36" s="30">
        <f>'DCF Caylloma'!R35</f>
        <v>2.5499999999999998E-2</v>
      </c>
      <c r="S36" s="30">
        <f>'DCF Caylloma'!S35</f>
        <v>2.5499999999999998E-2</v>
      </c>
      <c r="T36" s="30">
        <f>'DCF Caylloma'!T35</f>
        <v>2.5241786570701755E-2</v>
      </c>
      <c r="U36" s="30">
        <f>'DCF Caylloma'!U35</f>
        <v>1.7899999999999999E-2</v>
      </c>
      <c r="V36" s="30">
        <f>'DCF Caylloma'!V35</f>
        <v>1.6691329608054542E-2</v>
      </c>
      <c r="W36" s="30">
        <f>'DCF Caylloma'!W35</f>
        <v>1.61E-2</v>
      </c>
      <c r="X36" s="30">
        <f>'DCF Caylloma'!X35</f>
        <v>1.61E-2</v>
      </c>
      <c r="Y36" s="30">
        <f>'DCF Caylloma'!Y35</f>
        <v>1.61E-2</v>
      </c>
      <c r="Z36" s="30">
        <f>'DCF Caylloma'!Z35</f>
        <v>1.9939552925665439E-2</v>
      </c>
      <c r="AA36" s="30">
        <f>'DCF Caylloma'!AA35</f>
        <v>2.0299999999999999E-2</v>
      </c>
      <c r="AB36" s="30">
        <f>'DCF Caylloma'!AB35</f>
        <v>2.0299999999999999E-2</v>
      </c>
      <c r="AC36" s="30">
        <f>'DCF Caylloma'!AC35</f>
        <v>2.0299999999999999E-2</v>
      </c>
      <c r="AD36" s="30">
        <f>'DCF Caylloma'!AD35</f>
        <v>2.0299999999999999E-2</v>
      </c>
      <c r="AE36" s="30">
        <f>'DCF Caylloma'!AE35</f>
        <v>2.0299999999999999E-2</v>
      </c>
      <c r="AF36" s="30">
        <f>'DCF Caylloma'!AF35</f>
        <v>2.0299999999999999E-2</v>
      </c>
      <c r="AG36" s="30">
        <f>'DCF Caylloma'!AG35</f>
        <v>2.0299999999999999E-2</v>
      </c>
      <c r="AH36" s="30">
        <f>'DCF Caylloma'!AH35</f>
        <v>0</v>
      </c>
      <c r="AI36" s="30">
        <f>'DCF Caylloma'!AI35</f>
        <v>0</v>
      </c>
      <c r="AJ36" s="30">
        <f>'DCF Caylloma'!AJ35</f>
        <v>0</v>
      </c>
      <c r="AK36" s="30">
        <f>'DCF Caylloma'!AK35</f>
        <v>0</v>
      </c>
      <c r="AL36" s="30">
        <f>'DCF Caylloma'!AL35</f>
        <v>0</v>
      </c>
      <c r="AM36" s="30">
        <f>'DCF Caylloma'!AM35</f>
        <v>0</v>
      </c>
      <c r="AN36" s="30">
        <f>'DCF Caylloma'!AN35</f>
        <v>0</v>
      </c>
      <c r="AO36" s="30">
        <f>'DCF Caylloma'!AO35</f>
        <v>0</v>
      </c>
      <c r="AP36" s="30">
        <f>'DCF Caylloma'!AP35</f>
        <v>0</v>
      </c>
      <c r="AQ36" s="30">
        <f>'DCF Caylloma'!AQ35</f>
        <v>0</v>
      </c>
      <c r="AR36" s="30">
        <f>'DCF Caylloma'!AR35</f>
        <v>0</v>
      </c>
      <c r="AS36" s="30">
        <f>'DCF Caylloma'!AS35</f>
        <v>0</v>
      </c>
      <c r="AT36" s="30">
        <f>'DCF Caylloma'!AT35</f>
        <v>0</v>
      </c>
      <c r="AU36" s="30">
        <f>'DCF Caylloma'!AU35</f>
        <v>0</v>
      </c>
      <c r="AV36" s="30">
        <f>'DCF Caylloma'!AV35</f>
        <v>0</v>
      </c>
      <c r="AW36" s="30">
        <f>'DCF Caylloma'!AW35</f>
        <v>0</v>
      </c>
      <c r="AX36" s="13"/>
    </row>
    <row r="37" spans="2:50" x14ac:dyDescent="0.25">
      <c r="B37" t="s">
        <v>251</v>
      </c>
      <c r="C37" t="s">
        <v>70</v>
      </c>
      <c r="E37" s="19">
        <f>'All inclusive sheet'!E38</f>
        <v>4.2099999999999999E-2</v>
      </c>
      <c r="F37" s="19">
        <f>'All inclusive sheet'!F38</f>
        <v>4.2799999999999998E-2</v>
      </c>
      <c r="G37" s="19">
        <f>'All inclusive sheet'!G38</f>
        <v>4.36E-2</v>
      </c>
      <c r="H37" s="19">
        <f>'All inclusive sheet'!H38</f>
        <v>4.6100000000000002E-2</v>
      </c>
      <c r="I37" s="19">
        <f>'All inclusive sheet'!I38</f>
        <v>4.5600000000000002E-2</v>
      </c>
      <c r="J37" s="19">
        <f>'All inclusive sheet'!J38</f>
        <v>4.1799999999999997E-2</v>
      </c>
      <c r="K37" s="29">
        <f>AVERAGEIF(L37:AW37,"&gt;0")</f>
        <v>3.5839283514812768E-2</v>
      </c>
      <c r="L37" s="30">
        <f>'DCF Caylloma'!L36</f>
        <v>4.2299999999999997E-2</v>
      </c>
      <c r="M37" s="30">
        <f>'DCF Caylloma'!M36</f>
        <v>4.2299999999999997E-2</v>
      </c>
      <c r="N37" s="30">
        <f>'DCF Caylloma'!N36</f>
        <v>4.2299999999999997E-2</v>
      </c>
      <c r="O37" s="30">
        <f>'DCF Caylloma'!O36</f>
        <v>3.7600000000000001E-2</v>
      </c>
      <c r="P37" s="30">
        <f>'DCF Caylloma'!P36</f>
        <v>3.7600000000000001E-2</v>
      </c>
      <c r="Q37" s="30">
        <f>'DCF Caylloma'!Q36</f>
        <v>3.7600000000000001E-2</v>
      </c>
      <c r="R37" s="30">
        <f>'DCF Caylloma'!R36</f>
        <v>3.7600000000000001E-2</v>
      </c>
      <c r="S37" s="30">
        <f>'DCF Caylloma'!S36</f>
        <v>3.7600000000000001E-2</v>
      </c>
      <c r="T37" s="30">
        <f>'DCF Caylloma'!T36</f>
        <v>3.7423327653638046E-2</v>
      </c>
      <c r="U37" s="30">
        <f>'DCF Caylloma'!U36</f>
        <v>3.2399999999999998E-2</v>
      </c>
      <c r="V37" s="30">
        <f>'DCF Caylloma'!V36</f>
        <v>3.1392774673378782E-2</v>
      </c>
      <c r="W37" s="30">
        <f>'DCF Caylloma'!W36</f>
        <v>3.09E-2</v>
      </c>
      <c r="X37" s="30">
        <f>'DCF Caylloma'!X36</f>
        <v>3.09E-2</v>
      </c>
      <c r="Y37" s="30">
        <f>'DCF Caylloma'!Y36</f>
        <v>3.09E-2</v>
      </c>
      <c r="Z37" s="30">
        <f>'DCF Caylloma'!Z36</f>
        <v>3.4648134998863878E-2</v>
      </c>
      <c r="AA37" s="30">
        <f>'DCF Caylloma'!AA36</f>
        <v>3.5000000000000003E-2</v>
      </c>
      <c r="AB37" s="30">
        <f>'DCF Caylloma'!AB36</f>
        <v>3.5000000000000003E-2</v>
      </c>
      <c r="AC37" s="30">
        <f>'DCF Caylloma'!AC36</f>
        <v>3.5000000000000003E-2</v>
      </c>
      <c r="AD37" s="30">
        <f>'DCF Caylloma'!AD36</f>
        <v>3.5000000000000003E-2</v>
      </c>
      <c r="AE37" s="30">
        <f>'DCF Caylloma'!AE36</f>
        <v>3.5000000000000003E-2</v>
      </c>
      <c r="AF37" s="30">
        <f>'DCF Caylloma'!AF36</f>
        <v>3.5000000000000003E-2</v>
      </c>
      <c r="AG37" s="30">
        <f>'DCF Caylloma'!AG36</f>
        <v>3.5000000000000003E-2</v>
      </c>
      <c r="AH37" s="30">
        <f>'DCF Caylloma'!AH36</f>
        <v>0</v>
      </c>
      <c r="AI37" s="30">
        <f>'DCF Caylloma'!AI36</f>
        <v>0</v>
      </c>
      <c r="AJ37" s="30">
        <f>'DCF Caylloma'!AJ36</f>
        <v>0</v>
      </c>
      <c r="AK37" s="30">
        <f>'DCF Caylloma'!AK36</f>
        <v>0</v>
      </c>
      <c r="AL37" s="30">
        <f>'DCF Caylloma'!AL36</f>
        <v>0</v>
      </c>
      <c r="AM37" s="30">
        <f>'DCF Caylloma'!AM36</f>
        <v>0</v>
      </c>
      <c r="AN37" s="30">
        <f>'DCF Caylloma'!AN36</f>
        <v>0</v>
      </c>
      <c r="AO37" s="30">
        <f>'DCF Caylloma'!AO36</f>
        <v>0</v>
      </c>
      <c r="AP37" s="30">
        <f>'DCF Caylloma'!AP36</f>
        <v>0</v>
      </c>
      <c r="AQ37" s="30">
        <f>'DCF Caylloma'!AQ36</f>
        <v>0</v>
      </c>
      <c r="AR37" s="30">
        <f>'DCF Caylloma'!AR36</f>
        <v>0</v>
      </c>
      <c r="AS37" s="30">
        <f>'DCF Caylloma'!AS36</f>
        <v>0</v>
      </c>
      <c r="AT37" s="30">
        <f>'DCF Caylloma'!AT36</f>
        <v>0</v>
      </c>
      <c r="AU37" s="30">
        <f>'DCF Caylloma'!AU36</f>
        <v>0</v>
      </c>
      <c r="AV37" s="30">
        <f>'DCF Caylloma'!AV36</f>
        <v>0</v>
      </c>
      <c r="AW37" s="30">
        <f>'DCF Caylloma'!AW36</f>
        <v>0</v>
      </c>
      <c r="AX37" s="13"/>
    </row>
    <row r="38" spans="2:50" x14ac:dyDescent="0.25">
      <c r="K38" s="26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13"/>
    </row>
    <row r="39" spans="2:50" x14ac:dyDescent="0.25">
      <c r="B39" t="s">
        <v>244</v>
      </c>
      <c r="C39" t="s">
        <v>70</v>
      </c>
      <c r="E39" s="18">
        <f>'All inclusive sheet'!E47</f>
        <v>0.90899278326309874</v>
      </c>
      <c r="F39" s="18">
        <f>'All inclusive sheet'!F47</f>
        <v>0.9090257167469139</v>
      </c>
      <c r="G39" s="18">
        <f>'All inclusive sheet'!G47</f>
        <v>0.90022536681126475</v>
      </c>
      <c r="H39" s="18">
        <f>'All inclusive sheet'!H47</f>
        <v>0.90187438885113047</v>
      </c>
      <c r="I39" s="18">
        <f>'All inclusive sheet'!I47</f>
        <v>0.90183169724880463</v>
      </c>
      <c r="J39" s="18">
        <f>'All inclusive sheet'!J47</f>
        <v>0.89218426760873859</v>
      </c>
      <c r="K39" s="29">
        <f>AVERAGEIF(L39:AW39,"&gt;0")</f>
        <v>0.85223274912131464</v>
      </c>
      <c r="L39" s="28">
        <f>'All inclusive sheet'!L47</f>
        <v>0.90267250613682171</v>
      </c>
      <c r="M39" s="28">
        <f>'All inclusive sheet'!M47</f>
        <v>0.9055828653259248</v>
      </c>
      <c r="N39" s="28">
        <f>'All inclusive sheet'!N47</f>
        <v>0.9055828653259248</v>
      </c>
      <c r="O39" s="28">
        <f>'All inclusive sheet'!O47</f>
        <v>0.90297001259525822</v>
      </c>
      <c r="P39" s="28">
        <f>'All inclusive sheet'!P47</f>
        <v>0.90297001259525822</v>
      </c>
      <c r="Q39" s="28">
        <f>'All inclusive sheet'!Q47</f>
        <v>0.9019633396576372</v>
      </c>
      <c r="R39" s="28">
        <f>'All inclusive sheet'!R47</f>
        <v>0.87737887903210077</v>
      </c>
      <c r="S39" s="28">
        <f>'All inclusive sheet'!S47</f>
        <v>0.82999999999999985</v>
      </c>
      <c r="T39" s="28">
        <f>'All inclusive sheet'!T47</f>
        <v>0.82999999999999985</v>
      </c>
      <c r="U39" s="28">
        <f>'All inclusive sheet'!U47</f>
        <v>0.83000000000000007</v>
      </c>
      <c r="V39" s="28">
        <f>'All inclusive sheet'!V47</f>
        <v>0.83</v>
      </c>
      <c r="W39" s="28">
        <f>'All inclusive sheet'!W47</f>
        <v>0.83</v>
      </c>
      <c r="X39" s="28">
        <f>'All inclusive sheet'!X47</f>
        <v>0.83</v>
      </c>
      <c r="Y39" s="28">
        <f>'All inclusive sheet'!Y47</f>
        <v>0.83</v>
      </c>
      <c r="Z39" s="28">
        <f>'All inclusive sheet'!Z47</f>
        <v>0.83</v>
      </c>
      <c r="AA39" s="28">
        <f>'All inclusive sheet'!AA47</f>
        <v>0.83</v>
      </c>
      <c r="AB39" s="28">
        <f>'All inclusive sheet'!AB47</f>
        <v>0.83</v>
      </c>
      <c r="AC39" s="28">
        <f>'All inclusive sheet'!AC47</f>
        <v>0.83</v>
      </c>
      <c r="AD39" s="28">
        <f>'All inclusive sheet'!AD47</f>
        <v>0.83</v>
      </c>
      <c r="AE39" s="28">
        <f>'All inclusive sheet'!AE47</f>
        <v>0.83</v>
      </c>
      <c r="AF39" s="28">
        <f>'All inclusive sheet'!AF47</f>
        <v>0.83</v>
      </c>
      <c r="AG39" s="28">
        <f>'All inclusive sheet'!AG47</f>
        <v>0.83</v>
      </c>
      <c r="AH39" s="28">
        <f>'All inclusive sheet'!AH47</f>
        <v>0</v>
      </c>
      <c r="AI39" s="28">
        <f>'All inclusive sheet'!AI47</f>
        <v>0</v>
      </c>
      <c r="AJ39" s="28">
        <f>'All inclusive sheet'!AJ47</f>
        <v>0</v>
      </c>
      <c r="AK39" s="28">
        <f>'All inclusive sheet'!AK47</f>
        <v>0</v>
      </c>
      <c r="AL39" s="28">
        <f>'All inclusive sheet'!AL47</f>
        <v>0</v>
      </c>
      <c r="AM39" s="28">
        <f>'All inclusive sheet'!AM47</f>
        <v>0</v>
      </c>
      <c r="AN39" s="28">
        <f>'All inclusive sheet'!AN47</f>
        <v>0</v>
      </c>
      <c r="AO39" s="28">
        <f>'All inclusive sheet'!AO47</f>
        <v>0</v>
      </c>
      <c r="AP39" s="28">
        <f>'All inclusive sheet'!AP47</f>
        <v>0</v>
      </c>
      <c r="AQ39" s="28">
        <f>'All inclusive sheet'!AQ47</f>
        <v>0</v>
      </c>
      <c r="AR39" s="28">
        <f>'All inclusive sheet'!AR47</f>
        <v>0</v>
      </c>
      <c r="AS39" s="28">
        <f>'All inclusive sheet'!AS47</f>
        <v>0</v>
      </c>
      <c r="AT39" s="28">
        <f>'All inclusive sheet'!AT47</f>
        <v>0</v>
      </c>
      <c r="AU39" s="28">
        <f>'All inclusive sheet'!AU47</f>
        <v>0</v>
      </c>
      <c r="AV39" s="28">
        <f>'All inclusive sheet'!AV47</f>
        <v>0</v>
      </c>
      <c r="AW39" s="28">
        <f>'All inclusive sheet'!AW47</f>
        <v>0</v>
      </c>
      <c r="AX39" s="13"/>
    </row>
    <row r="40" spans="2:50" x14ac:dyDescent="0.25">
      <c r="B40" t="s">
        <v>245</v>
      </c>
      <c r="C40" t="s">
        <v>70</v>
      </c>
      <c r="E40" s="18">
        <f>'All inclusive sheet'!E48</f>
        <v>0.91818766837916754</v>
      </c>
      <c r="F40" s="18">
        <f>'All inclusive sheet'!F48</f>
        <v>0.91417585703362159</v>
      </c>
      <c r="G40" s="18">
        <f>'All inclusive sheet'!G48</f>
        <v>0.9060991712167864</v>
      </c>
      <c r="H40" s="18">
        <f>'All inclusive sheet'!H48</f>
        <v>0.55320705892746236</v>
      </c>
      <c r="I40" s="18">
        <f>'All inclusive sheet'!I48</f>
        <v>0.66789270028263747</v>
      </c>
      <c r="J40" s="18">
        <f>'All inclusive sheet'!J48</f>
        <v>0.86398318527394125</v>
      </c>
      <c r="K40" s="29">
        <f t="shared" ref="K40:K42" si="17">AVERAGEIF(L40:AW40,"&gt;0")</f>
        <v>0.78351587051689298</v>
      </c>
      <c r="L40" s="28">
        <f>'All inclusive sheet'!L48</f>
        <v>0.85446871154672577</v>
      </c>
      <c r="M40" s="28">
        <f>'All inclusive sheet'!M48</f>
        <v>0.85677043114051199</v>
      </c>
      <c r="N40" s="28">
        <f>'All inclusive sheet'!N48</f>
        <v>0.8618755321528806</v>
      </c>
      <c r="O40" s="28">
        <f>'All inclusive sheet'!O48</f>
        <v>0.87374832028420435</v>
      </c>
      <c r="P40" s="28">
        <f>'All inclusive sheet'!P48</f>
        <v>0.87374832028420435</v>
      </c>
      <c r="Q40" s="28">
        <f>'All inclusive sheet'!Q48</f>
        <v>0.89277837324679021</v>
      </c>
      <c r="R40" s="28">
        <f>'All inclusive sheet'!R48</f>
        <v>0.89729224674915076</v>
      </c>
      <c r="S40" s="28">
        <f>'All inclusive sheet'!S48</f>
        <v>0.89791082189651372</v>
      </c>
      <c r="T40" s="28">
        <f>'All inclusive sheet'!T48</f>
        <v>0.87195963982087943</v>
      </c>
      <c r="U40" s="28">
        <f>'All inclusive sheet'!U48</f>
        <v>0.85752944554057986</v>
      </c>
      <c r="V40" s="28">
        <f>'All inclusive sheet'!V48</f>
        <v>0.86676064966247546</v>
      </c>
      <c r="W40" s="28">
        <f>'All inclusive sheet'!W48</f>
        <v>0.84838626952041285</v>
      </c>
      <c r="X40" s="28">
        <f>'All inclusive sheet'!X48</f>
        <v>0.8452248881470581</v>
      </c>
      <c r="Y40" s="28">
        <f>'All inclusive sheet'!Y48</f>
        <v>0.82399032797269833</v>
      </c>
      <c r="Z40" s="28">
        <f>'All inclusive sheet'!Z48</f>
        <v>0.74501828985369301</v>
      </c>
      <c r="AA40" s="28">
        <f>'All inclusive sheet'!AA48</f>
        <v>0.74330196369360302</v>
      </c>
      <c r="AB40" s="28">
        <f>'All inclusive sheet'!AB48</f>
        <v>0.74330196369360302</v>
      </c>
      <c r="AC40" s="28">
        <f>'All inclusive sheet'!AC48</f>
        <v>0.7341204331802319</v>
      </c>
      <c r="AD40" s="28">
        <f>'All inclusive sheet'!AD48</f>
        <v>0.73048401729160983</v>
      </c>
      <c r="AE40" s="28">
        <f>'All inclusive sheet'!AE48</f>
        <v>0.71867850569381542</v>
      </c>
      <c r="AF40" s="28">
        <f>'All inclusive sheet'!AF48</f>
        <v>0.35</v>
      </c>
      <c r="AG40" s="28">
        <f>'All inclusive sheet'!AG48</f>
        <v>0.35</v>
      </c>
      <c r="AH40" s="28">
        <f>'All inclusive sheet'!AH48</f>
        <v>0</v>
      </c>
      <c r="AI40" s="28">
        <f>'All inclusive sheet'!AI48</f>
        <v>0</v>
      </c>
      <c r="AJ40" s="28">
        <f>'All inclusive sheet'!AJ48</f>
        <v>0</v>
      </c>
      <c r="AK40" s="28">
        <f>'All inclusive sheet'!AK48</f>
        <v>0</v>
      </c>
      <c r="AL40" s="28">
        <f>'All inclusive sheet'!AL48</f>
        <v>0</v>
      </c>
      <c r="AM40" s="28">
        <f>'All inclusive sheet'!AM48</f>
        <v>0</v>
      </c>
      <c r="AN40" s="28">
        <f>'All inclusive sheet'!AN48</f>
        <v>0</v>
      </c>
      <c r="AO40" s="28">
        <f>'All inclusive sheet'!AO48</f>
        <v>0</v>
      </c>
      <c r="AP40" s="28">
        <f>'All inclusive sheet'!AP48</f>
        <v>0</v>
      </c>
      <c r="AQ40" s="28">
        <f>'All inclusive sheet'!AQ48</f>
        <v>0</v>
      </c>
      <c r="AR40" s="28">
        <f>'All inclusive sheet'!AR48</f>
        <v>0</v>
      </c>
      <c r="AS40" s="28">
        <f>'All inclusive sheet'!AS48</f>
        <v>0</v>
      </c>
      <c r="AT40" s="28">
        <f>'All inclusive sheet'!AT48</f>
        <v>0</v>
      </c>
      <c r="AU40" s="28">
        <f>'All inclusive sheet'!AU48</f>
        <v>0</v>
      </c>
      <c r="AV40" s="28">
        <f>'All inclusive sheet'!AV48</f>
        <v>0</v>
      </c>
      <c r="AW40" s="28">
        <f>'All inclusive sheet'!AW48</f>
        <v>0</v>
      </c>
      <c r="AX40" s="13"/>
    </row>
    <row r="41" spans="2:50" x14ac:dyDescent="0.25">
      <c r="B41" t="s">
        <v>252</v>
      </c>
      <c r="C41" t="s">
        <v>70</v>
      </c>
      <c r="E41" s="18">
        <f>'All inclusive sheet'!E49</f>
        <v>0.91</v>
      </c>
      <c r="F41" s="18">
        <f>'All inclusive sheet'!F49</f>
        <v>0.91</v>
      </c>
      <c r="G41" s="18">
        <f>'All inclusive sheet'!G49</f>
        <v>0.9</v>
      </c>
      <c r="H41" s="18">
        <f>'All inclusive sheet'!H49</f>
        <v>0.88</v>
      </c>
      <c r="I41" s="18">
        <f>'All inclusive sheet'!I49</f>
        <v>0.88</v>
      </c>
      <c r="J41" s="18">
        <f>'All inclusive sheet'!J49</f>
        <v>0.88</v>
      </c>
      <c r="K41" s="29">
        <f t="shared" si="17"/>
        <v>0.89333333333333353</v>
      </c>
      <c r="L41" s="28">
        <f>'All inclusive sheet'!L49</f>
        <v>0.89333333333333342</v>
      </c>
      <c r="M41" s="28">
        <f>'All inclusive sheet'!M49</f>
        <v>0.89333333333333342</v>
      </c>
      <c r="N41" s="28">
        <f>'All inclusive sheet'!N49</f>
        <v>0.89333333333333342</v>
      </c>
      <c r="O41" s="28">
        <f>'All inclusive sheet'!O49</f>
        <v>0.89333333333333342</v>
      </c>
      <c r="P41" s="28">
        <f>'All inclusive sheet'!P49</f>
        <v>0.89333333333333342</v>
      </c>
      <c r="Q41" s="28">
        <f>'All inclusive sheet'!Q49</f>
        <v>0.89333333333333342</v>
      </c>
      <c r="R41" s="28">
        <f>'All inclusive sheet'!R49</f>
        <v>0.89333333333333342</v>
      </c>
      <c r="S41" s="28">
        <f>'All inclusive sheet'!S49</f>
        <v>0.89333333333333342</v>
      </c>
      <c r="T41" s="28">
        <f>'All inclusive sheet'!T49</f>
        <v>0.89333333333333342</v>
      </c>
      <c r="U41" s="28">
        <f>'All inclusive sheet'!U49</f>
        <v>0.89333333333333342</v>
      </c>
      <c r="V41" s="28">
        <f>'All inclusive sheet'!V49</f>
        <v>0.89333333333333342</v>
      </c>
      <c r="W41" s="28">
        <f>'All inclusive sheet'!W49</f>
        <v>0.89333333333333342</v>
      </c>
      <c r="X41" s="28">
        <f>'All inclusive sheet'!X49</f>
        <v>0.89333333333333342</v>
      </c>
      <c r="Y41" s="28">
        <f>'All inclusive sheet'!Y49</f>
        <v>0.89333333333333342</v>
      </c>
      <c r="Z41" s="28">
        <f>'All inclusive sheet'!Z49</f>
        <v>0.89333333333333342</v>
      </c>
      <c r="AA41" s="28">
        <f>'All inclusive sheet'!AA49</f>
        <v>0.89333333333333342</v>
      </c>
      <c r="AB41" s="28">
        <f>'All inclusive sheet'!AB49</f>
        <v>0.89333333333333342</v>
      </c>
      <c r="AC41" s="28">
        <f>'All inclusive sheet'!AC49</f>
        <v>0.89333333333333342</v>
      </c>
      <c r="AD41" s="28">
        <f>'All inclusive sheet'!AD49</f>
        <v>0.89333333333333342</v>
      </c>
      <c r="AE41" s="28">
        <f>'All inclusive sheet'!AE49</f>
        <v>0.89333333333333342</v>
      </c>
      <c r="AF41" s="28">
        <f>'All inclusive sheet'!AF49</f>
        <v>0.89333333333333342</v>
      </c>
      <c r="AG41" s="28">
        <f>'All inclusive sheet'!AG49</f>
        <v>0.89333333333333342</v>
      </c>
      <c r="AH41" s="28">
        <f>'All inclusive sheet'!AH49</f>
        <v>0.89333333333333342</v>
      </c>
      <c r="AI41" s="28">
        <f>'All inclusive sheet'!AI49</f>
        <v>0.89333333333333342</v>
      </c>
      <c r="AJ41" s="28">
        <f>'All inclusive sheet'!AJ49</f>
        <v>0.89333333333333342</v>
      </c>
      <c r="AK41" s="28">
        <f>'All inclusive sheet'!AK49</f>
        <v>0.89333333333333342</v>
      </c>
      <c r="AL41" s="28">
        <f>'All inclusive sheet'!AL49</f>
        <v>0.89333333333333342</v>
      </c>
      <c r="AM41" s="28">
        <f>'All inclusive sheet'!AM49</f>
        <v>0</v>
      </c>
      <c r="AN41" s="28">
        <f>'All inclusive sheet'!AN49</f>
        <v>0</v>
      </c>
      <c r="AO41" s="28">
        <f>'All inclusive sheet'!AO49</f>
        <v>0</v>
      </c>
      <c r="AP41" s="28">
        <f>'All inclusive sheet'!AP49</f>
        <v>0</v>
      </c>
      <c r="AQ41" s="28">
        <f>'All inclusive sheet'!AQ49</f>
        <v>0</v>
      </c>
      <c r="AR41" s="28">
        <f>'All inclusive sheet'!AR49</f>
        <v>0</v>
      </c>
      <c r="AS41" s="28">
        <f>'All inclusive sheet'!AS49</f>
        <v>0</v>
      </c>
      <c r="AT41" s="28">
        <f>'All inclusive sheet'!AT49</f>
        <v>0</v>
      </c>
      <c r="AU41" s="28">
        <f>'All inclusive sheet'!AU49</f>
        <v>0</v>
      </c>
      <c r="AV41" s="28">
        <f>'All inclusive sheet'!AV49</f>
        <v>0</v>
      </c>
      <c r="AW41" s="28">
        <f>'All inclusive sheet'!AW49</f>
        <v>0</v>
      </c>
      <c r="AX41" s="13"/>
    </row>
    <row r="42" spans="2:50" x14ac:dyDescent="0.25">
      <c r="B42" t="s">
        <v>253</v>
      </c>
      <c r="C42" t="s">
        <v>70</v>
      </c>
      <c r="E42" s="18">
        <f>'All inclusive sheet'!E50</f>
        <v>0.9</v>
      </c>
      <c r="F42" s="18">
        <f>'All inclusive sheet'!F50</f>
        <v>0.9</v>
      </c>
      <c r="G42" s="18">
        <f>'All inclusive sheet'!G50</f>
        <v>0.89</v>
      </c>
      <c r="H42" s="18">
        <f>'All inclusive sheet'!H50</f>
        <v>0.88</v>
      </c>
      <c r="I42" s="18">
        <f>'All inclusive sheet'!I50</f>
        <v>0.88</v>
      </c>
      <c r="J42" s="18">
        <f>'All inclusive sheet'!J50</f>
        <v>0.89</v>
      </c>
      <c r="K42" s="29">
        <f t="shared" si="17"/>
        <v>0.89000000000000035</v>
      </c>
      <c r="L42" s="28">
        <f>'All inclusive sheet'!L50</f>
        <v>0.89</v>
      </c>
      <c r="M42" s="28">
        <f>'All inclusive sheet'!M50</f>
        <v>0.89</v>
      </c>
      <c r="N42" s="28">
        <f>'All inclusive sheet'!N50</f>
        <v>0.89</v>
      </c>
      <c r="O42" s="28">
        <f>'All inclusive sheet'!O50</f>
        <v>0.89</v>
      </c>
      <c r="P42" s="28">
        <f>'All inclusive sheet'!P50</f>
        <v>0.89</v>
      </c>
      <c r="Q42" s="28">
        <f>'All inclusive sheet'!Q50</f>
        <v>0.89</v>
      </c>
      <c r="R42" s="28">
        <f>'All inclusive sheet'!R50</f>
        <v>0.89</v>
      </c>
      <c r="S42" s="28">
        <f>'All inclusive sheet'!S50</f>
        <v>0.89</v>
      </c>
      <c r="T42" s="28">
        <f>'All inclusive sheet'!T50</f>
        <v>0.89</v>
      </c>
      <c r="U42" s="28">
        <f>'All inclusive sheet'!U50</f>
        <v>0.89</v>
      </c>
      <c r="V42" s="28">
        <f>'All inclusive sheet'!V50</f>
        <v>0.89</v>
      </c>
      <c r="W42" s="28">
        <f>'All inclusive sheet'!W50</f>
        <v>0.89</v>
      </c>
      <c r="X42" s="28">
        <f>'All inclusive sheet'!X50</f>
        <v>0.89</v>
      </c>
      <c r="Y42" s="28">
        <f>'All inclusive sheet'!Y50</f>
        <v>0.89</v>
      </c>
      <c r="Z42" s="28">
        <f>'All inclusive sheet'!Z50</f>
        <v>0.89</v>
      </c>
      <c r="AA42" s="28">
        <f>'All inclusive sheet'!AA50</f>
        <v>0.89</v>
      </c>
      <c r="AB42" s="28">
        <f>'All inclusive sheet'!AB50</f>
        <v>0.89</v>
      </c>
      <c r="AC42" s="28">
        <f>'All inclusive sheet'!AC50</f>
        <v>0.89</v>
      </c>
      <c r="AD42" s="28">
        <f>'All inclusive sheet'!AD50</f>
        <v>0.89</v>
      </c>
      <c r="AE42" s="28">
        <f>'All inclusive sheet'!AE50</f>
        <v>0.89</v>
      </c>
      <c r="AF42" s="28">
        <f>'All inclusive sheet'!AF50</f>
        <v>0.89</v>
      </c>
      <c r="AG42" s="28">
        <f>'All inclusive sheet'!AG50</f>
        <v>0.89</v>
      </c>
      <c r="AH42" s="28">
        <f>'All inclusive sheet'!AH50</f>
        <v>0.89</v>
      </c>
      <c r="AI42" s="28">
        <f>'All inclusive sheet'!AI50</f>
        <v>0.89</v>
      </c>
      <c r="AJ42" s="28">
        <f>'All inclusive sheet'!AJ50</f>
        <v>0.89</v>
      </c>
      <c r="AK42" s="28">
        <f>'All inclusive sheet'!AK50</f>
        <v>0.89</v>
      </c>
      <c r="AL42" s="28">
        <f>'All inclusive sheet'!AL50</f>
        <v>0.89</v>
      </c>
      <c r="AM42" s="28">
        <f>'All inclusive sheet'!AM50</f>
        <v>0</v>
      </c>
      <c r="AN42" s="28">
        <f>'All inclusive sheet'!AN50</f>
        <v>0</v>
      </c>
      <c r="AO42" s="28">
        <f>'All inclusive sheet'!AO50</f>
        <v>0</v>
      </c>
      <c r="AP42" s="28">
        <f>'All inclusive sheet'!AP50</f>
        <v>0</v>
      </c>
      <c r="AQ42" s="28">
        <f>'All inclusive sheet'!AQ50</f>
        <v>0</v>
      </c>
      <c r="AR42" s="28">
        <f>'All inclusive sheet'!AR50</f>
        <v>0</v>
      </c>
      <c r="AS42" s="28">
        <f>'All inclusive sheet'!AS50</f>
        <v>0</v>
      </c>
      <c r="AT42" s="28">
        <f>'All inclusive sheet'!AT50</f>
        <v>0</v>
      </c>
      <c r="AU42" s="28">
        <f>'All inclusive sheet'!AU50</f>
        <v>0</v>
      </c>
      <c r="AV42" s="28">
        <f>'All inclusive sheet'!AV50</f>
        <v>0</v>
      </c>
      <c r="AW42" s="28">
        <f>'All inclusive sheet'!AW50</f>
        <v>0</v>
      </c>
      <c r="AX42" s="13"/>
    </row>
    <row r="43" spans="2:50" x14ac:dyDescent="0.25">
      <c r="K43" s="2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2:50" x14ac:dyDescent="0.25">
      <c r="B44" t="s">
        <v>246</v>
      </c>
      <c r="C44" t="s">
        <v>70</v>
      </c>
      <c r="E44" s="18">
        <f>'All inclusive sheet'!E59</f>
        <v>0.94362611957961207</v>
      </c>
      <c r="F44" s="18">
        <f>'All inclusive sheet'!F59</f>
        <v>0.92642868102839915</v>
      </c>
      <c r="G44" s="18">
        <f>'All inclusive sheet'!G59</f>
        <v>0.96347377434151771</v>
      </c>
      <c r="H44" s="18">
        <f>'All inclusive sheet'!H59</f>
        <v>0.96398706700986725</v>
      </c>
      <c r="I44" s="18">
        <f>'All inclusive sheet'!I59</f>
        <v>0.9403093259318509</v>
      </c>
      <c r="J44" s="18">
        <f>'All inclusive sheet'!J59</f>
        <v>0.97919791917139198</v>
      </c>
      <c r="K44" s="29">
        <f>AVERAGEIF(L44:AW44,"&gt;0")</f>
        <v>0.92153188829627897</v>
      </c>
      <c r="L44" s="28">
        <f>'All inclusive sheet'!L59</f>
        <v>0.95089303067465547</v>
      </c>
      <c r="M44" s="28">
        <f>'All inclusive sheet'!M59</f>
        <v>0.95244700680160577</v>
      </c>
      <c r="N44" s="28">
        <f>'All inclusive sheet'!N59</f>
        <v>0.95244700680160577</v>
      </c>
      <c r="O44" s="28">
        <f>'All inclusive sheet'!O59</f>
        <v>0.95105234286832196</v>
      </c>
      <c r="P44" s="28">
        <f>'All inclusive sheet'!P59</f>
        <v>0.95105234286832185</v>
      </c>
      <c r="Q44" s="28">
        <f>'All inclusive sheet'!Q59</f>
        <v>0.950512854181222</v>
      </c>
      <c r="R44" s="28">
        <f>'All inclusive sheet'!R59</f>
        <v>0.93695344442045492</v>
      </c>
      <c r="S44" s="28">
        <f>'All inclusive sheet'!S59</f>
        <v>0.90855623426013021</v>
      </c>
      <c r="T44" s="28">
        <f>'All inclusive sheet'!T59</f>
        <v>0.9085562342601301</v>
      </c>
      <c r="U44" s="28">
        <f>'All inclusive sheet'!U59</f>
        <v>0.9085562342601301</v>
      </c>
      <c r="V44" s="28">
        <f>'All inclusive sheet'!V59</f>
        <v>0.90855623426013021</v>
      </c>
      <c r="W44" s="28">
        <f>'All inclusive sheet'!W59</f>
        <v>0.90855623426013021</v>
      </c>
      <c r="X44" s="28">
        <f>'All inclusive sheet'!X59</f>
        <v>0.90855623426013021</v>
      </c>
      <c r="Y44" s="28">
        <f>'All inclusive sheet'!Y59</f>
        <v>0.90855623426013021</v>
      </c>
      <c r="Z44" s="28">
        <f>'All inclusive sheet'!Z59</f>
        <v>0.90855623426013021</v>
      </c>
      <c r="AA44" s="28">
        <f>'All inclusive sheet'!AA59</f>
        <v>0.90855623426013021</v>
      </c>
      <c r="AB44" s="28">
        <f>'All inclusive sheet'!AB59</f>
        <v>0.90855623426013021</v>
      </c>
      <c r="AC44" s="28">
        <f>'All inclusive sheet'!AC59</f>
        <v>0.9085562342601301</v>
      </c>
      <c r="AD44" s="28">
        <f>'All inclusive sheet'!AD59</f>
        <v>0.90855623426013021</v>
      </c>
      <c r="AE44" s="28">
        <f>'All inclusive sheet'!AE59</f>
        <v>0.90855623426013021</v>
      </c>
      <c r="AF44" s="28">
        <f>'All inclusive sheet'!AF59</f>
        <v>0.90855623426013021</v>
      </c>
      <c r="AG44" s="28">
        <f>'All inclusive sheet'!AG59</f>
        <v>0.90855623426013021</v>
      </c>
      <c r="AH44" s="28">
        <f>'All inclusive sheet'!AH59</f>
        <v>0</v>
      </c>
      <c r="AI44" s="28">
        <f>'All inclusive sheet'!AI59</f>
        <v>0</v>
      </c>
      <c r="AJ44" s="28">
        <f>'All inclusive sheet'!AJ59</f>
        <v>0</v>
      </c>
      <c r="AK44" s="28">
        <f>'All inclusive sheet'!AK59</f>
        <v>0</v>
      </c>
      <c r="AL44" s="28">
        <f>'All inclusive sheet'!AL59</f>
        <v>0</v>
      </c>
      <c r="AM44" s="28">
        <f>'All inclusive sheet'!AM59</f>
        <v>0</v>
      </c>
      <c r="AN44" s="28">
        <f>'All inclusive sheet'!AN59</f>
        <v>0</v>
      </c>
      <c r="AO44" s="28">
        <f>'All inclusive sheet'!AO59</f>
        <v>0</v>
      </c>
      <c r="AP44" s="28">
        <f>'All inclusive sheet'!AP59</f>
        <v>0</v>
      </c>
      <c r="AQ44" s="28">
        <f>'All inclusive sheet'!AQ59</f>
        <v>0</v>
      </c>
      <c r="AR44" s="28">
        <f>'All inclusive sheet'!AR59</f>
        <v>0</v>
      </c>
      <c r="AS44" s="28">
        <f>'All inclusive sheet'!AS59</f>
        <v>0</v>
      </c>
      <c r="AT44" s="28">
        <f>'All inclusive sheet'!AT59</f>
        <v>0</v>
      </c>
      <c r="AU44" s="28">
        <f>'All inclusive sheet'!AU59</f>
        <v>0</v>
      </c>
      <c r="AV44" s="28">
        <f>'All inclusive sheet'!AV59</f>
        <v>0</v>
      </c>
      <c r="AW44" s="28">
        <f>'All inclusive sheet'!AW59</f>
        <v>0</v>
      </c>
      <c r="AX44" s="13"/>
    </row>
    <row r="45" spans="2:50" x14ac:dyDescent="0.25">
      <c r="B45" t="s">
        <v>247</v>
      </c>
      <c r="C45" t="s">
        <v>70</v>
      </c>
      <c r="E45" s="18">
        <f>'All inclusive sheet'!E60</f>
        <v>0.93824465757793329</v>
      </c>
      <c r="F45" s="18">
        <f>'All inclusive sheet'!F60</f>
        <v>0.93371842314382081</v>
      </c>
      <c r="G45" s="18">
        <f>'All inclusive sheet'!G60</f>
        <v>0.9627765572110093</v>
      </c>
      <c r="H45" s="18">
        <f>'All inclusive sheet'!H60</f>
        <v>0.97397560765318203</v>
      </c>
      <c r="I45" s="18">
        <f>'All inclusive sheet'!I60</f>
        <v>0.98584286131065546</v>
      </c>
      <c r="J45" s="18">
        <f>'All inclusive sheet'!J60</f>
        <v>0.99783606160322269</v>
      </c>
      <c r="K45" s="29">
        <f t="shared" ref="K45:K47" si="18">AVERAGEIF(L45:AW45,"&gt;0")</f>
        <v>0.98532201526604157</v>
      </c>
      <c r="L45" s="28">
        <f>'All inclusive sheet'!L60</f>
        <v>0.99105564726786233</v>
      </c>
      <c r="M45" s="28">
        <f>'All inclusive sheet'!M60</f>
        <v>0.991209417621286</v>
      </c>
      <c r="N45" s="28">
        <f>'All inclusive sheet'!N60</f>
        <v>0.99071649903546988</v>
      </c>
      <c r="O45" s="28">
        <f>'All inclusive sheet'!O60</f>
        <v>0.99020413740793067</v>
      </c>
      <c r="P45" s="28">
        <f>'All inclusive sheet'!P60</f>
        <v>0.99020413740793067</v>
      </c>
      <c r="Q45" s="28">
        <f>'All inclusive sheet'!Q60</f>
        <v>0.99034485157988028</v>
      </c>
      <c r="R45" s="28">
        <f>'All inclusive sheet'!R60</f>
        <v>0.99222107551808281</v>
      </c>
      <c r="S45" s="28">
        <f>'All inclusive sheet'!S60</f>
        <v>0.9928719273743225</v>
      </c>
      <c r="T45" s="28">
        <f>'All inclusive sheet'!T60</f>
        <v>0.99294777013457458</v>
      </c>
      <c r="U45" s="28">
        <f>'All inclusive sheet'!U60</f>
        <v>0.99300284864867039</v>
      </c>
      <c r="V45" s="28">
        <f>'All inclusive sheet'!V60</f>
        <v>0.99288869949262026</v>
      </c>
      <c r="W45" s="28">
        <f>'All inclusive sheet'!W60</f>
        <v>0.99379432743071505</v>
      </c>
      <c r="X45" s="28">
        <f>'All inclusive sheet'!X60</f>
        <v>0.99393314114533615</v>
      </c>
      <c r="Y45" s="28">
        <f>'All inclusive sheet'!Y60</f>
        <v>0.99489313902334731</v>
      </c>
      <c r="Z45" s="28">
        <f>'All inclusive sheet'!Z60</f>
        <v>0.99592808711326963</v>
      </c>
      <c r="AA45" s="28">
        <f>'All inclusive sheet'!AA60</f>
        <v>0.99574933263640331</v>
      </c>
      <c r="AB45" s="28">
        <f>'All inclusive sheet'!AB60</f>
        <v>0.99574933263640331</v>
      </c>
      <c r="AC45" s="28">
        <f>'All inclusive sheet'!AC60</f>
        <v>0.99477888566350536</v>
      </c>
      <c r="AD45" s="28">
        <f>'All inclusive sheet'!AD60</f>
        <v>0.99438778834666408</v>
      </c>
      <c r="AE45" s="28">
        <f>'All inclusive sheet'!AE60</f>
        <v>0.99309082184838116</v>
      </c>
      <c r="AF45" s="28">
        <f>'All inclusive sheet'!AF60</f>
        <v>0.90855623426013021</v>
      </c>
      <c r="AG45" s="28">
        <f>'All inclusive sheet'!AG60</f>
        <v>0.90855623426013021</v>
      </c>
      <c r="AH45" s="28">
        <f>'All inclusive sheet'!AH60</f>
        <v>0</v>
      </c>
      <c r="AI45" s="28">
        <f>'All inclusive sheet'!AI60</f>
        <v>0</v>
      </c>
      <c r="AJ45" s="28">
        <f>'All inclusive sheet'!AJ60</f>
        <v>0</v>
      </c>
      <c r="AK45" s="28">
        <f>'All inclusive sheet'!AK60</f>
        <v>0</v>
      </c>
      <c r="AL45" s="28">
        <f>'All inclusive sheet'!AL60</f>
        <v>0</v>
      </c>
      <c r="AM45" s="28">
        <f>'All inclusive sheet'!AM60</f>
        <v>0</v>
      </c>
      <c r="AN45" s="28">
        <f>'All inclusive sheet'!AN60</f>
        <v>0</v>
      </c>
      <c r="AO45" s="28">
        <f>'All inclusive sheet'!AO60</f>
        <v>0</v>
      </c>
      <c r="AP45" s="28">
        <f>'All inclusive sheet'!AP60</f>
        <v>0</v>
      </c>
      <c r="AQ45" s="28">
        <f>'All inclusive sheet'!AQ60</f>
        <v>0</v>
      </c>
      <c r="AR45" s="28">
        <f>'All inclusive sheet'!AR60</f>
        <v>0</v>
      </c>
      <c r="AS45" s="28">
        <f>'All inclusive sheet'!AS60</f>
        <v>0</v>
      </c>
      <c r="AT45" s="28">
        <f>'All inclusive sheet'!AT60</f>
        <v>0</v>
      </c>
      <c r="AU45" s="28">
        <f>'All inclusive sheet'!AU60</f>
        <v>0</v>
      </c>
      <c r="AV45" s="28">
        <f>'All inclusive sheet'!AV60</f>
        <v>0</v>
      </c>
      <c r="AW45" s="28">
        <f>'All inclusive sheet'!AW60</f>
        <v>0</v>
      </c>
      <c r="AX45" s="13"/>
    </row>
    <row r="46" spans="2:50" x14ac:dyDescent="0.25">
      <c r="B46" t="s">
        <v>258</v>
      </c>
      <c r="C46" t="s">
        <v>70</v>
      </c>
      <c r="E46" s="18">
        <f>'All inclusive sheet'!E61</f>
        <v>0.81844607461845886</v>
      </c>
      <c r="F46" s="18">
        <f>'All inclusive sheet'!F61</f>
        <v>0.84572462324679454</v>
      </c>
      <c r="G46" s="18">
        <f>'All inclusive sheet'!G61</f>
        <v>0.88028911299008705</v>
      </c>
      <c r="H46" s="18">
        <f>'All inclusive sheet'!H61</f>
        <v>0.8877577901338668</v>
      </c>
      <c r="I46" s="18">
        <f>'All inclusive sheet'!I61</f>
        <v>0.87891910810383189</v>
      </c>
      <c r="J46" s="18">
        <f>'All inclusive sheet'!J61</f>
        <v>0.90342981483518281</v>
      </c>
      <c r="K46" s="29">
        <f t="shared" si="18"/>
        <v>0.88759895651574194</v>
      </c>
      <c r="L46" s="28">
        <f>'All inclusive sheet'!L61</f>
        <v>0.88759895651574217</v>
      </c>
      <c r="M46" s="28">
        <f>'All inclusive sheet'!M61</f>
        <v>0.88759895651574217</v>
      </c>
      <c r="N46" s="28">
        <f>'All inclusive sheet'!N61</f>
        <v>0.88759895651574217</v>
      </c>
      <c r="O46" s="28">
        <f>'All inclusive sheet'!O61</f>
        <v>0.88759895651574217</v>
      </c>
      <c r="P46" s="28">
        <f>'All inclusive sheet'!P61</f>
        <v>0.88759895651574217</v>
      </c>
      <c r="Q46" s="28">
        <f>'All inclusive sheet'!Q61</f>
        <v>0.88759895651574217</v>
      </c>
      <c r="R46" s="28">
        <f>'All inclusive sheet'!R61</f>
        <v>0.88759895651574217</v>
      </c>
      <c r="S46" s="28">
        <f>'All inclusive sheet'!S61</f>
        <v>0.88759895651574217</v>
      </c>
      <c r="T46" s="28">
        <f>'All inclusive sheet'!T61</f>
        <v>0.88759895651574217</v>
      </c>
      <c r="U46" s="28">
        <f>'All inclusive sheet'!U61</f>
        <v>0.88759895651574217</v>
      </c>
      <c r="V46" s="28">
        <f>'All inclusive sheet'!V61</f>
        <v>0.88759895651574217</v>
      </c>
      <c r="W46" s="28">
        <f>'All inclusive sheet'!W61</f>
        <v>0.88759895651574217</v>
      </c>
      <c r="X46" s="28">
        <f>'All inclusive sheet'!X61</f>
        <v>0.88759895651574217</v>
      </c>
      <c r="Y46" s="28">
        <f>'All inclusive sheet'!Y61</f>
        <v>0.88759895651574217</v>
      </c>
      <c r="Z46" s="28">
        <f>'All inclusive sheet'!Z61</f>
        <v>0.88759895651574217</v>
      </c>
      <c r="AA46" s="28">
        <f>'All inclusive sheet'!AA61</f>
        <v>0.88759895651574217</v>
      </c>
      <c r="AB46" s="28">
        <f>'All inclusive sheet'!AB61</f>
        <v>0.88759895651574217</v>
      </c>
      <c r="AC46" s="28">
        <f>'All inclusive sheet'!AC61</f>
        <v>0.88759895651574217</v>
      </c>
      <c r="AD46" s="28">
        <f>'All inclusive sheet'!AD61</f>
        <v>0.88759895651574217</v>
      </c>
      <c r="AE46" s="28">
        <f>'All inclusive sheet'!AE61</f>
        <v>0.88759895651574217</v>
      </c>
      <c r="AF46" s="28">
        <f>'All inclusive sheet'!AF61</f>
        <v>0.88759895651574217</v>
      </c>
      <c r="AG46" s="28">
        <f>'All inclusive sheet'!AG61</f>
        <v>0.88759895651574217</v>
      </c>
      <c r="AH46" s="28">
        <f>'All inclusive sheet'!AH61</f>
        <v>0.88759895651574217</v>
      </c>
      <c r="AI46" s="28">
        <f>'All inclusive sheet'!AI61</f>
        <v>0.88759895651574217</v>
      </c>
      <c r="AJ46" s="28">
        <f>'All inclusive sheet'!AJ61</f>
        <v>0.88759895651574217</v>
      </c>
      <c r="AK46" s="28">
        <f>'All inclusive sheet'!AK61</f>
        <v>0.88759895651574217</v>
      </c>
      <c r="AL46" s="28">
        <f>'All inclusive sheet'!AL61</f>
        <v>0.88759895651574217</v>
      </c>
      <c r="AM46" s="28">
        <f>'All inclusive sheet'!AM61</f>
        <v>0</v>
      </c>
      <c r="AN46" s="28">
        <f>'All inclusive sheet'!AN61</f>
        <v>0</v>
      </c>
      <c r="AO46" s="28">
        <f>'All inclusive sheet'!AO61</f>
        <v>0</v>
      </c>
      <c r="AP46" s="28">
        <f>'All inclusive sheet'!AP61</f>
        <v>0</v>
      </c>
      <c r="AQ46" s="28">
        <f>'All inclusive sheet'!AQ61</f>
        <v>0</v>
      </c>
      <c r="AR46" s="28">
        <f>'All inclusive sheet'!AR61</f>
        <v>0</v>
      </c>
      <c r="AS46" s="28">
        <f>'All inclusive sheet'!AS61</f>
        <v>0</v>
      </c>
      <c r="AT46" s="28">
        <f>'All inclusive sheet'!AT61</f>
        <v>0</v>
      </c>
      <c r="AU46" s="28">
        <f>'All inclusive sheet'!AU61</f>
        <v>0</v>
      </c>
      <c r="AV46" s="28">
        <f>'All inclusive sheet'!AV61</f>
        <v>0</v>
      </c>
      <c r="AW46" s="28">
        <f>'All inclusive sheet'!AW61</f>
        <v>0</v>
      </c>
      <c r="AX46" s="13"/>
    </row>
    <row r="47" spans="2:50" x14ac:dyDescent="0.25">
      <c r="B47" t="s">
        <v>259</v>
      </c>
      <c r="C47" t="s">
        <v>70</v>
      </c>
      <c r="E47" s="18">
        <f>'All inclusive sheet'!E62</f>
        <v>0.81844607461845886</v>
      </c>
      <c r="F47" s="18">
        <f>'All inclusive sheet'!F62</f>
        <v>0.84572462324679454</v>
      </c>
      <c r="G47" s="18">
        <f>'All inclusive sheet'!G62</f>
        <v>0.88028911299008705</v>
      </c>
      <c r="H47" s="18">
        <f>'All inclusive sheet'!H62</f>
        <v>0.8877577901338668</v>
      </c>
      <c r="I47" s="18">
        <f>'All inclusive sheet'!I62</f>
        <v>0.87891910810383189</v>
      </c>
      <c r="J47" s="18">
        <f>'All inclusive sheet'!J62</f>
        <v>0.90342981483518281</v>
      </c>
      <c r="K47" s="29">
        <f t="shared" si="18"/>
        <v>0.88759895651574194</v>
      </c>
      <c r="L47" s="28">
        <f>'All inclusive sheet'!L62</f>
        <v>0.88759895651574217</v>
      </c>
      <c r="M47" s="28">
        <f>'All inclusive sheet'!M62</f>
        <v>0.88759895651574217</v>
      </c>
      <c r="N47" s="28">
        <f>'All inclusive sheet'!N62</f>
        <v>0.88759895651574217</v>
      </c>
      <c r="O47" s="28">
        <f>'All inclusive sheet'!O62</f>
        <v>0.88759895651574217</v>
      </c>
      <c r="P47" s="28">
        <f>'All inclusive sheet'!P62</f>
        <v>0.88759895651574217</v>
      </c>
      <c r="Q47" s="28">
        <f>'All inclusive sheet'!Q62</f>
        <v>0.88759895651574217</v>
      </c>
      <c r="R47" s="28">
        <f>'All inclusive sheet'!R62</f>
        <v>0.88759895651574217</v>
      </c>
      <c r="S47" s="28">
        <f>'All inclusive sheet'!S62</f>
        <v>0.88759895651574217</v>
      </c>
      <c r="T47" s="28">
        <f>'All inclusive sheet'!T62</f>
        <v>0.88759895651574217</v>
      </c>
      <c r="U47" s="28">
        <f>'All inclusive sheet'!U62</f>
        <v>0.88759895651574217</v>
      </c>
      <c r="V47" s="28">
        <f>'All inclusive sheet'!V62</f>
        <v>0.88759895651574217</v>
      </c>
      <c r="W47" s="28">
        <f>'All inclusive sheet'!W62</f>
        <v>0.88759895651574217</v>
      </c>
      <c r="X47" s="28">
        <f>'All inclusive sheet'!X62</f>
        <v>0.88759895651574217</v>
      </c>
      <c r="Y47" s="28">
        <f>'All inclusive sheet'!Y62</f>
        <v>0.88759895651574217</v>
      </c>
      <c r="Z47" s="28">
        <f>'All inclusive sheet'!Z62</f>
        <v>0.88759895651574217</v>
      </c>
      <c r="AA47" s="28">
        <f>'All inclusive sheet'!AA62</f>
        <v>0.88759895651574217</v>
      </c>
      <c r="AB47" s="28">
        <f>'All inclusive sheet'!AB62</f>
        <v>0.88759895651574217</v>
      </c>
      <c r="AC47" s="28">
        <f>'All inclusive sheet'!AC62</f>
        <v>0.88759895651574217</v>
      </c>
      <c r="AD47" s="28">
        <f>'All inclusive sheet'!AD62</f>
        <v>0.88759895651574217</v>
      </c>
      <c r="AE47" s="28">
        <f>'All inclusive sheet'!AE62</f>
        <v>0.88759895651574217</v>
      </c>
      <c r="AF47" s="28">
        <f>'All inclusive sheet'!AF62</f>
        <v>0.88759895651574217</v>
      </c>
      <c r="AG47" s="28">
        <f>'All inclusive sheet'!AG62</f>
        <v>0.88759895651574217</v>
      </c>
      <c r="AH47" s="28">
        <f>'All inclusive sheet'!AH62</f>
        <v>0.88759895651574217</v>
      </c>
      <c r="AI47" s="28">
        <f>'All inclusive sheet'!AI62</f>
        <v>0.88759895651574217</v>
      </c>
      <c r="AJ47" s="28">
        <f>'All inclusive sheet'!AJ62</f>
        <v>0.88759895651574217</v>
      </c>
      <c r="AK47" s="28">
        <f>'All inclusive sheet'!AK62</f>
        <v>0.88759895651574217</v>
      </c>
      <c r="AL47" s="28">
        <f>'All inclusive sheet'!AL62</f>
        <v>0.88759895651574217</v>
      </c>
      <c r="AM47" s="28">
        <f>'All inclusive sheet'!AM62</f>
        <v>0</v>
      </c>
      <c r="AN47" s="28">
        <f>'All inclusive sheet'!AN62</f>
        <v>0</v>
      </c>
      <c r="AO47" s="28">
        <f>'All inclusive sheet'!AO62</f>
        <v>0</v>
      </c>
      <c r="AP47" s="28">
        <f>'All inclusive sheet'!AP62</f>
        <v>0</v>
      </c>
      <c r="AQ47" s="28">
        <f>'All inclusive sheet'!AQ62</f>
        <v>0</v>
      </c>
      <c r="AR47" s="28">
        <f>'All inclusive sheet'!AR62</f>
        <v>0</v>
      </c>
      <c r="AS47" s="28">
        <f>'All inclusive sheet'!AS62</f>
        <v>0</v>
      </c>
      <c r="AT47" s="28">
        <f>'All inclusive sheet'!AT62</f>
        <v>0</v>
      </c>
      <c r="AU47" s="28">
        <f>'All inclusive sheet'!AU62</f>
        <v>0</v>
      </c>
      <c r="AV47" s="28">
        <f>'All inclusive sheet'!AV62</f>
        <v>0</v>
      </c>
      <c r="AW47" s="28">
        <f>'All inclusive sheet'!AW62</f>
        <v>0</v>
      </c>
      <c r="AX47" s="13"/>
    </row>
    <row r="48" spans="2:50" x14ac:dyDescent="0.25">
      <c r="K48" s="26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2:50" x14ac:dyDescent="0.25">
      <c r="B49" t="s">
        <v>248</v>
      </c>
      <c r="C49" t="s">
        <v>84</v>
      </c>
      <c r="E49" s="6">
        <f>'All inclusive sheet'!E65</f>
        <v>7992130.1206347644</v>
      </c>
      <c r="F49" s="6">
        <f>'All inclusive sheet'!F65</f>
        <v>8236824.5965886787</v>
      </c>
      <c r="G49" s="6">
        <f>'All inclusive sheet'!G65</f>
        <v>8487979.4625593498</v>
      </c>
      <c r="H49" s="6">
        <f>'All inclusive sheet'!H65</f>
        <v>6876810.9277084293</v>
      </c>
      <c r="I49" s="6">
        <f>'All inclusive sheet'!I65</f>
        <v>7051098.4826744962</v>
      </c>
      <c r="J49" s="6">
        <f>'All inclusive sheet'!J65</f>
        <v>1635385.8623498785</v>
      </c>
      <c r="K49" s="15">
        <f t="shared" ref="K49:K52" si="19">SUM(L49:AW49)</f>
        <v>38183756.745418184</v>
      </c>
      <c r="L49" s="16">
        <f>'All inclusive sheet'!L65</f>
        <v>1622160.0409607063</v>
      </c>
      <c r="M49" s="16">
        <f>'All inclusive sheet'!M65</f>
        <v>1567283.7228462738</v>
      </c>
      <c r="N49" s="16">
        <f>'All inclusive sheet'!N65</f>
        <v>1567283.7228462738</v>
      </c>
      <c r="O49" s="16">
        <f>'All inclusive sheet'!O65</f>
        <v>1583641.79676416</v>
      </c>
      <c r="P49" s="16">
        <f>'All inclusive sheet'!P65</f>
        <v>4838905.4901127107</v>
      </c>
      <c r="Q49" s="16">
        <f>'All inclusive sheet'!Q65</f>
        <v>6070477.6449307352</v>
      </c>
      <c r="R49" s="16">
        <f>'All inclusive sheet'!R65</f>
        <v>2456542.0893209828</v>
      </c>
      <c r="S49" s="16">
        <f>'All inclusive sheet'!S65</f>
        <v>1067164.2929345346</v>
      </c>
      <c r="T49" s="16">
        <f>'All inclusive sheet'!T65</f>
        <v>1073279.9969989697</v>
      </c>
      <c r="U49" s="16">
        <f>'All inclusive sheet'!U65</f>
        <v>1250584.8069899932</v>
      </c>
      <c r="V49" s="16">
        <f>'All inclusive sheet'!V65</f>
        <v>1117664.9081874099</v>
      </c>
      <c r="W49" s="16">
        <f>'All inclusive sheet'!W65</f>
        <v>1054306.8918148414</v>
      </c>
      <c r="X49" s="16">
        <f>'All inclusive sheet'!X65</f>
        <v>1054306.8918148414</v>
      </c>
      <c r="Y49" s="16">
        <f>'All inclusive sheet'!Y65</f>
        <v>1057195.4038472108</v>
      </c>
      <c r="Z49" s="16">
        <f>'All inclusive sheet'!Z65</f>
        <v>1453941.856317092</v>
      </c>
      <c r="AA49" s="16">
        <f>'All inclusive sheet'!AA65</f>
        <v>1491458.5298844099</v>
      </c>
      <c r="AB49" s="16">
        <f>'All inclusive sheet'!AB65</f>
        <v>1491458.5298844099</v>
      </c>
      <c r="AC49" s="16">
        <f>'All inclusive sheet'!AC65</f>
        <v>1495544.7176375175</v>
      </c>
      <c r="AD49" s="16">
        <f>'All inclusive sheet'!AD65</f>
        <v>1491458.5298844099</v>
      </c>
      <c r="AE49" s="16">
        <f>'All inclusive sheet'!AE65</f>
        <v>1491458.5298844099</v>
      </c>
      <c r="AF49" s="16">
        <f>'All inclusive sheet'!AF65</f>
        <v>1491458.5298844099</v>
      </c>
      <c r="AG49" s="16">
        <f>'All inclusive sheet'!AG65</f>
        <v>396179.82167187455</v>
      </c>
      <c r="AH49" s="16">
        <f>'All inclusive sheet'!AH65</f>
        <v>0</v>
      </c>
      <c r="AI49" s="16">
        <f>'All inclusive sheet'!AI65</f>
        <v>0</v>
      </c>
      <c r="AJ49" s="16">
        <f>'All inclusive sheet'!AJ65</f>
        <v>0</v>
      </c>
      <c r="AK49" s="16">
        <f>'All inclusive sheet'!AK65</f>
        <v>0</v>
      </c>
      <c r="AL49" s="16">
        <f>'All inclusive sheet'!AL65</f>
        <v>0</v>
      </c>
      <c r="AM49" s="16">
        <f>'All inclusive sheet'!AM65</f>
        <v>0</v>
      </c>
      <c r="AN49" s="16">
        <f>'All inclusive sheet'!AN65</f>
        <v>0</v>
      </c>
      <c r="AO49" s="16">
        <f>'All inclusive sheet'!AO65</f>
        <v>0</v>
      </c>
      <c r="AP49" s="16">
        <f>'All inclusive sheet'!AP65</f>
        <v>0</v>
      </c>
      <c r="AQ49" s="16">
        <f>'All inclusive sheet'!AQ65</f>
        <v>0</v>
      </c>
      <c r="AR49" s="16">
        <f>'All inclusive sheet'!AR65</f>
        <v>0</v>
      </c>
      <c r="AS49" s="16">
        <f>'All inclusive sheet'!AS65</f>
        <v>0</v>
      </c>
      <c r="AT49" s="16">
        <f>'All inclusive sheet'!AT65</f>
        <v>0</v>
      </c>
      <c r="AU49" s="16">
        <f>'All inclusive sheet'!AU65</f>
        <v>0</v>
      </c>
      <c r="AV49" s="16">
        <f>'All inclusive sheet'!AV65</f>
        <v>0</v>
      </c>
      <c r="AW49" s="16">
        <f>'All inclusive sheet'!AW65</f>
        <v>0</v>
      </c>
      <c r="AX49" s="13"/>
    </row>
    <row r="50" spans="2:50" x14ac:dyDescent="0.25">
      <c r="B50" t="s">
        <v>249</v>
      </c>
      <c r="C50" t="s">
        <v>84</v>
      </c>
      <c r="E50" s="6">
        <f>'All inclusive sheet'!E66</f>
        <v>52494.788591485369</v>
      </c>
      <c r="F50" s="6">
        <f>'All inclusive sheet'!F66</f>
        <v>49969.808851387861</v>
      </c>
      <c r="G50" s="6">
        <f>'All inclusive sheet'!G66</f>
        <v>47060.518116474137</v>
      </c>
      <c r="H50" s="6">
        <f>'All inclusive sheet'!H66</f>
        <v>53850.137371536781</v>
      </c>
      <c r="I50" s="6">
        <f>'All inclusive sheet'!I66</f>
        <v>204257.76827781601</v>
      </c>
      <c r="J50" s="6">
        <f>'All inclusive sheet'!J66</f>
        <v>66655.448915095272</v>
      </c>
      <c r="K50" s="15">
        <f t="shared" si="19"/>
        <v>3105609.374731442</v>
      </c>
      <c r="L50" s="16">
        <f>'All inclusive sheet'!L66</f>
        <v>66878.435166936208</v>
      </c>
      <c r="M50" s="16">
        <f>'All inclusive sheet'!M66</f>
        <v>66764.370036194334</v>
      </c>
      <c r="N50" s="16">
        <f>'All inclusive sheet'!N66</f>
        <v>62943.176645503845</v>
      </c>
      <c r="O50" s="16">
        <f>'All inclusive sheet'!O66</f>
        <v>63548.70612524954</v>
      </c>
      <c r="P50" s="16">
        <f>'All inclusive sheet'!P66</f>
        <v>194176.60204937361</v>
      </c>
      <c r="Q50" s="16">
        <f>'All inclusive sheet'!Q66</f>
        <v>358781.76386554976</v>
      </c>
      <c r="R50" s="16">
        <f>'All inclusive sheet'!R66</f>
        <v>377162.19463761698</v>
      </c>
      <c r="S50" s="16">
        <f>'All inclusive sheet'!S66</f>
        <v>315009.71465448831</v>
      </c>
      <c r="T50" s="16">
        <f>'All inclusive sheet'!T66</f>
        <v>234325.13260137156</v>
      </c>
      <c r="U50" s="16">
        <f>'All inclusive sheet'!U66</f>
        <v>207317.59974686318</v>
      </c>
      <c r="V50" s="16">
        <f>'All inclusive sheet'!V66</f>
        <v>226113.53744049522</v>
      </c>
      <c r="W50" s="16">
        <f>'All inclusive sheet'!W66</f>
        <v>176483.74695900577</v>
      </c>
      <c r="X50" s="16">
        <f>'All inclusive sheet'!X66</f>
        <v>170278.82617985993</v>
      </c>
      <c r="Y50" s="16">
        <f>'All inclusive sheet'!Y66</f>
        <v>137378.92371548439</v>
      </c>
      <c r="Z50" s="16">
        <f>'All inclusive sheet'!Z66</f>
        <v>87077.259923951249</v>
      </c>
      <c r="AA50" s="16">
        <f>'All inclusive sheet'!AA66</f>
        <v>87240.115789011368</v>
      </c>
      <c r="AB50" s="16">
        <f>'All inclusive sheet'!AB66</f>
        <v>87240.115789011368</v>
      </c>
      <c r="AC50" s="16">
        <f>'All inclusive sheet'!AC66</f>
        <v>69040.914966257871</v>
      </c>
      <c r="AD50" s="16">
        <f>'All inclusive sheet'!AD66</f>
        <v>63454.854556800812</v>
      </c>
      <c r="AE50" s="16">
        <f>'All inclusive sheet'!AE66</f>
        <v>50344.803496080815</v>
      </c>
      <c r="AF50" s="16">
        <f>'All inclusive sheet'!AF66</f>
        <v>3198.8594352007749</v>
      </c>
      <c r="AG50" s="16">
        <f>'All inclusive sheet'!AG66</f>
        <v>849.7209511346291</v>
      </c>
      <c r="AH50" s="16">
        <f>'All inclusive sheet'!AH66</f>
        <v>0</v>
      </c>
      <c r="AI50" s="16">
        <f>'All inclusive sheet'!AI66</f>
        <v>0</v>
      </c>
      <c r="AJ50" s="16">
        <f>'All inclusive sheet'!AJ66</f>
        <v>0</v>
      </c>
      <c r="AK50" s="16">
        <f>'All inclusive sheet'!AK66</f>
        <v>0</v>
      </c>
      <c r="AL50" s="16">
        <f>'All inclusive sheet'!AL66</f>
        <v>0</v>
      </c>
      <c r="AM50" s="16">
        <f>'All inclusive sheet'!AM66</f>
        <v>0</v>
      </c>
      <c r="AN50" s="16">
        <f>'All inclusive sheet'!AN66</f>
        <v>0</v>
      </c>
      <c r="AO50" s="16">
        <f>'All inclusive sheet'!AO66</f>
        <v>0</v>
      </c>
      <c r="AP50" s="16">
        <f>'All inclusive sheet'!AP66</f>
        <v>0</v>
      </c>
      <c r="AQ50" s="16">
        <f>'All inclusive sheet'!AQ66</f>
        <v>0</v>
      </c>
      <c r="AR50" s="16">
        <f>'All inclusive sheet'!AR66</f>
        <v>0</v>
      </c>
      <c r="AS50" s="16">
        <f>'All inclusive sheet'!AS66</f>
        <v>0</v>
      </c>
      <c r="AT50" s="16">
        <f>'All inclusive sheet'!AT66</f>
        <v>0</v>
      </c>
      <c r="AU50" s="16">
        <f>'All inclusive sheet'!AU66</f>
        <v>0</v>
      </c>
      <c r="AV50" s="16">
        <f>'All inclusive sheet'!AV66</f>
        <v>0</v>
      </c>
      <c r="AW50" s="16">
        <f>'All inclusive sheet'!AW66</f>
        <v>0</v>
      </c>
      <c r="AX50" s="13"/>
    </row>
    <row r="51" spans="2:50" x14ac:dyDescent="0.25">
      <c r="B51" t="s">
        <v>261</v>
      </c>
      <c r="C51" t="s">
        <v>89</v>
      </c>
      <c r="E51" s="6">
        <f>'All inclusive sheet'!E67</f>
        <v>24453531.817450315</v>
      </c>
      <c r="F51" s="6">
        <f>'All inclusive sheet'!F67</f>
        <v>23895949.229838181</v>
      </c>
      <c r="G51" s="6">
        <f>'All inclusive sheet'!G67</f>
        <v>25304790.842013042</v>
      </c>
      <c r="H51" s="6">
        <f>'All inclusive sheet'!H67</f>
        <v>26302487.806086205</v>
      </c>
      <c r="I51" s="6">
        <f>'All inclusive sheet'!I67</f>
        <v>28995541.376345415</v>
      </c>
      <c r="J51" s="6">
        <f>'All inclusive sheet'!J67</f>
        <v>8251927.9287045598</v>
      </c>
      <c r="K51" s="15">
        <f t="shared" si="19"/>
        <v>351649142.98734868</v>
      </c>
      <c r="L51" s="16">
        <f>'All inclusive sheet'!L67</f>
        <v>6516849.4645721624</v>
      </c>
      <c r="M51" s="16">
        <f>'All inclusive sheet'!M67</f>
        <v>6865966.4001742424</v>
      </c>
      <c r="N51" s="16">
        <f>'All inclusive sheet'!N67</f>
        <v>6865966.4001742424</v>
      </c>
      <c r="O51" s="16">
        <f>'All inclusive sheet'!O67</f>
        <v>5828900.3755128384</v>
      </c>
      <c r="P51" s="16">
        <f>'All inclusive sheet'!P67</f>
        <v>17810528.925178114</v>
      </c>
      <c r="Q51" s="16">
        <f>'All inclusive sheet'!Q67</f>
        <v>23704194.860418871</v>
      </c>
      <c r="R51" s="16">
        <f>'All inclusive sheet'!R67</f>
        <v>23639429.300690953</v>
      </c>
      <c r="S51" s="16">
        <f>'All inclusive sheet'!S67</f>
        <v>23639429.300690953</v>
      </c>
      <c r="T51" s="16">
        <f>'All inclusive sheet'!T67</f>
        <v>23400056.04161704</v>
      </c>
      <c r="U51" s="16">
        <f>'All inclusive sheet'!U67</f>
        <v>16639415.215745011</v>
      </c>
      <c r="V51" s="16">
        <f>'All inclusive sheet'!V67</f>
        <v>15473470.831534708</v>
      </c>
      <c r="W51" s="16">
        <f>'All inclusive sheet'!W67</f>
        <v>14925286.734946053</v>
      </c>
      <c r="X51" s="16">
        <f>'All inclusive sheet'!X67</f>
        <v>14925286.734946053</v>
      </c>
      <c r="Y51" s="16">
        <f>'All inclusive sheet'!Y67</f>
        <v>14966177.931480151</v>
      </c>
      <c r="Z51" s="16">
        <f>'All inclusive sheet'!Z67</f>
        <v>18484692.222496223</v>
      </c>
      <c r="AA51" s="16">
        <f>'All inclusive sheet'!AA67</f>
        <v>18818839.796236325</v>
      </c>
      <c r="AB51" s="16">
        <f>'All inclusive sheet'!AB67</f>
        <v>18818839.796236325</v>
      </c>
      <c r="AC51" s="16">
        <f>'All inclusive sheet'!AC67</f>
        <v>18870398.261431493</v>
      </c>
      <c r="AD51" s="16">
        <f>'All inclusive sheet'!AD67</f>
        <v>18818839.796236325</v>
      </c>
      <c r="AE51" s="16">
        <f>'All inclusive sheet'!AE67</f>
        <v>18818839.796236325</v>
      </c>
      <c r="AF51" s="16">
        <f>'All inclusive sheet'!AF67</f>
        <v>18818839.796236325</v>
      </c>
      <c r="AG51" s="16">
        <f>'All inclusive sheet'!AG67</f>
        <v>4998895.0045579253</v>
      </c>
      <c r="AH51" s="16">
        <f>'All inclusive sheet'!AH67</f>
        <v>0</v>
      </c>
      <c r="AI51" s="16">
        <f>'All inclusive sheet'!AI67</f>
        <v>0</v>
      </c>
      <c r="AJ51" s="16">
        <f>'All inclusive sheet'!AJ67</f>
        <v>0</v>
      </c>
      <c r="AK51" s="16">
        <f>'All inclusive sheet'!AK67</f>
        <v>0</v>
      </c>
      <c r="AL51" s="16">
        <f>'All inclusive sheet'!AL67</f>
        <v>0</v>
      </c>
      <c r="AM51" s="16">
        <f>'All inclusive sheet'!AM67</f>
        <v>0</v>
      </c>
      <c r="AN51" s="16">
        <f>'All inclusive sheet'!AN67</f>
        <v>0</v>
      </c>
      <c r="AO51" s="16">
        <f>'All inclusive sheet'!AO67</f>
        <v>0</v>
      </c>
      <c r="AP51" s="16">
        <f>'All inclusive sheet'!AP67</f>
        <v>0</v>
      </c>
      <c r="AQ51" s="16">
        <f>'All inclusive sheet'!AQ67</f>
        <v>0</v>
      </c>
      <c r="AR51" s="16">
        <f>'All inclusive sheet'!AR67</f>
        <v>0</v>
      </c>
      <c r="AS51" s="16">
        <f>'All inclusive sheet'!AS67</f>
        <v>0</v>
      </c>
      <c r="AT51" s="16">
        <f>'All inclusive sheet'!AT67</f>
        <v>0</v>
      </c>
      <c r="AU51" s="16">
        <f>'All inclusive sheet'!AU67</f>
        <v>0</v>
      </c>
      <c r="AV51" s="16">
        <f>'All inclusive sheet'!AV67</f>
        <v>0</v>
      </c>
      <c r="AW51" s="16">
        <f>'All inclusive sheet'!AW67</f>
        <v>0</v>
      </c>
      <c r="AX51" s="13"/>
    </row>
    <row r="52" spans="2:50" x14ac:dyDescent="0.25">
      <c r="B52" t="s">
        <v>260</v>
      </c>
      <c r="C52" t="s">
        <v>89</v>
      </c>
      <c r="E52" s="6">
        <f>'All inclusive sheet'!E68</f>
        <v>36295628.071104795</v>
      </c>
      <c r="F52" s="6">
        <f>'All inclusive sheet'!F68</f>
        <v>38467784.488380447</v>
      </c>
      <c r="G52" s="6">
        <f>'All inclusive sheet'!G68</f>
        <v>40141183.552347973</v>
      </c>
      <c r="H52" s="6">
        <f>'All inclusive sheet'!H68</f>
        <v>40432928.551646963</v>
      </c>
      <c r="I52" s="6">
        <f>'All inclusive sheet'!I68</f>
        <v>41791724.671229102</v>
      </c>
      <c r="J52" s="6">
        <f>'All inclusive sheet'!J68</f>
        <v>9781434.6052205246</v>
      </c>
      <c r="K52" s="15">
        <f t="shared" si="19"/>
        <v>582309616.40719306</v>
      </c>
      <c r="L52" s="16">
        <f>'All inclusive sheet'!L68</f>
        <v>9808362.1452324688</v>
      </c>
      <c r="M52" s="16">
        <f>'All inclusive sheet'!M68</f>
        <v>9808362.1452324688</v>
      </c>
      <c r="N52" s="16">
        <f>'All inclusive sheet'!N68</f>
        <v>9808362.1452324688</v>
      </c>
      <c r="O52" s="16">
        <f>'All inclusive sheet'!O68</f>
        <v>8562700.7096646875</v>
      </c>
      <c r="P52" s="16">
        <f>'All inclusive sheet'!P68</f>
        <v>26163807.723975435</v>
      </c>
      <c r="Q52" s="16">
        <f>'All inclusive sheet'!Q68</f>
        <v>34821649.5526364</v>
      </c>
      <c r="R52" s="16">
        <f>'All inclusive sheet'!R68</f>
        <v>34726508.433640122</v>
      </c>
      <c r="S52" s="16">
        <f>'All inclusive sheet'!S68</f>
        <v>34726508.433640122</v>
      </c>
      <c r="T52" s="16">
        <f>'All inclusive sheet'!T68</f>
        <v>34563337.855822861</v>
      </c>
      <c r="U52" s="16">
        <f>'All inclusive sheet'!U68</f>
        <v>30005889.50812285</v>
      </c>
      <c r="V52" s="16">
        <f>'All inclusive sheet'!V68</f>
        <v>28993655.703469478</v>
      </c>
      <c r="W52" s="16">
        <f>'All inclusive sheet'!W68</f>
        <v>28538540.175518084</v>
      </c>
      <c r="X52" s="16">
        <f>'All inclusive sheet'!X68</f>
        <v>28538540.175518084</v>
      </c>
      <c r="Y52" s="16">
        <f>'All inclusive sheet'!Y68</f>
        <v>28616727.956820868</v>
      </c>
      <c r="Z52" s="16">
        <f>'All inclusive sheet'!Z68</f>
        <v>32000232.772551805</v>
      </c>
      <c r="AA52" s="16">
        <f>'All inclusive sheet'!AA68</f>
        <v>32325207.318547994</v>
      </c>
      <c r="AB52" s="16">
        <f>'All inclusive sheet'!AB68</f>
        <v>32325207.318547994</v>
      </c>
      <c r="AC52" s="16">
        <f>'All inclusive sheet'!AC68</f>
        <v>32413769.530379631</v>
      </c>
      <c r="AD52" s="16">
        <f>'All inclusive sheet'!AD68</f>
        <v>32325207.318547994</v>
      </c>
      <c r="AE52" s="16">
        <f>'All inclusive sheet'!AE68</f>
        <v>32325207.318547994</v>
      </c>
      <c r="AF52" s="16">
        <f>'All inclusive sheet'!AF68</f>
        <v>32325207.318547994</v>
      </c>
      <c r="AG52" s="16">
        <f>'All inclusive sheet'!AG68</f>
        <v>8586624.8469954077</v>
      </c>
      <c r="AH52" s="16">
        <f>'All inclusive sheet'!AH68</f>
        <v>0</v>
      </c>
      <c r="AI52" s="16">
        <f>'All inclusive sheet'!AI68</f>
        <v>0</v>
      </c>
      <c r="AJ52" s="16">
        <f>'All inclusive sheet'!AJ68</f>
        <v>0</v>
      </c>
      <c r="AK52" s="16">
        <f>'All inclusive sheet'!AK68</f>
        <v>0</v>
      </c>
      <c r="AL52" s="16">
        <f>'All inclusive sheet'!AL68</f>
        <v>0</v>
      </c>
      <c r="AM52" s="16">
        <f>'All inclusive sheet'!AM68</f>
        <v>0</v>
      </c>
      <c r="AN52" s="16">
        <f>'All inclusive sheet'!AN68</f>
        <v>0</v>
      </c>
      <c r="AO52" s="16">
        <f>'All inclusive sheet'!AO68</f>
        <v>0</v>
      </c>
      <c r="AP52" s="16">
        <f>'All inclusive sheet'!AP68</f>
        <v>0</v>
      </c>
      <c r="AQ52" s="16">
        <f>'All inclusive sheet'!AQ68</f>
        <v>0</v>
      </c>
      <c r="AR52" s="16">
        <f>'All inclusive sheet'!AR68</f>
        <v>0</v>
      </c>
      <c r="AS52" s="16">
        <f>'All inclusive sheet'!AS68</f>
        <v>0</v>
      </c>
      <c r="AT52" s="16">
        <f>'All inclusive sheet'!AT68</f>
        <v>0</v>
      </c>
      <c r="AU52" s="16">
        <f>'All inclusive sheet'!AU68</f>
        <v>0</v>
      </c>
      <c r="AV52" s="16">
        <f>'All inclusive sheet'!AV68</f>
        <v>0</v>
      </c>
      <c r="AW52" s="16">
        <f>'All inclusive sheet'!AW68</f>
        <v>0</v>
      </c>
      <c r="AX52" s="13"/>
    </row>
    <row r="53" spans="2:50" x14ac:dyDescent="0.25"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2:50" ht="15.75" thickBot="1" x14ac:dyDescent="0.3">
      <c r="B54" s="14" t="s">
        <v>155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2:50" x14ac:dyDescent="0.25">
      <c r="B55" t="s">
        <v>83</v>
      </c>
      <c r="C55" t="s">
        <v>93</v>
      </c>
      <c r="E55" s="6">
        <f>'All inclusive sheet'!E71</f>
        <v>136133887.32932025</v>
      </c>
      <c r="F55" s="6">
        <f>'All inclusive sheet'!F71</f>
        <v>129624036.3506805</v>
      </c>
      <c r="G55" s="6">
        <f>'All inclusive sheet'!G71</f>
        <v>137532639.09255832</v>
      </c>
      <c r="H55" s="6">
        <f>'All inclusive sheet'!H71</f>
        <v>145637774.99022588</v>
      </c>
      <c r="I55" s="6">
        <f>'All inclusive sheet'!I71</f>
        <v>177432357.40676114</v>
      </c>
      <c r="J55" s="6">
        <f>'All inclusive sheet'!J71</f>
        <v>39553765.952372253</v>
      </c>
      <c r="K55" s="15">
        <f t="shared" ref="K55:K59" si="20">SUM(L55:AW55)</f>
        <v>941891019.89834094</v>
      </c>
      <c r="L55" s="16">
        <f>'All inclusive sheet'!L71</f>
        <v>35687520.901135541</v>
      </c>
      <c r="M55" s="16">
        <f>'All inclusive sheet'!M71</f>
        <v>34480241.902618021</v>
      </c>
      <c r="N55" s="16">
        <f>'All inclusive sheet'!N71</f>
        <v>36047525.625464298</v>
      </c>
      <c r="O55" s="16">
        <f>'All inclusive sheet'!O71</f>
        <v>39591044.919103995</v>
      </c>
      <c r="P55" s="16">
        <f>'All inclusive sheet'!P71</f>
        <v>120972637.25281778</v>
      </c>
      <c r="Q55" s="16">
        <f>'All inclusive sheet'!Q71</f>
        <v>151761941.12326837</v>
      </c>
      <c r="R55" s="16">
        <f>'All inclusive sheet'!R71</f>
        <v>61413552.233024567</v>
      </c>
      <c r="S55" s="16">
        <f>'All inclusive sheet'!S71</f>
        <v>26679107.323363364</v>
      </c>
      <c r="T55" s="16">
        <f>'All inclusive sheet'!T71</f>
        <v>26831999.924974244</v>
      </c>
      <c r="U55" s="16">
        <f>'All inclusive sheet'!U71</f>
        <v>31264620.174749829</v>
      </c>
      <c r="V55" s="16">
        <f>'All inclusive sheet'!V71</f>
        <v>27941622.704685248</v>
      </c>
      <c r="W55" s="16">
        <f>'All inclusive sheet'!W71</f>
        <v>26357672.295371037</v>
      </c>
      <c r="X55" s="16">
        <f>'All inclusive sheet'!X71</f>
        <v>26357672.295371037</v>
      </c>
      <c r="Y55" s="16">
        <f>'All inclusive sheet'!Y71</f>
        <v>26429885.096180271</v>
      </c>
      <c r="Z55" s="16">
        <f>'All inclusive sheet'!Z71</f>
        <v>36348546.407927297</v>
      </c>
      <c r="AA55" s="16">
        <f>'All inclusive sheet'!AA71</f>
        <v>37286463.247110248</v>
      </c>
      <c r="AB55" s="16">
        <f>'All inclusive sheet'!AB71</f>
        <v>37286463.247110248</v>
      </c>
      <c r="AC55" s="16">
        <f>'All inclusive sheet'!AC71</f>
        <v>37388617.940937936</v>
      </c>
      <c r="AD55" s="16">
        <f>'All inclusive sheet'!AD71</f>
        <v>37286463.247110248</v>
      </c>
      <c r="AE55" s="16">
        <f>'All inclusive sheet'!AE71</f>
        <v>37286463.247110248</v>
      </c>
      <c r="AF55" s="16">
        <f>'All inclusive sheet'!AF71</f>
        <v>37286463.247110248</v>
      </c>
      <c r="AG55" s="16">
        <f>'All inclusive sheet'!AG71</f>
        <v>9904495.5417968631</v>
      </c>
      <c r="AH55" s="16">
        <f>'All inclusive sheet'!AH71</f>
        <v>0</v>
      </c>
      <c r="AI55" s="16">
        <f>'All inclusive sheet'!AI71</f>
        <v>0</v>
      </c>
      <c r="AJ55" s="16">
        <f>'All inclusive sheet'!AJ71</f>
        <v>0</v>
      </c>
      <c r="AK55" s="16">
        <f>'All inclusive sheet'!AK71</f>
        <v>0</v>
      </c>
      <c r="AL55" s="16">
        <f>'All inclusive sheet'!AL71</f>
        <v>0</v>
      </c>
      <c r="AM55" s="16">
        <f>'All inclusive sheet'!AM71</f>
        <v>0</v>
      </c>
      <c r="AN55" s="16">
        <f>'All inclusive sheet'!AN71</f>
        <v>0</v>
      </c>
      <c r="AO55" s="16">
        <f>'All inclusive sheet'!AO71</f>
        <v>0</v>
      </c>
      <c r="AP55" s="16">
        <f>'All inclusive sheet'!AP71</f>
        <v>0</v>
      </c>
      <c r="AQ55" s="16">
        <f>'All inclusive sheet'!AQ71</f>
        <v>0</v>
      </c>
      <c r="AR55" s="16">
        <f>'All inclusive sheet'!AR71</f>
        <v>0</v>
      </c>
      <c r="AS55" s="16">
        <f>'All inclusive sheet'!AS71</f>
        <v>0</v>
      </c>
      <c r="AT55" s="16">
        <f>'All inclusive sheet'!AT71</f>
        <v>0</v>
      </c>
      <c r="AU55" s="16">
        <f>'All inclusive sheet'!AU71</f>
        <v>0</v>
      </c>
      <c r="AV55" s="16">
        <f>'All inclusive sheet'!AV71</f>
        <v>0</v>
      </c>
      <c r="AW55" s="16">
        <f>'All inclusive sheet'!AW71</f>
        <v>0</v>
      </c>
      <c r="AX55" s="13"/>
    </row>
    <row r="56" spans="2:50" x14ac:dyDescent="0.25">
      <c r="B56" t="s">
        <v>85</v>
      </c>
      <c r="C56" t="s">
        <v>93</v>
      </c>
      <c r="E56" s="6">
        <f>'All inclusive sheet'!E72</f>
        <v>65985949.259497106</v>
      </c>
      <c r="F56" s="6">
        <f>'All inclusive sheet'!F72</f>
        <v>63611566.667816751</v>
      </c>
      <c r="G56" s="6">
        <f>'All inclusive sheet'!G72</f>
        <v>65555301.736248471</v>
      </c>
      <c r="H56" s="6">
        <f>'All inclusive sheet'!H72</f>
        <v>97356380.932901889</v>
      </c>
      <c r="I56" s="6">
        <f>'All inclusive sheet'!I72</f>
        <v>365352829.85323417</v>
      </c>
      <c r="J56" s="6">
        <f>'All inclusive sheet'!J72</f>
        <v>125626652.52774149</v>
      </c>
      <c r="K56" s="15">
        <f t="shared" si="20"/>
        <v>5452665413.8359499</v>
      </c>
      <c r="L56" s="16">
        <f>'All inclusive sheet'!L72</f>
        <v>125062673.7621707</v>
      </c>
      <c r="M56" s="16">
        <f>'All inclusive sheet'!M72</f>
        <v>123514084.56695953</v>
      </c>
      <c r="N56" s="16">
        <f>'All inclusive sheet'!N72</f>
        <v>113297717.96190691</v>
      </c>
      <c r="O56" s="16">
        <f>'All inclusive sheet'!O72</f>
        <v>111210235.71918669</v>
      </c>
      <c r="P56" s="16">
        <f>'All inclusive sheet'!P72</f>
        <v>339809053.58640379</v>
      </c>
      <c r="Q56" s="16">
        <f>'All inclusive sheet'!Q72</f>
        <v>627868086.7647121</v>
      </c>
      <c r="R56" s="16">
        <f>'All inclusive sheet'!R72</f>
        <v>660033840.61582971</v>
      </c>
      <c r="S56" s="16">
        <f>'All inclusive sheet'!S72</f>
        <v>551267000.64535451</v>
      </c>
      <c r="T56" s="16">
        <f>'All inclusive sheet'!T72</f>
        <v>410068982.05240023</v>
      </c>
      <c r="U56" s="16">
        <f>'All inclusive sheet'!U72</f>
        <v>362805799.55701059</v>
      </c>
      <c r="V56" s="16">
        <f>'All inclusive sheet'!V72</f>
        <v>395698690.52086663</v>
      </c>
      <c r="W56" s="16">
        <f>'All inclusive sheet'!W72</f>
        <v>308846557.17826009</v>
      </c>
      <c r="X56" s="16">
        <f>'All inclusive sheet'!X72</f>
        <v>297987945.8147549</v>
      </c>
      <c r="Y56" s="16">
        <f>'All inclusive sheet'!Y72</f>
        <v>240413116.50209767</v>
      </c>
      <c r="Z56" s="16">
        <f>'All inclusive sheet'!Z72</f>
        <v>152385204.86691469</v>
      </c>
      <c r="AA56" s="16">
        <f>'All inclusive sheet'!AA72</f>
        <v>152670202.63076988</v>
      </c>
      <c r="AB56" s="16">
        <f>'All inclusive sheet'!AB72</f>
        <v>152670202.63076988</v>
      </c>
      <c r="AC56" s="16">
        <f>'All inclusive sheet'!AC72</f>
        <v>120821601.19095127</v>
      </c>
      <c r="AD56" s="16">
        <f>'All inclusive sheet'!AD72</f>
        <v>111045995.47440143</v>
      </c>
      <c r="AE56" s="16">
        <f>'All inclusive sheet'!AE72</f>
        <v>88103406.118141428</v>
      </c>
      <c r="AF56" s="16">
        <f>'All inclusive sheet'!AF72</f>
        <v>5598004.0116013559</v>
      </c>
      <c r="AG56" s="16">
        <f>'All inclusive sheet'!AG72</f>
        <v>1487011.664485601</v>
      </c>
      <c r="AH56" s="16">
        <f>'All inclusive sheet'!AH72</f>
        <v>0</v>
      </c>
      <c r="AI56" s="16">
        <f>'All inclusive sheet'!AI72</f>
        <v>0</v>
      </c>
      <c r="AJ56" s="16">
        <f>'All inclusive sheet'!AJ72</f>
        <v>0</v>
      </c>
      <c r="AK56" s="16">
        <f>'All inclusive sheet'!AK72</f>
        <v>0</v>
      </c>
      <c r="AL56" s="16">
        <f>'All inclusive sheet'!AL72</f>
        <v>0</v>
      </c>
      <c r="AM56" s="16">
        <f>'All inclusive sheet'!AM72</f>
        <v>0</v>
      </c>
      <c r="AN56" s="16">
        <f>'All inclusive sheet'!AN72</f>
        <v>0</v>
      </c>
      <c r="AO56" s="16">
        <f>'All inclusive sheet'!AO72</f>
        <v>0</v>
      </c>
      <c r="AP56" s="16">
        <f>'All inclusive sheet'!AP72</f>
        <v>0</v>
      </c>
      <c r="AQ56" s="16">
        <f>'All inclusive sheet'!AQ72</f>
        <v>0</v>
      </c>
      <c r="AR56" s="16">
        <f>'All inclusive sheet'!AR72</f>
        <v>0</v>
      </c>
      <c r="AS56" s="16">
        <f>'All inclusive sheet'!AS72</f>
        <v>0</v>
      </c>
      <c r="AT56" s="16">
        <f>'All inclusive sheet'!AT72</f>
        <v>0</v>
      </c>
      <c r="AU56" s="16">
        <f>'All inclusive sheet'!AU72</f>
        <v>0</v>
      </c>
      <c r="AV56" s="16">
        <f>'All inclusive sheet'!AV72</f>
        <v>0</v>
      </c>
      <c r="AW56" s="16">
        <f>'All inclusive sheet'!AW72</f>
        <v>0</v>
      </c>
      <c r="AX56" s="13"/>
    </row>
    <row r="57" spans="2:50" x14ac:dyDescent="0.25">
      <c r="B57" t="s">
        <v>88</v>
      </c>
      <c r="C57" t="s">
        <v>93</v>
      </c>
      <c r="E57" s="6">
        <f>'All inclusive sheet'!E73</f>
        <v>25676208.40832283</v>
      </c>
      <c r="F57" s="6">
        <f>'All inclusive sheet'!F73</f>
        <v>24373868.214434944</v>
      </c>
      <c r="G57" s="6">
        <f>'All inclusive sheet'!G73</f>
        <v>23027359.666231871</v>
      </c>
      <c r="H57" s="6">
        <f>'All inclusive sheet'!H73</f>
        <v>21831064.879051547</v>
      </c>
      <c r="I57" s="6">
        <f>'All inclusive sheet'!I73</f>
        <v>28995541.376345415</v>
      </c>
      <c r="J57" s="6">
        <f>'All inclusive sheet'!J73</f>
        <v>8747043.6044268347</v>
      </c>
      <c r="K57" s="15">
        <f t="shared" si="20"/>
        <v>316810071.16184241</v>
      </c>
      <c r="L57" s="16">
        <f>'All inclusive sheet'!L73</f>
        <v>6191006.9913435541</v>
      </c>
      <c r="M57" s="16">
        <f>'All inclusive sheet'!M73</f>
        <v>6179369.7601568187</v>
      </c>
      <c r="N57" s="16">
        <f>'All inclusive sheet'!N73</f>
        <v>6179369.7601568187</v>
      </c>
      <c r="O57" s="16">
        <f>'All inclusive sheet'!O73</f>
        <v>5246010.3379615545</v>
      </c>
      <c r="P57" s="16">
        <f>'All inclusive sheet'!P73</f>
        <v>16029476.032660304</v>
      </c>
      <c r="Q57" s="16">
        <f>'All inclusive sheet'!Q73</f>
        <v>21333775.374376986</v>
      </c>
      <c r="R57" s="16">
        <f>'All inclusive sheet'!R73</f>
        <v>21275486.370621856</v>
      </c>
      <c r="S57" s="16">
        <f>'All inclusive sheet'!S73</f>
        <v>21275486.370621856</v>
      </c>
      <c r="T57" s="16">
        <f>'All inclusive sheet'!T73</f>
        <v>21060050.437455337</v>
      </c>
      <c r="U57" s="16">
        <f>'All inclusive sheet'!U73</f>
        <v>14975473.69417051</v>
      </c>
      <c r="V57" s="16">
        <f>'All inclusive sheet'!V73</f>
        <v>13926123.748381237</v>
      </c>
      <c r="W57" s="16">
        <f>'All inclusive sheet'!W73</f>
        <v>13432758.061451448</v>
      </c>
      <c r="X57" s="16">
        <f>'All inclusive sheet'!X73</f>
        <v>13432758.061451448</v>
      </c>
      <c r="Y57" s="16">
        <f>'All inclusive sheet'!Y73</f>
        <v>13469560.138332136</v>
      </c>
      <c r="Z57" s="16">
        <f>'All inclusive sheet'!Z73</f>
        <v>16636223.000246601</v>
      </c>
      <c r="AA57" s="16">
        <f>'All inclusive sheet'!AA73</f>
        <v>16936955.816612694</v>
      </c>
      <c r="AB57" s="16">
        <f>'All inclusive sheet'!AB73</f>
        <v>16936955.816612694</v>
      </c>
      <c r="AC57" s="16">
        <f>'All inclusive sheet'!AC73</f>
        <v>16983358.435288344</v>
      </c>
      <c r="AD57" s="16">
        <f>'All inclusive sheet'!AD73</f>
        <v>16936955.816612694</v>
      </c>
      <c r="AE57" s="16">
        <f>'All inclusive sheet'!AE73</f>
        <v>16936955.816612694</v>
      </c>
      <c r="AF57" s="16">
        <f>'All inclusive sheet'!AF73</f>
        <v>16936955.816612694</v>
      </c>
      <c r="AG57" s="16">
        <f>'All inclusive sheet'!AG73</f>
        <v>4499005.5041021332</v>
      </c>
      <c r="AH57" s="16">
        <f>'All inclusive sheet'!AH73</f>
        <v>0</v>
      </c>
      <c r="AI57" s="16">
        <f>'All inclusive sheet'!AI73</f>
        <v>0</v>
      </c>
      <c r="AJ57" s="16">
        <f>'All inclusive sheet'!AJ73</f>
        <v>0</v>
      </c>
      <c r="AK57" s="16">
        <f>'All inclusive sheet'!AK73</f>
        <v>0</v>
      </c>
      <c r="AL57" s="16">
        <f>'All inclusive sheet'!AL73</f>
        <v>0</v>
      </c>
      <c r="AM57" s="16">
        <f>'All inclusive sheet'!AM73</f>
        <v>0</v>
      </c>
      <c r="AN57" s="16">
        <f>'All inclusive sheet'!AN73</f>
        <v>0</v>
      </c>
      <c r="AO57" s="16">
        <f>'All inclusive sheet'!AO73</f>
        <v>0</v>
      </c>
      <c r="AP57" s="16">
        <f>'All inclusive sheet'!AP73</f>
        <v>0</v>
      </c>
      <c r="AQ57" s="16">
        <f>'All inclusive sheet'!AQ73</f>
        <v>0</v>
      </c>
      <c r="AR57" s="16">
        <f>'All inclusive sheet'!AR73</f>
        <v>0</v>
      </c>
      <c r="AS57" s="16">
        <f>'All inclusive sheet'!AS73</f>
        <v>0</v>
      </c>
      <c r="AT57" s="16">
        <f>'All inclusive sheet'!AT73</f>
        <v>0</v>
      </c>
      <c r="AU57" s="16">
        <f>'All inclusive sheet'!AU73</f>
        <v>0</v>
      </c>
      <c r="AV57" s="16">
        <f>'All inclusive sheet'!AV73</f>
        <v>0</v>
      </c>
      <c r="AW57" s="16">
        <f>'All inclusive sheet'!AW73</f>
        <v>0</v>
      </c>
      <c r="AX57" s="13"/>
    </row>
    <row r="58" spans="2:50" x14ac:dyDescent="0.25">
      <c r="B58" s="8" t="s">
        <v>90</v>
      </c>
      <c r="C58" t="s">
        <v>93</v>
      </c>
      <c r="E58" s="6">
        <f>'All inclusive sheet'!E74</f>
        <v>47910229.053858332</v>
      </c>
      <c r="F58" s="6">
        <f>'All inclusive sheet'!F74</f>
        <v>50777475.524662189</v>
      </c>
      <c r="G58" s="6">
        <f>'All inclusive sheet'!G74</f>
        <v>46162361.085200168</v>
      </c>
      <c r="H58" s="6">
        <f>'All inclusive sheet'!H74</f>
        <v>41645916.408196375</v>
      </c>
      <c r="I58" s="6">
        <f>'All inclusive sheet'!I74</f>
        <v>56836745.552871585</v>
      </c>
      <c r="J58" s="6">
        <f>'All inclusive sheet'!J74</f>
        <v>16530624.482822686</v>
      </c>
      <c r="K58" s="15">
        <f t="shared" si="20"/>
        <v>651329776.40766823</v>
      </c>
      <c r="L58" s="16">
        <f>'All inclusive sheet'!L74</f>
        <v>16674215.646895196</v>
      </c>
      <c r="M58" s="16">
        <f>'All inclusive sheet'!M74</f>
        <v>14222125.110587079</v>
      </c>
      <c r="N58" s="16">
        <f>'All inclusive sheet'!N74</f>
        <v>12260452.681540586</v>
      </c>
      <c r="O58" s="16">
        <f>'All inclusive sheet'!O74</f>
        <v>9418970.7806311566</v>
      </c>
      <c r="P58" s="16">
        <f>'All inclusive sheet'!P74</f>
        <v>28780188.496372979</v>
      </c>
      <c r="Q58" s="16">
        <f>'All inclusive sheet'!Q74</f>
        <v>38303814.507900044</v>
      </c>
      <c r="R58" s="16">
        <f>'All inclusive sheet'!R74</f>
        <v>38199159.277004138</v>
      </c>
      <c r="S58" s="16">
        <f>'All inclusive sheet'!S74</f>
        <v>38199159.277004138</v>
      </c>
      <c r="T58" s="16">
        <f>'All inclusive sheet'!T74</f>
        <v>38019671.64140515</v>
      </c>
      <c r="U58" s="16">
        <f>'All inclusive sheet'!U74</f>
        <v>33006478.458935138</v>
      </c>
      <c r="V58" s="16">
        <f>'All inclusive sheet'!V74</f>
        <v>31893021.273816429</v>
      </c>
      <c r="W58" s="16">
        <f>'All inclusive sheet'!W74</f>
        <v>31392394.193069894</v>
      </c>
      <c r="X58" s="16">
        <f>'All inclusive sheet'!X74</f>
        <v>31392394.193069894</v>
      </c>
      <c r="Y58" s="16">
        <f>'All inclusive sheet'!Y74</f>
        <v>31478400.752502955</v>
      </c>
      <c r="Z58" s="16">
        <f>'All inclusive sheet'!Z74</f>
        <v>35200256.04980699</v>
      </c>
      <c r="AA58" s="16">
        <f>'All inclusive sheet'!AA74</f>
        <v>35557728.050402798</v>
      </c>
      <c r="AB58" s="16">
        <f>'All inclusive sheet'!AB74</f>
        <v>35557728.050402798</v>
      </c>
      <c r="AC58" s="16">
        <f>'All inclusive sheet'!AC74</f>
        <v>35655146.483417593</v>
      </c>
      <c r="AD58" s="16">
        <f>'All inclusive sheet'!AD74</f>
        <v>35557728.050402798</v>
      </c>
      <c r="AE58" s="16">
        <f>'All inclusive sheet'!AE74</f>
        <v>35557728.050402798</v>
      </c>
      <c r="AF58" s="16">
        <f>'All inclusive sheet'!AF74</f>
        <v>35557728.050402798</v>
      </c>
      <c r="AG58" s="16">
        <f>'All inclusive sheet'!AG74</f>
        <v>9445287.3316949494</v>
      </c>
      <c r="AH58" s="16">
        <f>'All inclusive sheet'!AH74</f>
        <v>0</v>
      </c>
      <c r="AI58" s="16">
        <f>'All inclusive sheet'!AI74</f>
        <v>0</v>
      </c>
      <c r="AJ58" s="16">
        <f>'All inclusive sheet'!AJ74</f>
        <v>0</v>
      </c>
      <c r="AK58" s="16">
        <f>'All inclusive sheet'!AK74</f>
        <v>0</v>
      </c>
      <c r="AL58" s="16">
        <f>'All inclusive sheet'!AL74</f>
        <v>0</v>
      </c>
      <c r="AM58" s="16">
        <f>'All inclusive sheet'!AM74</f>
        <v>0</v>
      </c>
      <c r="AN58" s="16">
        <f>'All inclusive sheet'!AN74</f>
        <v>0</v>
      </c>
      <c r="AO58" s="16">
        <f>'All inclusive sheet'!AO74</f>
        <v>0</v>
      </c>
      <c r="AP58" s="16">
        <f>'All inclusive sheet'!AP74</f>
        <v>0</v>
      </c>
      <c r="AQ58" s="16">
        <f>'All inclusive sheet'!AQ74</f>
        <v>0</v>
      </c>
      <c r="AR58" s="16">
        <f>'All inclusive sheet'!AR74</f>
        <v>0</v>
      </c>
      <c r="AS58" s="16">
        <f>'All inclusive sheet'!AS74</f>
        <v>0</v>
      </c>
      <c r="AT58" s="16">
        <f>'All inclusive sheet'!AT74</f>
        <v>0</v>
      </c>
      <c r="AU58" s="16">
        <f>'All inclusive sheet'!AU74</f>
        <v>0</v>
      </c>
      <c r="AV58" s="16">
        <f>'All inclusive sheet'!AV74</f>
        <v>0</v>
      </c>
      <c r="AW58" s="16">
        <f>'All inclusive sheet'!AW74</f>
        <v>0</v>
      </c>
      <c r="AX58" s="13"/>
    </row>
    <row r="59" spans="2:50" x14ac:dyDescent="0.25">
      <c r="B59" s="32" t="s">
        <v>19</v>
      </c>
      <c r="C59" t="s">
        <v>93</v>
      </c>
      <c r="E59" s="6">
        <f>'All inclusive sheet'!E75</f>
        <v>275706274.05099851</v>
      </c>
      <c r="F59" s="6">
        <f>'All inclusive sheet'!F75</f>
        <v>268386946.75759441</v>
      </c>
      <c r="G59" s="6">
        <f>'All inclusive sheet'!G75</f>
        <v>272277661.58023882</v>
      </c>
      <c r="H59" s="6">
        <f>'All inclusive sheet'!H75</f>
        <v>306471137.21037567</v>
      </c>
      <c r="I59" s="6">
        <f>'All inclusive sheet'!I75</f>
        <v>628617474.18921232</v>
      </c>
      <c r="J59" s="6">
        <f>'All inclusive sheet'!J75</f>
        <v>190458086.56736326</v>
      </c>
      <c r="K59" s="15">
        <f t="shared" si="20"/>
        <v>7362696281.3038006</v>
      </c>
      <c r="L59" s="16">
        <f>'All inclusive sheet'!L75</f>
        <v>183615417.30154499</v>
      </c>
      <c r="M59" s="16">
        <f>'All inclusive sheet'!M75</f>
        <v>178395821.34032145</v>
      </c>
      <c r="N59" s="16">
        <f>'All inclusive sheet'!N75</f>
        <v>167785066.02906859</v>
      </c>
      <c r="O59" s="16">
        <f>'All inclusive sheet'!O75</f>
        <v>165466261.75688341</v>
      </c>
      <c r="P59" s="16">
        <f>'All inclusive sheet'!P75</f>
        <v>505591355.3682549</v>
      </c>
      <c r="Q59" s="16">
        <f>'All inclusive sheet'!Q75</f>
        <v>839267617.77025747</v>
      </c>
      <c r="R59" s="16">
        <f>'All inclusive sheet'!R75</f>
        <v>780922038.49648023</v>
      </c>
      <c r="S59" s="16">
        <f>'All inclusive sheet'!S75</f>
        <v>637420753.61634374</v>
      </c>
      <c r="T59" s="16">
        <f>'All inclusive sheet'!T75</f>
        <v>495980704.05623502</v>
      </c>
      <c r="U59" s="16">
        <f>'All inclusive sheet'!U75</f>
        <v>442052371.88486612</v>
      </c>
      <c r="V59" s="16">
        <f>'All inclusive sheet'!V75</f>
        <v>469459458.24774957</v>
      </c>
      <c r="W59" s="16">
        <f>'All inclusive sheet'!W75</f>
        <v>380029381.72815245</v>
      </c>
      <c r="X59" s="16">
        <f>'All inclusive sheet'!X75</f>
        <v>369170770.36464727</v>
      </c>
      <c r="Y59" s="16">
        <f>'All inclusive sheet'!Y75</f>
        <v>311790962.48911303</v>
      </c>
      <c r="Z59" s="16">
        <f>'All inclusive sheet'!Z75</f>
        <v>240570230.32489559</v>
      </c>
      <c r="AA59" s="16">
        <f>'All inclusive sheet'!AA75</f>
        <v>242451349.74489561</v>
      </c>
      <c r="AB59" s="16">
        <f>'All inclusive sheet'!AB75</f>
        <v>242451349.74489561</v>
      </c>
      <c r="AC59" s="16">
        <f>'All inclusive sheet'!AC75</f>
        <v>210848724.05059516</v>
      </c>
      <c r="AD59" s="16">
        <f>'All inclusive sheet'!AD75</f>
        <v>200827142.58852714</v>
      </c>
      <c r="AE59" s="16">
        <f>'All inclusive sheet'!AE75</f>
        <v>177884553.23226717</v>
      </c>
      <c r="AF59" s="16">
        <f>'All inclusive sheet'!AF75</f>
        <v>95379151.125727087</v>
      </c>
      <c r="AG59" s="16">
        <f>'All inclusive sheet'!AG75</f>
        <v>25335800.042079546</v>
      </c>
      <c r="AH59" s="16">
        <f>'All inclusive sheet'!AH75</f>
        <v>0</v>
      </c>
      <c r="AI59" s="16">
        <f>'All inclusive sheet'!AI75</f>
        <v>0</v>
      </c>
      <c r="AJ59" s="16">
        <f>'All inclusive sheet'!AJ75</f>
        <v>0</v>
      </c>
      <c r="AK59" s="16">
        <f>'All inclusive sheet'!AK75</f>
        <v>0</v>
      </c>
      <c r="AL59" s="16">
        <f>'All inclusive sheet'!AL75</f>
        <v>0</v>
      </c>
      <c r="AM59" s="16">
        <f>'All inclusive sheet'!AM75</f>
        <v>0</v>
      </c>
      <c r="AN59" s="16">
        <f>'All inclusive sheet'!AN75</f>
        <v>0</v>
      </c>
      <c r="AO59" s="16">
        <f>'All inclusive sheet'!AO75</f>
        <v>0</v>
      </c>
      <c r="AP59" s="16">
        <f>'All inclusive sheet'!AP75</f>
        <v>0</v>
      </c>
      <c r="AQ59" s="16">
        <f>'All inclusive sheet'!AQ75</f>
        <v>0</v>
      </c>
      <c r="AR59" s="16">
        <f>'All inclusive sheet'!AR75</f>
        <v>0</v>
      </c>
      <c r="AS59" s="16">
        <f>'All inclusive sheet'!AS75</f>
        <v>0</v>
      </c>
      <c r="AT59" s="16">
        <f>'All inclusive sheet'!AT75</f>
        <v>0</v>
      </c>
      <c r="AU59" s="16">
        <f>'All inclusive sheet'!AU75</f>
        <v>0</v>
      </c>
      <c r="AV59" s="16">
        <f>'All inclusive sheet'!AV75</f>
        <v>0</v>
      </c>
      <c r="AW59" s="16">
        <f>'All inclusive sheet'!AW75</f>
        <v>0</v>
      </c>
      <c r="AX59" s="13"/>
    </row>
    <row r="60" spans="2:50" x14ac:dyDescent="0.25">
      <c r="B60" s="32" t="s">
        <v>94</v>
      </c>
      <c r="C60" t="s">
        <v>70</v>
      </c>
      <c r="E60" s="44">
        <f>E55/E59</f>
        <v>0.49376419814131256</v>
      </c>
      <c r="F60" s="44">
        <f t="shared" ref="F60:J60" si="21">F55/F59</f>
        <v>0.48297444386427707</v>
      </c>
      <c r="G60" s="44">
        <f t="shared" si="21"/>
        <v>0.50511906960839004</v>
      </c>
      <c r="H60" s="44">
        <f t="shared" si="21"/>
        <v>0.47520877925366761</v>
      </c>
      <c r="I60" s="44">
        <f t="shared" si="21"/>
        <v>0.28225807377628581</v>
      </c>
      <c r="J60" s="44">
        <f t="shared" si="21"/>
        <v>0.20767701001964256</v>
      </c>
      <c r="K60" s="65">
        <f>AVERAGE(L60:AW60)</f>
        <v>0.16387912546489838</v>
      </c>
      <c r="L60" s="43">
        <f>IFERROR(L55/L59,"")</f>
        <v>0.19436015464064876</v>
      </c>
      <c r="M60" s="43">
        <f t="shared" ref="M60:AW60" si="22">IFERROR(M55/M59,"")</f>
        <v>0.1932794257374498</v>
      </c>
      <c r="N60" s="43">
        <f t="shared" si="22"/>
        <v>0.21484346896057543</v>
      </c>
      <c r="O60" s="43">
        <f t="shared" si="22"/>
        <v>0.23926959187169167</v>
      </c>
      <c r="P60" s="43">
        <f t="shared" si="22"/>
        <v>0.23926959187169167</v>
      </c>
      <c r="Q60" s="43">
        <f t="shared" si="22"/>
        <v>0.180826637308449</v>
      </c>
      <c r="R60" s="43">
        <f t="shared" si="22"/>
        <v>7.8642360191633093E-2</v>
      </c>
      <c r="S60" s="43">
        <f t="shared" si="22"/>
        <v>4.1854783001654843E-2</v>
      </c>
      <c r="T60" s="43">
        <f t="shared" si="22"/>
        <v>5.4098878657045484E-2</v>
      </c>
      <c r="U60" s="43">
        <f t="shared" si="22"/>
        <v>7.0726054565527344E-2</v>
      </c>
      <c r="V60" s="43">
        <f t="shared" si="22"/>
        <v>5.9518712880931059E-2</v>
      </c>
      <c r="W60" s="43">
        <f t="shared" si="22"/>
        <v>6.9356932812699071E-2</v>
      </c>
      <c r="X60" s="43">
        <f t="shared" si="22"/>
        <v>7.139696425406683E-2</v>
      </c>
      <c r="Y60" s="43">
        <f t="shared" si="22"/>
        <v>8.4767964039698995E-2</v>
      </c>
      <c r="Z60" s="43">
        <f t="shared" si="22"/>
        <v>0.15109328514520584</v>
      </c>
      <c r="AA60" s="43">
        <f t="shared" si="22"/>
        <v>0.15378946451047856</v>
      </c>
      <c r="AB60" s="43">
        <f t="shared" si="22"/>
        <v>0.15378946451047856</v>
      </c>
      <c r="AC60" s="43">
        <f t="shared" si="22"/>
        <v>0.1773243737152812</v>
      </c>
      <c r="AD60" s="43">
        <f t="shared" si="22"/>
        <v>0.18566446131988312</v>
      </c>
      <c r="AE60" s="43">
        <f t="shared" si="22"/>
        <v>0.20961046122101798</v>
      </c>
      <c r="AF60" s="43">
        <f t="shared" si="22"/>
        <v>0.39092886450582792</v>
      </c>
      <c r="AG60" s="43">
        <f t="shared" si="22"/>
        <v>0.39092886450582787</v>
      </c>
      <c r="AH60" s="43" t="str">
        <f t="shared" si="22"/>
        <v/>
      </c>
      <c r="AI60" s="43" t="str">
        <f t="shared" si="22"/>
        <v/>
      </c>
      <c r="AJ60" s="43" t="str">
        <f t="shared" si="22"/>
        <v/>
      </c>
      <c r="AK60" s="43" t="str">
        <f t="shared" si="22"/>
        <v/>
      </c>
      <c r="AL60" s="43" t="str">
        <f t="shared" si="22"/>
        <v/>
      </c>
      <c r="AM60" s="43" t="str">
        <f t="shared" si="22"/>
        <v/>
      </c>
      <c r="AN60" s="43" t="str">
        <f t="shared" si="22"/>
        <v/>
      </c>
      <c r="AO60" s="43" t="str">
        <f t="shared" si="22"/>
        <v/>
      </c>
      <c r="AP60" s="43" t="str">
        <f t="shared" si="22"/>
        <v/>
      </c>
      <c r="AQ60" s="43" t="str">
        <f t="shared" si="22"/>
        <v/>
      </c>
      <c r="AR60" s="43" t="str">
        <f t="shared" si="22"/>
        <v/>
      </c>
      <c r="AS60" s="43" t="str">
        <f t="shared" si="22"/>
        <v/>
      </c>
      <c r="AT60" s="43" t="str">
        <f t="shared" si="22"/>
        <v/>
      </c>
      <c r="AU60" s="43" t="str">
        <f t="shared" si="22"/>
        <v/>
      </c>
      <c r="AV60" s="43" t="str">
        <f t="shared" si="22"/>
        <v/>
      </c>
      <c r="AW60" s="43" t="str">
        <f t="shared" si="22"/>
        <v/>
      </c>
      <c r="AX60" s="13"/>
    </row>
    <row r="61" spans="2:50" x14ac:dyDescent="0.25"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spans="2:50" ht="15.75" thickBot="1" x14ac:dyDescent="0.3">
      <c r="B62" s="14" t="s">
        <v>290</v>
      </c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spans="2:50" x14ac:dyDescent="0.25">
      <c r="B63" t="s">
        <v>265</v>
      </c>
      <c r="C63" t="s">
        <v>93</v>
      </c>
      <c r="E63" s="6">
        <f>'All inclusive sheet'!E89</f>
        <v>111585000</v>
      </c>
      <c r="F63" s="6">
        <f>'All inclusive sheet'!F89</f>
        <v>115366000</v>
      </c>
      <c r="G63" s="6">
        <f>'All inclusive sheet'!G89</f>
        <v>135228000</v>
      </c>
      <c r="H63" s="6">
        <f>'All inclusive sheet'!H89</f>
        <v>128412000</v>
      </c>
      <c r="I63" s="6">
        <f>'All inclusive sheet'!I89</f>
        <v>256315000</v>
      </c>
      <c r="J63" s="6">
        <f>'All inclusive sheet'!J89</f>
        <v>77350000</v>
      </c>
      <c r="K63" s="15">
        <f t="shared" ref="K63:K70" si="23">SUM(L63:AW63)</f>
        <v>3902382392.8098178</v>
      </c>
      <c r="L63" s="16">
        <f>'All inclusive sheet'!L89</f>
        <v>82493712.235766947</v>
      </c>
      <c r="M63" s="16">
        <f>'All inclusive sheet'!M89</f>
        <v>83691205.5853118</v>
      </c>
      <c r="N63" s="16">
        <f>'All inclusive sheet'!N89</f>
        <v>82177619.3353118</v>
      </c>
      <c r="O63" s="16">
        <f>'All inclusive sheet'!O89</f>
        <v>81674861.837590605</v>
      </c>
      <c r="P63" s="16">
        <f>'All inclusive sheet'!P89</f>
        <v>241744016.16489929</v>
      </c>
      <c r="Q63" s="16">
        <f>'All inclusive sheet'!Q89</f>
        <v>371652910.50916588</v>
      </c>
      <c r="R63" s="16">
        <f>'All inclusive sheet'!R89</f>
        <v>341270741.8289215</v>
      </c>
      <c r="S63" s="16">
        <f>'All inclusive sheet'!S89</f>
        <v>340146719.96720022</v>
      </c>
      <c r="T63" s="16">
        <f>'All inclusive sheet'!T89</f>
        <v>228851153.37896103</v>
      </c>
      <c r="U63" s="16">
        <f>'All inclusive sheet'!U89</f>
        <v>218666814.43235987</v>
      </c>
      <c r="V63" s="16">
        <f>'All inclusive sheet'!V89</f>
        <v>237506874.18714863</v>
      </c>
      <c r="W63" s="16">
        <f>'All inclusive sheet'!W89</f>
        <v>220568785.19752496</v>
      </c>
      <c r="X63" s="16">
        <f>'All inclusive sheet'!X89</f>
        <v>208468785.19752496</v>
      </c>
      <c r="Y63" s="16">
        <f>'All inclusive sheet'!Y89</f>
        <v>194796891.45834008</v>
      </c>
      <c r="Z63" s="16">
        <f>'All inclusive sheet'!Z89</f>
        <v>149640563.79484305</v>
      </c>
      <c r="AA63" s="16">
        <f>'All inclusive sheet'!AA89</f>
        <v>149704567.36648405</v>
      </c>
      <c r="AB63" s="16">
        <f>'All inclusive sheet'!AB89</f>
        <v>149704567.36648405</v>
      </c>
      <c r="AC63" s="16">
        <f>'All inclusive sheet'!AC89</f>
        <v>150114716.86611825</v>
      </c>
      <c r="AD63" s="16">
        <f>'All inclusive sheet'!AD89</f>
        <v>149704567.36648405</v>
      </c>
      <c r="AE63" s="16">
        <f>'All inclusive sheet'!AE89</f>
        <v>131809261.36648405</v>
      </c>
      <c r="AF63" s="16">
        <f>'All inclusive sheet'!AF89</f>
        <v>67454737.366484046</v>
      </c>
      <c r="AG63" s="16">
        <f>'All inclusive sheet'!AG89</f>
        <v>20538320.000407223</v>
      </c>
      <c r="AH63" s="16">
        <f>'All inclusive sheet'!AH89</f>
        <v>0</v>
      </c>
      <c r="AI63" s="16">
        <f>'All inclusive sheet'!AI89</f>
        <v>0</v>
      </c>
      <c r="AJ63" s="16">
        <f>'All inclusive sheet'!AJ89</f>
        <v>0</v>
      </c>
      <c r="AK63" s="16">
        <f>'All inclusive sheet'!AK89</f>
        <v>0</v>
      </c>
      <c r="AL63" s="16">
        <f>'All inclusive sheet'!AL89</f>
        <v>0</v>
      </c>
      <c r="AM63" s="16">
        <f>'All inclusive sheet'!AM89</f>
        <v>0</v>
      </c>
      <c r="AN63" s="16">
        <f>'All inclusive sheet'!AN89</f>
        <v>0</v>
      </c>
      <c r="AO63" s="16">
        <f>'All inclusive sheet'!AO89</f>
        <v>0</v>
      </c>
      <c r="AP63" s="16">
        <f>'All inclusive sheet'!AP89</f>
        <v>0</v>
      </c>
      <c r="AQ63" s="16">
        <f>'All inclusive sheet'!AQ89</f>
        <v>0</v>
      </c>
      <c r="AR63" s="16">
        <f>'All inclusive sheet'!AR89</f>
        <v>0</v>
      </c>
      <c r="AS63" s="16">
        <f>'All inclusive sheet'!AS89</f>
        <v>0</v>
      </c>
      <c r="AT63" s="16">
        <f>'All inclusive sheet'!AT89</f>
        <v>0</v>
      </c>
      <c r="AU63" s="16">
        <f>'All inclusive sheet'!AU89</f>
        <v>0</v>
      </c>
      <c r="AV63" s="16">
        <f>'All inclusive sheet'!AV89</f>
        <v>0</v>
      </c>
      <c r="AW63" s="16">
        <f>'All inclusive sheet'!AW89</f>
        <v>0</v>
      </c>
      <c r="AX63" s="13"/>
    </row>
    <row r="64" spans="2:50" x14ac:dyDescent="0.25">
      <c r="B64" t="s">
        <v>266</v>
      </c>
      <c r="E64">
        <v>1</v>
      </c>
      <c r="F64">
        <f>E64</f>
        <v>1</v>
      </c>
      <c r="G64">
        <f t="shared" ref="G64:J64" si="24">F64</f>
        <v>1</v>
      </c>
      <c r="H64">
        <f t="shared" si="24"/>
        <v>1</v>
      </c>
      <c r="I64">
        <f t="shared" si="24"/>
        <v>1</v>
      </c>
      <c r="J64">
        <f t="shared" si="24"/>
        <v>1</v>
      </c>
      <c r="K64" s="15">
        <f>AVERAGE(L64:AW64)</f>
        <v>1</v>
      </c>
      <c r="L64" s="13">
        <f>1</f>
        <v>1</v>
      </c>
      <c r="M64" s="13">
        <f>L64</f>
        <v>1</v>
      </c>
      <c r="N64" s="13">
        <f t="shared" ref="N64:AW64" si="25">M64</f>
        <v>1</v>
      </c>
      <c r="O64" s="13">
        <f t="shared" si="25"/>
        <v>1</v>
      </c>
      <c r="P64" s="13">
        <f t="shared" si="25"/>
        <v>1</v>
      </c>
      <c r="Q64" s="13">
        <f t="shared" si="25"/>
        <v>1</v>
      </c>
      <c r="R64" s="13">
        <f t="shared" si="25"/>
        <v>1</v>
      </c>
      <c r="S64" s="13">
        <f t="shared" si="25"/>
        <v>1</v>
      </c>
      <c r="T64" s="13">
        <f t="shared" si="25"/>
        <v>1</v>
      </c>
      <c r="U64" s="13">
        <f t="shared" si="25"/>
        <v>1</v>
      </c>
      <c r="V64" s="13">
        <f t="shared" si="25"/>
        <v>1</v>
      </c>
      <c r="W64" s="13">
        <f t="shared" si="25"/>
        <v>1</v>
      </c>
      <c r="X64" s="13">
        <f t="shared" si="25"/>
        <v>1</v>
      </c>
      <c r="Y64" s="13">
        <f t="shared" si="25"/>
        <v>1</v>
      </c>
      <c r="Z64" s="13">
        <f t="shared" si="25"/>
        <v>1</v>
      </c>
      <c r="AA64" s="13">
        <f t="shared" si="25"/>
        <v>1</v>
      </c>
      <c r="AB64" s="13">
        <f t="shared" si="25"/>
        <v>1</v>
      </c>
      <c r="AC64" s="13">
        <f t="shared" si="25"/>
        <v>1</v>
      </c>
      <c r="AD64" s="13">
        <f t="shared" si="25"/>
        <v>1</v>
      </c>
      <c r="AE64" s="13">
        <f t="shared" si="25"/>
        <v>1</v>
      </c>
      <c r="AF64" s="13">
        <f t="shared" si="25"/>
        <v>1</v>
      </c>
      <c r="AG64" s="13">
        <f t="shared" si="25"/>
        <v>1</v>
      </c>
      <c r="AH64" s="13">
        <f t="shared" si="25"/>
        <v>1</v>
      </c>
      <c r="AI64" s="13">
        <f t="shared" si="25"/>
        <v>1</v>
      </c>
      <c r="AJ64" s="13">
        <f t="shared" si="25"/>
        <v>1</v>
      </c>
      <c r="AK64" s="13">
        <f t="shared" si="25"/>
        <v>1</v>
      </c>
      <c r="AL64" s="13">
        <f t="shared" si="25"/>
        <v>1</v>
      </c>
      <c r="AM64" s="13">
        <f t="shared" si="25"/>
        <v>1</v>
      </c>
      <c r="AN64" s="13">
        <f t="shared" si="25"/>
        <v>1</v>
      </c>
      <c r="AO64" s="13">
        <f t="shared" si="25"/>
        <v>1</v>
      </c>
      <c r="AP64" s="13">
        <f t="shared" si="25"/>
        <v>1</v>
      </c>
      <c r="AQ64" s="13">
        <f t="shared" si="25"/>
        <v>1</v>
      </c>
      <c r="AR64" s="13">
        <f t="shared" si="25"/>
        <v>1</v>
      </c>
      <c r="AS64" s="13">
        <f t="shared" si="25"/>
        <v>1</v>
      </c>
      <c r="AT64" s="13">
        <f t="shared" si="25"/>
        <v>1</v>
      </c>
      <c r="AU64" s="13">
        <f t="shared" si="25"/>
        <v>1</v>
      </c>
      <c r="AV64" s="13">
        <f t="shared" si="25"/>
        <v>1</v>
      </c>
      <c r="AW64" s="13">
        <f t="shared" si="25"/>
        <v>1</v>
      </c>
      <c r="AX64" s="13"/>
    </row>
    <row r="65" spans="2:50" x14ac:dyDescent="0.25">
      <c r="B65" t="s">
        <v>267</v>
      </c>
      <c r="C65" t="s">
        <v>93</v>
      </c>
      <c r="E65" s="6">
        <f>E63*E64</f>
        <v>111585000</v>
      </c>
      <c r="F65" s="6">
        <f t="shared" ref="F65:J65" si="26">F63*F64</f>
        <v>115366000</v>
      </c>
      <c r="G65" s="6">
        <f t="shared" si="26"/>
        <v>135228000</v>
      </c>
      <c r="H65" s="6">
        <f t="shared" si="26"/>
        <v>128412000</v>
      </c>
      <c r="I65" s="6">
        <f t="shared" si="26"/>
        <v>256315000</v>
      </c>
      <c r="J65" s="6">
        <f t="shared" si="26"/>
        <v>77350000</v>
      </c>
      <c r="K65" s="15">
        <f t="shared" si="23"/>
        <v>3902382392.8098178</v>
      </c>
      <c r="L65" s="16">
        <f>L63*L64</f>
        <v>82493712.235766947</v>
      </c>
      <c r="M65" s="16">
        <f t="shared" ref="M65:AW65" si="27">M63*M64</f>
        <v>83691205.5853118</v>
      </c>
      <c r="N65" s="16">
        <f t="shared" si="27"/>
        <v>82177619.3353118</v>
      </c>
      <c r="O65" s="16">
        <f t="shared" si="27"/>
        <v>81674861.837590605</v>
      </c>
      <c r="P65" s="16">
        <f t="shared" si="27"/>
        <v>241744016.16489929</v>
      </c>
      <c r="Q65" s="16">
        <f t="shared" si="27"/>
        <v>371652910.50916588</v>
      </c>
      <c r="R65" s="16">
        <f t="shared" si="27"/>
        <v>341270741.8289215</v>
      </c>
      <c r="S65" s="16">
        <f t="shared" si="27"/>
        <v>340146719.96720022</v>
      </c>
      <c r="T65" s="16">
        <f t="shared" si="27"/>
        <v>228851153.37896103</v>
      </c>
      <c r="U65" s="16">
        <f t="shared" si="27"/>
        <v>218666814.43235987</v>
      </c>
      <c r="V65" s="16">
        <f t="shared" si="27"/>
        <v>237506874.18714863</v>
      </c>
      <c r="W65" s="16">
        <f t="shared" si="27"/>
        <v>220568785.19752496</v>
      </c>
      <c r="X65" s="16">
        <f t="shared" si="27"/>
        <v>208468785.19752496</v>
      </c>
      <c r="Y65" s="16">
        <f t="shared" si="27"/>
        <v>194796891.45834008</v>
      </c>
      <c r="Z65" s="16">
        <f t="shared" si="27"/>
        <v>149640563.79484305</v>
      </c>
      <c r="AA65" s="16">
        <f t="shared" si="27"/>
        <v>149704567.36648405</v>
      </c>
      <c r="AB65" s="16">
        <f t="shared" si="27"/>
        <v>149704567.36648405</v>
      </c>
      <c r="AC65" s="16">
        <f t="shared" si="27"/>
        <v>150114716.86611825</v>
      </c>
      <c r="AD65" s="16">
        <f t="shared" si="27"/>
        <v>149704567.36648405</v>
      </c>
      <c r="AE65" s="16">
        <f t="shared" si="27"/>
        <v>131809261.36648405</v>
      </c>
      <c r="AF65" s="16">
        <f t="shared" si="27"/>
        <v>67454737.366484046</v>
      </c>
      <c r="AG65" s="16">
        <f t="shared" si="27"/>
        <v>20538320.000407223</v>
      </c>
      <c r="AH65" s="16">
        <f t="shared" si="27"/>
        <v>0</v>
      </c>
      <c r="AI65" s="16">
        <f t="shared" si="27"/>
        <v>0</v>
      </c>
      <c r="AJ65" s="16">
        <f t="shared" si="27"/>
        <v>0</v>
      </c>
      <c r="AK65" s="16">
        <f t="shared" si="27"/>
        <v>0</v>
      </c>
      <c r="AL65" s="16">
        <f t="shared" si="27"/>
        <v>0</v>
      </c>
      <c r="AM65" s="16">
        <f t="shared" si="27"/>
        <v>0</v>
      </c>
      <c r="AN65" s="16">
        <f t="shared" si="27"/>
        <v>0</v>
      </c>
      <c r="AO65" s="16">
        <f t="shared" si="27"/>
        <v>0</v>
      </c>
      <c r="AP65" s="16">
        <f t="shared" si="27"/>
        <v>0</v>
      </c>
      <c r="AQ65" s="16">
        <f t="shared" si="27"/>
        <v>0</v>
      </c>
      <c r="AR65" s="16">
        <f t="shared" si="27"/>
        <v>0</v>
      </c>
      <c r="AS65" s="16">
        <f t="shared" si="27"/>
        <v>0</v>
      </c>
      <c r="AT65" s="16">
        <f t="shared" si="27"/>
        <v>0</v>
      </c>
      <c r="AU65" s="16">
        <f t="shared" si="27"/>
        <v>0</v>
      </c>
      <c r="AV65" s="16">
        <f t="shared" si="27"/>
        <v>0</v>
      </c>
      <c r="AW65" s="16">
        <f t="shared" si="27"/>
        <v>0</v>
      </c>
      <c r="AX65" s="13"/>
    </row>
    <row r="66" spans="2:50" x14ac:dyDescent="0.25">
      <c r="B66" t="s">
        <v>137</v>
      </c>
      <c r="C66" t="s">
        <v>43</v>
      </c>
      <c r="E66" s="11">
        <f>'All inclusive sheet'!E92</f>
        <v>6.8951995659958412</v>
      </c>
      <c r="F66" s="11">
        <f>'All inclusive sheet'!F92</f>
        <v>6.7652369785772324</v>
      </c>
      <c r="G66" s="11">
        <f>'All inclusive sheet'!G92</f>
        <v>8.0466162286220762</v>
      </c>
      <c r="H66" s="11">
        <f>'All inclusive sheet'!H92</f>
        <v>8.8786270501682711</v>
      </c>
      <c r="I66" s="11">
        <f>'All inclusive sheet'!I92</f>
        <v>10.25822535306699</v>
      </c>
      <c r="J66" s="11">
        <f>'All inclusive sheet'!J92</f>
        <v>9.8231165391748743</v>
      </c>
      <c r="K66" s="25">
        <f>AVERAGE(L66:AW66)</f>
        <v>14.146657094428429</v>
      </c>
      <c r="L66" s="24">
        <f>'All inclusive sheet'!L92</f>
        <v>9.8840374945552139</v>
      </c>
      <c r="M66" s="24">
        <f>'All inclusive sheet'!M92</f>
        <v>10.320906112281824</v>
      </c>
      <c r="N66" s="24">
        <f>'All inclusive sheet'!N92</f>
        <v>11.264919396251367</v>
      </c>
      <c r="O66" s="24">
        <f>'All inclusive sheet'!O92</f>
        <v>12.340108033260883</v>
      </c>
      <c r="P66" s="24">
        <f>'All inclusive sheet'!P92</f>
        <v>11.953527962756676</v>
      </c>
      <c r="Q66" s="24">
        <f>'All inclusive sheet'!Q92</f>
        <v>11.070750933312633</v>
      </c>
      <c r="R66" s="24">
        <f>'All inclusive sheet'!R92</f>
        <v>10.925250057162385</v>
      </c>
      <c r="S66" s="24">
        <f>'All inclusive sheet'!S92</f>
        <v>13.340745419623198</v>
      </c>
      <c r="T66" s="24">
        <f>'All inclusive sheet'!T92</f>
        <v>11.53528511832053</v>
      </c>
      <c r="U66" s="24">
        <f>'All inclusive sheet'!U92</f>
        <v>12.366567195420023</v>
      </c>
      <c r="V66" s="24">
        <f>'All inclusive sheet'!V92</f>
        <v>12.647890569381618</v>
      </c>
      <c r="W66" s="24">
        <f>'All inclusive sheet'!W92</f>
        <v>14.50998237258041</v>
      </c>
      <c r="X66" s="24">
        <f>'All inclusive sheet'!X92</f>
        <v>14.117368026700122</v>
      </c>
      <c r="Y66" s="24">
        <f>'All inclusive sheet'!Y92</f>
        <v>15.619190009808406</v>
      </c>
      <c r="Z66" s="24">
        <f>'All inclusive sheet'!Z92</f>
        <v>15.550611103538253</v>
      </c>
      <c r="AA66" s="24">
        <f>'All inclusive sheet'!AA92</f>
        <v>15.436557429356586</v>
      </c>
      <c r="AB66" s="24">
        <f>'All inclusive sheet'!AB92</f>
        <v>15.436557429356586</v>
      </c>
      <c r="AC66" s="24">
        <f>'All inclusive sheet'!AC92</f>
        <v>17.79886474794327</v>
      </c>
      <c r="AD66" s="24">
        <f>'All inclusive sheet'!AD92</f>
        <v>18.635997783578027</v>
      </c>
      <c r="AE66" s="24">
        <f>'All inclusive sheet'!AE92</f>
        <v>18.524551313117424</v>
      </c>
      <c r="AF66" s="24">
        <f>'All inclusive sheet'!AF92</f>
        <v>17.68068193371904</v>
      </c>
      <c r="AG66" s="24">
        <f>'All inclusive sheet'!AG92</f>
        <v>20.266105635400972</v>
      </c>
      <c r="AH66" s="24" t="str">
        <f>'All inclusive sheet'!AH92</f>
        <v/>
      </c>
      <c r="AI66" s="24" t="str">
        <f>'All inclusive sheet'!AI92</f>
        <v/>
      </c>
      <c r="AJ66" s="24" t="str">
        <f>'All inclusive sheet'!AJ92</f>
        <v/>
      </c>
      <c r="AK66" s="24" t="str">
        <f>'All inclusive sheet'!AK92</f>
        <v/>
      </c>
      <c r="AL66" s="24" t="str">
        <f>'All inclusive sheet'!AL92</f>
        <v/>
      </c>
      <c r="AM66" s="24" t="str">
        <f>'All inclusive sheet'!AM92</f>
        <v/>
      </c>
      <c r="AN66" s="24" t="str">
        <f>'All inclusive sheet'!AN92</f>
        <v/>
      </c>
      <c r="AO66" s="24" t="str">
        <f>'All inclusive sheet'!AO92</f>
        <v/>
      </c>
      <c r="AP66" s="24" t="str">
        <f>'All inclusive sheet'!AP92</f>
        <v/>
      </c>
      <c r="AQ66" s="24" t="str">
        <f>'All inclusive sheet'!AQ92</f>
        <v/>
      </c>
      <c r="AR66" s="24" t="str">
        <f>'All inclusive sheet'!AR92</f>
        <v/>
      </c>
      <c r="AS66" s="24" t="str">
        <f>'All inclusive sheet'!AS92</f>
        <v/>
      </c>
      <c r="AT66" s="24" t="str">
        <f>'All inclusive sheet'!AT92</f>
        <v/>
      </c>
      <c r="AU66" s="24" t="str">
        <f>'All inclusive sheet'!AU92</f>
        <v/>
      </c>
      <c r="AV66" s="24" t="str">
        <f>'All inclusive sheet'!AV92</f>
        <v/>
      </c>
      <c r="AW66" s="24" t="str">
        <f>'All inclusive sheet'!AW92</f>
        <v/>
      </c>
      <c r="AX66" s="13"/>
    </row>
    <row r="67" spans="2:50" x14ac:dyDescent="0.25">
      <c r="B67" t="s">
        <v>143</v>
      </c>
      <c r="C67" t="s">
        <v>93</v>
      </c>
      <c r="E67" s="6">
        <f>'All inclusive sheet'!E104</f>
        <v>7700000</v>
      </c>
      <c r="F67" s="6">
        <f>'All inclusive sheet'!F104</f>
        <v>10100000</v>
      </c>
      <c r="G67" s="6">
        <f>'All inclusive sheet'!G104</f>
        <v>10900000</v>
      </c>
      <c r="H67" s="6">
        <f>'All inclusive sheet'!H104</f>
        <v>10100000</v>
      </c>
      <c r="I67" s="6">
        <f>'All inclusive sheet'!I104</f>
        <v>19100000</v>
      </c>
      <c r="J67" s="6">
        <f>'All inclusive sheet'!J104</f>
        <v>5100000</v>
      </c>
      <c r="K67" s="15">
        <f t="shared" si="23"/>
        <v>231402102.5641025</v>
      </c>
      <c r="L67" s="16">
        <f>'All inclusive sheet'!L104</f>
        <v>4889704.615384615</v>
      </c>
      <c r="M67" s="16">
        <f>'All inclusive sheet'!M104</f>
        <v>4889704.615384615</v>
      </c>
      <c r="N67" s="16">
        <f>'All inclusive sheet'!N104</f>
        <v>4889704.615384615</v>
      </c>
      <c r="O67" s="16">
        <f>'All inclusive sheet'!O104</f>
        <v>4889704.615384615</v>
      </c>
      <c r="P67" s="16">
        <f>'All inclusive sheet'!P104</f>
        <v>14669113.846153846</v>
      </c>
      <c r="Q67" s="16">
        <f>'All inclusive sheet'!Q104</f>
        <v>19558818.46153846</v>
      </c>
      <c r="R67" s="16">
        <f>'All inclusive sheet'!R104</f>
        <v>19558818.46153846</v>
      </c>
      <c r="S67" s="16">
        <f>'All inclusive sheet'!S104</f>
        <v>13249280.000000002</v>
      </c>
      <c r="T67" s="16">
        <f>'All inclusive sheet'!T104</f>
        <v>11431946.666666668</v>
      </c>
      <c r="U67" s="16">
        <f>'All inclusive sheet'!U104</f>
        <v>11431946.666666668</v>
      </c>
      <c r="V67" s="16">
        <f>'All inclusive sheet'!V104</f>
        <v>11431946.666666668</v>
      </c>
      <c r="W67" s="16">
        <f>'All inclusive sheet'!W104</f>
        <v>11431946.666666668</v>
      </c>
      <c r="X67" s="16">
        <f>'All inclusive sheet'!X104</f>
        <v>11431946.666666668</v>
      </c>
      <c r="Y67" s="16">
        <f>'All inclusive sheet'!Y104</f>
        <v>11431946.666666668</v>
      </c>
      <c r="Z67" s="16">
        <f>'All inclusive sheet'!Z104</f>
        <v>11431946.666666668</v>
      </c>
      <c r="AA67" s="16">
        <f>'All inclusive sheet'!AA104</f>
        <v>11431946.666666668</v>
      </c>
      <c r="AB67" s="16">
        <f>'All inclusive sheet'!AB104</f>
        <v>11431946.666666668</v>
      </c>
      <c r="AC67" s="16">
        <f>'All inclusive sheet'!AC104</f>
        <v>11431946.666666668</v>
      </c>
      <c r="AD67" s="16">
        <f>'All inclusive sheet'!AD104</f>
        <v>11431946.666666668</v>
      </c>
      <c r="AE67" s="16">
        <f>'All inclusive sheet'!AE104</f>
        <v>11431946.666666668</v>
      </c>
      <c r="AF67" s="16">
        <f>'All inclusive sheet'!AF104</f>
        <v>3811946.666666667</v>
      </c>
      <c r="AG67" s="16">
        <f>'All inclusive sheet'!AG104</f>
        <v>3811946.666666667</v>
      </c>
      <c r="AH67" s="16">
        <f>'All inclusive sheet'!AH104</f>
        <v>0</v>
      </c>
      <c r="AI67" s="16">
        <f>'All inclusive sheet'!AI104</f>
        <v>0</v>
      </c>
      <c r="AJ67" s="16">
        <f>'All inclusive sheet'!AJ104</f>
        <v>0</v>
      </c>
      <c r="AK67" s="16">
        <f>'All inclusive sheet'!AK104</f>
        <v>0</v>
      </c>
      <c r="AL67" s="16">
        <f>'All inclusive sheet'!AL104</f>
        <v>0</v>
      </c>
      <c r="AM67" s="16">
        <f>'All inclusive sheet'!AM104</f>
        <v>0</v>
      </c>
      <c r="AN67" s="16">
        <f>'All inclusive sheet'!AN104</f>
        <v>0</v>
      </c>
      <c r="AO67" s="16">
        <f>'All inclusive sheet'!AO104</f>
        <v>0</v>
      </c>
      <c r="AP67" s="16">
        <f>'All inclusive sheet'!AP104</f>
        <v>0</v>
      </c>
      <c r="AQ67" s="16">
        <f>'All inclusive sheet'!AQ104</f>
        <v>0</v>
      </c>
      <c r="AR67" s="16">
        <f>'All inclusive sheet'!AR104</f>
        <v>0</v>
      </c>
      <c r="AS67" s="16">
        <f>'All inclusive sheet'!AS104</f>
        <v>0</v>
      </c>
      <c r="AT67" s="16">
        <f>'All inclusive sheet'!AT104</f>
        <v>0</v>
      </c>
      <c r="AU67" s="16">
        <f>'All inclusive sheet'!AU104</f>
        <v>0</v>
      </c>
      <c r="AV67" s="16">
        <f>'All inclusive sheet'!AV104</f>
        <v>0</v>
      </c>
      <c r="AW67" s="16">
        <f>'All inclusive sheet'!AW104</f>
        <v>0</v>
      </c>
      <c r="AX67" s="13"/>
    </row>
    <row r="68" spans="2:50" x14ac:dyDescent="0.25">
      <c r="B68" t="s">
        <v>138</v>
      </c>
      <c r="C68" t="s">
        <v>93</v>
      </c>
      <c r="E68" s="6">
        <f>'All inclusive sheet'!E105</f>
        <v>11600000</v>
      </c>
      <c r="F68" s="6">
        <f>'All inclusive sheet'!F105</f>
        <v>11000000</v>
      </c>
      <c r="G68" s="6">
        <f>'All inclusive sheet'!G105</f>
        <v>11400000</v>
      </c>
      <c r="H68" s="6">
        <f>'All inclusive sheet'!H105</f>
        <v>10800000</v>
      </c>
      <c r="I68" s="6">
        <f>'All inclusive sheet'!I105</f>
        <v>20300000</v>
      </c>
      <c r="J68" s="6">
        <f>'All inclusive sheet'!J105</f>
        <v>7900000</v>
      </c>
      <c r="K68" s="15">
        <f t="shared" si="23"/>
        <v>287071867.77333528</v>
      </c>
      <c r="L68" s="16">
        <f>'All inclusive sheet'!L105</f>
        <v>7159173.5938618341</v>
      </c>
      <c r="M68" s="16">
        <f>'All inclusive sheet'!M105</f>
        <v>6955661.3064657748</v>
      </c>
      <c r="N68" s="16">
        <f>'All inclusive sheet'!N105</f>
        <v>6541947.4672270063</v>
      </c>
      <c r="O68" s="16">
        <f>'All inclusive sheet'!O105</f>
        <v>6451537.1816489752</v>
      </c>
      <c r="P68" s="16">
        <f>'All inclusive sheet'!P105</f>
        <v>19713030.277260758</v>
      </c>
      <c r="Q68" s="16">
        <f>'All inclusive sheet'!Q105</f>
        <v>32723083.146425948</v>
      </c>
      <c r="R68" s="16">
        <f>'All inclusive sheet'!R105</f>
        <v>30448186.318076208</v>
      </c>
      <c r="S68" s="16">
        <f>'All inclusive sheet'!S105</f>
        <v>24853064.598466266</v>
      </c>
      <c r="T68" s="16">
        <f>'All inclusive sheet'!T105</f>
        <v>19338310.539103739</v>
      </c>
      <c r="U68" s="16">
        <f>'All inclusive sheet'!U105</f>
        <v>17235642.379118979</v>
      </c>
      <c r="V68" s="16">
        <f>'All inclusive sheet'!V105</f>
        <v>18304245.941158727</v>
      </c>
      <c r="W68" s="16">
        <f>'All inclusive sheet'!W105</f>
        <v>14817363.130742591</v>
      </c>
      <c r="X68" s="16">
        <f>'All inclusive sheet'!X105</f>
        <v>14393985.372588728</v>
      </c>
      <c r="Y68" s="16">
        <f>'All inclusive sheet'!Y105</f>
        <v>12156744.015623799</v>
      </c>
      <c r="Z68" s="16">
        <f>'All inclusive sheet'!Z105</f>
        <v>9379844.3819279447</v>
      </c>
      <c r="AA68" s="16">
        <f>'All inclusive sheet'!AA105</f>
        <v>9453189.3149214964</v>
      </c>
      <c r="AB68" s="16">
        <f>'All inclusive sheet'!AB105</f>
        <v>9453189.3149214964</v>
      </c>
      <c r="AC68" s="16">
        <f>'All inclusive sheet'!AC105</f>
        <v>8221001.480738841</v>
      </c>
      <c r="AD68" s="16">
        <f>'All inclusive sheet'!AD105</f>
        <v>7830259.5570683116</v>
      </c>
      <c r="AE68" s="16">
        <f>'All inclusive sheet'!AE105</f>
        <v>6935726.9393393211</v>
      </c>
      <c r="AF68" s="16">
        <f>'All inclusive sheet'!AF105</f>
        <v>3718837.5038402453</v>
      </c>
      <c r="AG68" s="16">
        <f>'All inclusive sheet'!AG105</f>
        <v>987844.01280824922</v>
      </c>
      <c r="AH68" s="16">
        <f>'All inclusive sheet'!AH105</f>
        <v>0</v>
      </c>
      <c r="AI68" s="16">
        <f>'All inclusive sheet'!AI105</f>
        <v>0</v>
      </c>
      <c r="AJ68" s="16">
        <f>'All inclusive sheet'!AJ105</f>
        <v>0</v>
      </c>
      <c r="AK68" s="16">
        <f>'All inclusive sheet'!AK105</f>
        <v>0</v>
      </c>
      <c r="AL68" s="16">
        <f>'All inclusive sheet'!AL105</f>
        <v>0</v>
      </c>
      <c r="AM68" s="16">
        <f>'All inclusive sheet'!AM105</f>
        <v>0</v>
      </c>
      <c r="AN68" s="16">
        <f>'All inclusive sheet'!AN105</f>
        <v>0</v>
      </c>
      <c r="AO68" s="16">
        <f>'All inclusive sheet'!AO105</f>
        <v>0</v>
      </c>
      <c r="AP68" s="16">
        <f>'All inclusive sheet'!AP105</f>
        <v>0</v>
      </c>
      <c r="AQ68" s="16">
        <f>'All inclusive sheet'!AQ105</f>
        <v>0</v>
      </c>
      <c r="AR68" s="16">
        <f>'All inclusive sheet'!AR105</f>
        <v>0</v>
      </c>
      <c r="AS68" s="16">
        <f>'All inclusive sheet'!AS105</f>
        <v>0</v>
      </c>
      <c r="AT68" s="16">
        <f>'All inclusive sheet'!AT105</f>
        <v>0</v>
      </c>
      <c r="AU68" s="16">
        <f>'All inclusive sheet'!AU105</f>
        <v>0</v>
      </c>
      <c r="AV68" s="16">
        <f>'All inclusive sheet'!AV105</f>
        <v>0</v>
      </c>
      <c r="AW68" s="16">
        <f>'All inclusive sheet'!AW105</f>
        <v>0</v>
      </c>
      <c r="AX68" s="13"/>
    </row>
    <row r="69" spans="2:50" x14ac:dyDescent="0.25">
      <c r="B69" t="s">
        <v>275</v>
      </c>
      <c r="C69" t="s">
        <v>93</v>
      </c>
      <c r="E69" s="6">
        <f>'All inclusive sheet'!E106</f>
        <v>3800000</v>
      </c>
      <c r="F69" s="6">
        <f>'All inclusive sheet'!F106</f>
        <v>3700000</v>
      </c>
      <c r="G69" s="6">
        <f>'All inclusive sheet'!G106</f>
        <v>6000000</v>
      </c>
      <c r="H69" s="6">
        <f>'All inclusive sheet'!H106</f>
        <v>12400000</v>
      </c>
      <c r="I69" s="6">
        <f>'All inclusive sheet'!I106</f>
        <v>4200000</v>
      </c>
      <c r="J69" s="6">
        <f>'All inclusive sheet'!J106</f>
        <v>3600000</v>
      </c>
      <c r="K69" s="15">
        <f t="shared" si="23"/>
        <v>141914600.41542691</v>
      </c>
      <c r="L69" s="16">
        <f>'All inclusive sheet'!L106</f>
        <v>3539152.9924477972</v>
      </c>
      <c r="M69" s="16">
        <f>'All inclusive sheet'!M106</f>
        <v>3438546.2518101349</v>
      </c>
      <c r="N69" s="16">
        <f>'All inclusive sheet'!N106</f>
        <v>3234025.9181483928</v>
      </c>
      <c r="O69" s="16">
        <f>'All inclusive sheet'!O106</f>
        <v>3189331.3973972979</v>
      </c>
      <c r="P69" s="16">
        <f>'All inclusive sheet'!P106</f>
        <v>9745179.2698250767</v>
      </c>
      <c r="Q69" s="16">
        <f>'All inclusive sheet'!Q106</f>
        <v>16176727.121002752</v>
      </c>
      <c r="R69" s="16">
        <f>'All inclusive sheet'!R106</f>
        <v>15052126.94026863</v>
      </c>
      <c r="S69" s="16">
        <f>'All inclusive sheet'!S106</f>
        <v>12286166.383865148</v>
      </c>
      <c r="T69" s="16">
        <f>'All inclusive sheet'!T106</f>
        <v>9559935.7546008173</v>
      </c>
      <c r="U69" s="16">
        <f>'All inclusive sheet'!U106</f>
        <v>8520477.1895905845</v>
      </c>
      <c r="V69" s="16">
        <f>'All inclusive sheet'!V106</f>
        <v>9048743.6779986788</v>
      </c>
      <c r="W69" s="16">
        <f>'All inclusive sheet'!W106</f>
        <v>7324995.5985583784</v>
      </c>
      <c r="X69" s="16">
        <f>'All inclusive sheet'!X106</f>
        <v>7115697.8856225181</v>
      </c>
      <c r="Y69" s="16">
        <f>'All inclusive sheet'!Y106</f>
        <v>6009712.768832067</v>
      </c>
      <c r="Z69" s="16">
        <f>'All inclusive sheet'!Z106</f>
        <v>4636946.4125660108</v>
      </c>
      <c r="AA69" s="16">
        <f>'All inclusive sheet'!AA106</f>
        <v>4673204.639256808</v>
      </c>
      <c r="AB69" s="16">
        <f>'All inclusive sheet'!AB106</f>
        <v>4673204.639256808</v>
      </c>
      <c r="AC69" s="16">
        <f>'All inclusive sheet'!AC106</f>
        <v>4064069.9111445732</v>
      </c>
      <c r="AD69" s="16">
        <f>'All inclusive sheet'!AD106</f>
        <v>3870905.7937638974</v>
      </c>
      <c r="AE69" s="16">
        <f>'All inclusive sheet'!AE106</f>
        <v>3428691.6541888914</v>
      </c>
      <c r="AF69" s="16">
        <f>'All inclusive sheet'!AF106</f>
        <v>1838415.3851818596</v>
      </c>
      <c r="AG69" s="16">
        <f>'All inclusive sheet'!AG106</f>
        <v>488342.83009975962</v>
      </c>
      <c r="AH69" s="16">
        <f>'All inclusive sheet'!AH106</f>
        <v>0</v>
      </c>
      <c r="AI69" s="16">
        <f>'All inclusive sheet'!AI106</f>
        <v>0</v>
      </c>
      <c r="AJ69" s="16">
        <f>'All inclusive sheet'!AJ106</f>
        <v>0</v>
      </c>
      <c r="AK69" s="16">
        <f>'All inclusive sheet'!AK106</f>
        <v>0</v>
      </c>
      <c r="AL69" s="16">
        <f>'All inclusive sheet'!AL106</f>
        <v>0</v>
      </c>
      <c r="AM69" s="16">
        <f>'All inclusive sheet'!AM106</f>
        <v>0</v>
      </c>
      <c r="AN69" s="16">
        <f>'All inclusive sheet'!AN106</f>
        <v>0</v>
      </c>
      <c r="AO69" s="16">
        <f>'All inclusive sheet'!AO106</f>
        <v>0</v>
      </c>
      <c r="AP69" s="16">
        <f>'All inclusive sheet'!AP106</f>
        <v>0</v>
      </c>
      <c r="AQ69" s="16">
        <f>'All inclusive sheet'!AQ106</f>
        <v>0</v>
      </c>
      <c r="AR69" s="16">
        <f>'All inclusive sheet'!AR106</f>
        <v>0</v>
      </c>
      <c r="AS69" s="16">
        <f>'All inclusive sheet'!AS106</f>
        <v>0</v>
      </c>
      <c r="AT69" s="16">
        <f>'All inclusive sheet'!AT106</f>
        <v>0</v>
      </c>
      <c r="AU69" s="16">
        <f>'All inclusive sheet'!AU106</f>
        <v>0</v>
      </c>
      <c r="AV69" s="16">
        <f>'All inclusive sheet'!AV106</f>
        <v>0</v>
      </c>
      <c r="AW69" s="16">
        <f>'All inclusive sheet'!AW106</f>
        <v>0</v>
      </c>
      <c r="AX69" s="13"/>
    </row>
    <row r="70" spans="2:50" x14ac:dyDescent="0.25">
      <c r="B70" s="69" t="s">
        <v>139</v>
      </c>
      <c r="C70" t="s">
        <v>93</v>
      </c>
      <c r="E70" s="6">
        <f>'All inclusive sheet'!E107</f>
        <v>42522000</v>
      </c>
      <c r="F70" s="6">
        <f>'All inclusive sheet'!F107</f>
        <v>44774000</v>
      </c>
      <c r="G70" s="6">
        <f>'All inclusive sheet'!G107</f>
        <v>46003000</v>
      </c>
      <c r="H70" s="6">
        <f>'All inclusive sheet'!H107</f>
        <v>45408000</v>
      </c>
      <c r="I70" s="6">
        <f>'All inclusive sheet'!I107</f>
        <v>122272000</v>
      </c>
      <c r="J70" s="6">
        <f>'All inclusive sheet'!J107</f>
        <v>38505000</v>
      </c>
      <c r="K70" s="15">
        <f t="shared" si="23"/>
        <v>1144843644.5113387</v>
      </c>
      <c r="L70" s="16">
        <f>'All inclusive sheet'!L107</f>
        <v>31025336.165696003</v>
      </c>
      <c r="M70" s="16">
        <f>'All inclusive sheet'!M107</f>
        <v>31025336.165696003</v>
      </c>
      <c r="N70" s="16">
        <f>'All inclusive sheet'!N107</f>
        <v>31025336.165696003</v>
      </c>
      <c r="O70" s="16">
        <f>'All inclusive sheet'!O107</f>
        <v>31951336.165696003</v>
      </c>
      <c r="P70" s="16">
        <f>'All inclusive sheet'!P107</f>
        <v>79156299.84855479</v>
      </c>
      <c r="Q70" s="16">
        <f>'All inclusive sheet'!Q107</f>
        <v>130570000</v>
      </c>
      <c r="R70" s="16">
        <f>'All inclusive sheet'!R107</f>
        <v>200420000</v>
      </c>
      <c r="S70" s="16">
        <f>'All inclusive sheet'!S107</f>
        <v>170120000</v>
      </c>
      <c r="T70" s="16">
        <f>'All inclusive sheet'!T107</f>
        <v>108120000</v>
      </c>
      <c r="U70" s="16">
        <f>'All inclusive sheet'!U107</f>
        <v>31120000</v>
      </c>
      <c r="V70" s="16">
        <f>'All inclusive sheet'!V107</f>
        <v>31120000</v>
      </c>
      <c r="W70" s="16">
        <f>'All inclusive sheet'!W107</f>
        <v>46120000</v>
      </c>
      <c r="X70" s="16">
        <f>'All inclusive sheet'!X107</f>
        <v>45120000</v>
      </c>
      <c r="Y70" s="16">
        <f>'All inclusive sheet'!Y107</f>
        <v>43120000</v>
      </c>
      <c r="Z70" s="16">
        <f>'All inclusive sheet'!Z107</f>
        <v>24820000</v>
      </c>
      <c r="AA70" s="16">
        <f>'All inclusive sheet'!AA107</f>
        <v>23520000</v>
      </c>
      <c r="AB70" s="16">
        <f>'All inclusive sheet'!AB107</f>
        <v>21190000</v>
      </c>
      <c r="AC70" s="16">
        <f>'All inclusive sheet'!AC107</f>
        <v>18500000</v>
      </c>
      <c r="AD70" s="16">
        <f>'All inclusive sheet'!AD107</f>
        <v>17200000</v>
      </c>
      <c r="AE70" s="16">
        <f>'All inclusive sheet'!AE107</f>
        <v>13600000</v>
      </c>
      <c r="AF70" s="16">
        <f>'All inclusive sheet'!AF107</f>
        <v>9000000</v>
      </c>
      <c r="AG70" s="16">
        <f>'All inclusive sheet'!AG107</f>
        <v>7000000</v>
      </c>
      <c r="AH70" s="16">
        <f>'All inclusive sheet'!AH107</f>
        <v>0</v>
      </c>
      <c r="AI70" s="16">
        <f>'All inclusive sheet'!AI107</f>
        <v>0</v>
      </c>
      <c r="AJ70" s="16">
        <f>'All inclusive sheet'!AJ107</f>
        <v>0</v>
      </c>
      <c r="AK70" s="16">
        <f>'All inclusive sheet'!AK107</f>
        <v>0</v>
      </c>
      <c r="AL70" s="16">
        <f>'All inclusive sheet'!AL107</f>
        <v>0</v>
      </c>
      <c r="AM70" s="16">
        <f>'All inclusive sheet'!AM107</f>
        <v>0</v>
      </c>
      <c r="AN70" s="16">
        <f>'All inclusive sheet'!AN107</f>
        <v>0</v>
      </c>
      <c r="AO70" s="16">
        <f>'All inclusive sheet'!AO107</f>
        <v>0</v>
      </c>
      <c r="AP70" s="16">
        <f>'All inclusive sheet'!AP107</f>
        <v>0</v>
      </c>
      <c r="AQ70" s="16">
        <f>'All inclusive sheet'!AQ107</f>
        <v>0</v>
      </c>
      <c r="AR70" s="16">
        <f>'All inclusive sheet'!AR107</f>
        <v>0</v>
      </c>
      <c r="AS70" s="16">
        <f>'All inclusive sheet'!AS107</f>
        <v>0</v>
      </c>
      <c r="AT70" s="16">
        <f>'All inclusive sheet'!AT107</f>
        <v>0</v>
      </c>
      <c r="AU70" s="16">
        <f>'All inclusive sheet'!AU107</f>
        <v>0</v>
      </c>
      <c r="AV70" s="16">
        <f>'All inclusive sheet'!AV107</f>
        <v>0</v>
      </c>
      <c r="AW70" s="16">
        <f>'All inclusive sheet'!AW107</f>
        <v>0</v>
      </c>
      <c r="AX70" s="13"/>
    </row>
    <row r="71" spans="2:50" x14ac:dyDescent="0.25">
      <c r="B71" s="3" t="s">
        <v>151</v>
      </c>
      <c r="C71" s="3" t="s">
        <v>93</v>
      </c>
      <c r="E71" s="67">
        <f>'All inclusive sheet'!E111</f>
        <v>110327000</v>
      </c>
      <c r="F71" s="67">
        <f>'All inclusive sheet'!F111</f>
        <v>61586000</v>
      </c>
      <c r="G71" s="67">
        <f>'All inclusive sheet'!G111</f>
        <v>34194000</v>
      </c>
      <c r="H71" s="67">
        <f>'All inclusive sheet'!H111</f>
        <v>57238000</v>
      </c>
      <c r="I71" s="67">
        <f>'All inclusive sheet'!I111</f>
        <v>136879000</v>
      </c>
      <c r="J71" s="67">
        <f>'All inclusive sheet'!J111</f>
        <v>40712000</v>
      </c>
      <c r="K71" s="15">
        <f t="shared" ref="K71" si="28">SUM(L71:AW71)</f>
        <v>1655081673.2297814</v>
      </c>
      <c r="L71" s="15">
        <f>'All inclusive sheet'!L111</f>
        <v>54508337.698387802</v>
      </c>
      <c r="M71" s="15">
        <f>'All inclusive sheet'!M111</f>
        <v>48395367.415653124</v>
      </c>
      <c r="N71" s="15">
        <f>'All inclusive sheet'!N111</f>
        <v>39916432.527300775</v>
      </c>
      <c r="O71" s="15">
        <f>'All inclusive sheet'!O111</f>
        <v>37309490.559165925</v>
      </c>
      <c r="P71" s="15">
        <f>'All inclusive sheet'!P111</f>
        <v>140563715.96156114</v>
      </c>
      <c r="Q71" s="15">
        <f>'All inclusive sheet'!Q111</f>
        <v>268586078.5321244</v>
      </c>
      <c r="R71" s="15">
        <f>'All inclusive sheet'!R111</f>
        <v>174172164.94767547</v>
      </c>
      <c r="S71" s="15">
        <f>'All inclusive sheet'!S111</f>
        <v>76765522.666812062</v>
      </c>
      <c r="T71" s="15">
        <f>'All inclusive sheet'!T111</f>
        <v>118679357.71690279</v>
      </c>
      <c r="U71" s="15">
        <f>'All inclusive sheet'!U111</f>
        <v>155077491.21713001</v>
      </c>
      <c r="V71" s="15">
        <f>'All inclusive sheet'!V111</f>
        <v>162047647.77477688</v>
      </c>
      <c r="W71" s="15">
        <f>'All inclusive sheet'!W111</f>
        <v>79766291.134659827</v>
      </c>
      <c r="X71" s="15">
        <f>'All inclusive sheet'!X111</f>
        <v>82640355.242244363</v>
      </c>
      <c r="Y71" s="15">
        <f>'All inclusive sheet'!Y111</f>
        <v>44275667.579650432</v>
      </c>
      <c r="Z71" s="15">
        <f>'All inclusive sheet'!Z111</f>
        <v>40660929.068891913</v>
      </c>
      <c r="AA71" s="15">
        <f>'All inclusive sheet'!AA111</f>
        <v>43668441.757566601</v>
      </c>
      <c r="AB71" s="15">
        <f>'All inclusive sheet'!AB111</f>
        <v>45998441.757566601</v>
      </c>
      <c r="AC71" s="15">
        <f>'All inclusive sheet'!AC111</f>
        <v>18516989.125926822</v>
      </c>
      <c r="AD71" s="15">
        <f>'All inclusive sheet'!AD111</f>
        <v>10789463.204544216</v>
      </c>
      <c r="AE71" s="15">
        <f>'All inclusive sheet'!AE111</f>
        <v>10678926.605588228</v>
      </c>
      <c r="AF71" s="15">
        <f>'All inclusive sheet'!AF111</f>
        <v>9555214.2035542727</v>
      </c>
      <c r="AG71" s="15">
        <f>'All inclusive sheet'!AG111</f>
        <v>-7490653.4679023549</v>
      </c>
      <c r="AH71" s="15">
        <f>'All inclusive sheet'!AH111</f>
        <v>0</v>
      </c>
      <c r="AI71" s="15">
        <f>'All inclusive sheet'!AI111</f>
        <v>0</v>
      </c>
      <c r="AJ71" s="15">
        <f>'All inclusive sheet'!AJ111</f>
        <v>0</v>
      </c>
      <c r="AK71" s="15">
        <f>'All inclusive sheet'!AK111</f>
        <v>0</v>
      </c>
      <c r="AL71" s="15">
        <f>'All inclusive sheet'!AL111</f>
        <v>0</v>
      </c>
      <c r="AM71" s="15">
        <f>'All inclusive sheet'!AM111</f>
        <v>0</v>
      </c>
      <c r="AN71" s="15">
        <f>'All inclusive sheet'!AN111</f>
        <v>0</v>
      </c>
      <c r="AO71" s="15">
        <f>'All inclusive sheet'!AO111</f>
        <v>0</v>
      </c>
      <c r="AP71" s="15">
        <f>'All inclusive sheet'!AP111</f>
        <v>0</v>
      </c>
      <c r="AQ71" s="15">
        <f>'All inclusive sheet'!AQ111</f>
        <v>0</v>
      </c>
      <c r="AR71" s="15">
        <f>'All inclusive sheet'!AR111</f>
        <v>0</v>
      </c>
      <c r="AS71" s="15">
        <f>'All inclusive sheet'!AS111</f>
        <v>0</v>
      </c>
      <c r="AT71" s="15">
        <f>'All inclusive sheet'!AT111</f>
        <v>0</v>
      </c>
      <c r="AU71" s="15">
        <f>'All inclusive sheet'!AU111</f>
        <v>0</v>
      </c>
      <c r="AV71" s="15">
        <f>'All inclusive sheet'!AV111</f>
        <v>0</v>
      </c>
      <c r="AW71" s="15">
        <f>'All inclusive sheet'!AW111</f>
        <v>0</v>
      </c>
      <c r="AX71" s="13"/>
    </row>
    <row r="72" spans="2:50" x14ac:dyDescent="0.25">
      <c r="K72" s="26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spans="2:50" ht="15.75" thickBot="1" x14ac:dyDescent="0.3">
      <c r="B73" s="14" t="s">
        <v>276</v>
      </c>
      <c r="K73" s="26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spans="2:50" x14ac:dyDescent="0.25">
      <c r="B74" t="s">
        <v>277</v>
      </c>
      <c r="C74" t="s">
        <v>93</v>
      </c>
      <c r="E74" s="6">
        <f>'All inclusive sheet'!E115</f>
        <v>4135000</v>
      </c>
      <c r="F74" s="6">
        <f>'All inclusive sheet'!F115</f>
        <v>10081000</v>
      </c>
      <c r="G74" s="6">
        <f>'All inclusive sheet'!G115</f>
        <v>9948000</v>
      </c>
      <c r="H74" s="6">
        <f>'All inclusive sheet'!H115</f>
        <v>4812000</v>
      </c>
      <c r="I74" s="6">
        <f>'All inclusive sheet'!I115</f>
        <v>25703000</v>
      </c>
      <c r="J74" s="6">
        <f>'All inclusive sheet'!J115</f>
        <v>8980000</v>
      </c>
      <c r="K74" s="15">
        <f t="shared" ref="K74:K75" si="29">SUM(L74:AW74)</f>
        <v>496686832.14392656</v>
      </c>
      <c r="L74" s="16">
        <f>'All inclusive sheet'!L115</f>
        <v>13503413.689010741</v>
      </c>
      <c r="M74" s="16">
        <f>'All inclusive sheet'!M115</f>
        <v>12901725.00327809</v>
      </c>
      <c r="N74" s="16">
        <f>'All inclusive sheet'!N115</f>
        <v>11904397.942881439</v>
      </c>
      <c r="O74" s="16">
        <f>'All inclusive sheet'!O115</f>
        <v>11591565.854576599</v>
      </c>
      <c r="P74" s="16">
        <f>'All inclusive sheet'!P115</f>
        <v>35639256.220748477</v>
      </c>
      <c r="Q74" s="16">
        <f>'All inclusive sheet'!Q115</f>
        <v>63848530.159549542</v>
      </c>
      <c r="R74" s="16">
        <f>'All inclusive sheet'!R115</f>
        <v>49802810.046594866</v>
      </c>
      <c r="S74" s="16">
        <f>'All inclusive sheet'!S115</f>
        <v>41098315.13159091</v>
      </c>
      <c r="T74" s="16">
        <f>'All inclusive sheet'!T115</f>
        <v>32500011.235979706</v>
      </c>
      <c r="U74" s="16">
        <f>'All inclusive sheet'!U115</f>
        <v>29329628.413472086</v>
      </c>
      <c r="V74" s="16">
        <f>'All inclusive sheet'!V115</f>
        <v>31177961.765882682</v>
      </c>
      <c r="W74" s="16">
        <f>'All inclusive sheet'!W115</f>
        <v>25828968.739984162</v>
      </c>
      <c r="X74" s="16">
        <f>'All inclusive sheet'!X115</f>
        <v>25166593.446810346</v>
      </c>
      <c r="Y74" s="16">
        <f>'All inclusive sheet'!Y115</f>
        <v>21680424.471757732</v>
      </c>
      <c r="Z74" s="16">
        <f>'All inclusive sheet'!Z115</f>
        <v>16882755.933896821</v>
      </c>
      <c r="AA74" s="16">
        <f>'All inclusive sheet'!AA115</f>
        <v>16980880.189708211</v>
      </c>
      <c r="AB74" s="16">
        <f>'All inclusive sheet'!AB115</f>
        <v>17005600.189708211</v>
      </c>
      <c r="AC74" s="16">
        <f>'All inclusive sheet'!AC115</f>
        <v>13586081.494973425</v>
      </c>
      <c r="AD74" s="16">
        <f>'All inclusive sheet'!AD115</f>
        <v>12508747.270877983</v>
      </c>
      <c r="AE74" s="16">
        <f>'All inclusive sheet'!AE115</f>
        <v>10393158.741129383</v>
      </c>
      <c r="AF74" s="16">
        <f>'All inclusive sheet'!AF115</f>
        <v>2740454.5991699761</v>
      </c>
      <c r="AG74" s="16">
        <f>'All inclusive sheet'!AG115</f>
        <v>615551.60234520887</v>
      </c>
      <c r="AH74" s="16">
        <f>'All inclusive sheet'!AH115</f>
        <v>0</v>
      </c>
      <c r="AI74" s="16">
        <f>'All inclusive sheet'!AI115</f>
        <v>0</v>
      </c>
      <c r="AJ74" s="16">
        <f>'All inclusive sheet'!AJ115</f>
        <v>0</v>
      </c>
      <c r="AK74" s="16">
        <f>'All inclusive sheet'!AK115</f>
        <v>0</v>
      </c>
      <c r="AL74" s="16">
        <f>'All inclusive sheet'!AL115</f>
        <v>0</v>
      </c>
      <c r="AM74" s="16">
        <f>'All inclusive sheet'!AM115</f>
        <v>0</v>
      </c>
      <c r="AN74" s="16">
        <f>'All inclusive sheet'!AN115</f>
        <v>0</v>
      </c>
      <c r="AO74" s="16">
        <f>'All inclusive sheet'!AO115</f>
        <v>0</v>
      </c>
      <c r="AP74" s="16">
        <f>'All inclusive sheet'!AP115</f>
        <v>0</v>
      </c>
      <c r="AQ74" s="16">
        <f>'All inclusive sheet'!AQ115</f>
        <v>0</v>
      </c>
      <c r="AR74" s="16">
        <f>'All inclusive sheet'!AR115</f>
        <v>0</v>
      </c>
      <c r="AS74" s="16">
        <f>'All inclusive sheet'!AS115</f>
        <v>0</v>
      </c>
      <c r="AT74" s="16">
        <f>'All inclusive sheet'!AT115</f>
        <v>0</v>
      </c>
      <c r="AU74" s="16">
        <f>'All inclusive sheet'!AU115</f>
        <v>0</v>
      </c>
      <c r="AV74" s="16">
        <f>'All inclusive sheet'!AV115</f>
        <v>0</v>
      </c>
      <c r="AW74" s="16">
        <f>'All inclusive sheet'!AW115</f>
        <v>0</v>
      </c>
      <c r="AX74" s="13"/>
    </row>
    <row r="75" spans="2:50" x14ac:dyDescent="0.25">
      <c r="B75" t="s">
        <v>140</v>
      </c>
      <c r="C75" t="s">
        <v>93</v>
      </c>
      <c r="E75" s="6">
        <f>'All inclusive sheet'!E116</f>
        <v>8801000</v>
      </c>
      <c r="F75" s="6">
        <f>'All inclusive sheet'!F116</f>
        <v>7274000</v>
      </c>
      <c r="G75" s="6">
        <f>'All inclusive sheet'!G116</f>
        <v>7335000</v>
      </c>
      <c r="H75" s="6">
        <f>'All inclusive sheet'!H116</f>
        <v>9236000</v>
      </c>
      <c r="I75" s="6">
        <f>'All inclusive sheet'!I116</f>
        <v>9390000</v>
      </c>
      <c r="J75" s="6">
        <f>'All inclusive sheet'!J116</f>
        <v>1614000</v>
      </c>
      <c r="K75" s="15">
        <f t="shared" si="29"/>
        <v>21453645.769179944</v>
      </c>
      <c r="L75" s="16">
        <f>'All inclusive sheet'!L116</f>
        <v>1551318.2085199945</v>
      </c>
      <c r="M75" s="16">
        <f>'All inclusive sheet'!M116</f>
        <v>1195828.1384850109</v>
      </c>
      <c r="N75" s="16">
        <f>'All inclusive sheet'!N116</f>
        <v>1127577.3801126834</v>
      </c>
      <c r="O75" s="16">
        <f>'All inclusive sheet'!O116</f>
        <v>1328062.4084938229</v>
      </c>
      <c r="P75" s="16">
        <f>'All inclusive sheet'!P116</f>
        <v>4798999.0368289398</v>
      </c>
      <c r="Q75" s="16">
        <f>'All inclusive sheet'!Q116</f>
        <v>6271666.8669808162</v>
      </c>
      <c r="R75" s="16">
        <f>'All inclusive sheet'!R116</f>
        <v>65395.897145608105</v>
      </c>
      <c r="S75" s="16">
        <f>'All inclusive sheet'!S116</f>
        <v>65395.897145608105</v>
      </c>
      <c r="T75" s="16">
        <f>'All inclusive sheet'!T116</f>
        <v>49883.553025310823</v>
      </c>
      <c r="U75" s="16">
        <f>'All inclusive sheet'!U116</f>
        <v>0</v>
      </c>
      <c r="V75" s="16">
        <f>'All inclusive sheet'!V116</f>
        <v>0</v>
      </c>
      <c r="W75" s="16">
        <f>'All inclusive sheet'!W116</f>
        <v>0</v>
      </c>
      <c r="X75" s="16">
        <f>'All inclusive sheet'!X116</f>
        <v>0</v>
      </c>
      <c r="Y75" s="16">
        <f>'All inclusive sheet'!Y116</f>
        <v>0</v>
      </c>
      <c r="Z75" s="16">
        <f>'All inclusive sheet'!Z116</f>
        <v>433884.06153832318</v>
      </c>
      <c r="AA75" s="16">
        <f>'All inclusive sheet'!AA116</f>
        <v>571403.38894213585</v>
      </c>
      <c r="AB75" s="16">
        <f>'All inclusive sheet'!AB116</f>
        <v>651825.78894213587</v>
      </c>
      <c r="AC75" s="16">
        <f>'All inclusive sheet'!AC116</f>
        <v>761922.14460202341</v>
      </c>
      <c r="AD75" s="16">
        <f>'All inclusive sheet'!AD116</f>
        <v>756480.99947251147</v>
      </c>
      <c r="AE75" s="16">
        <f>'All inclusive sheet'!AE116</f>
        <v>834240.99947251147</v>
      </c>
      <c r="AF75" s="16">
        <f>'All inclusive sheet'!AF116</f>
        <v>989760.99947251147</v>
      </c>
      <c r="AG75" s="16">
        <f>'All inclusive sheet'!AG116</f>
        <v>0</v>
      </c>
      <c r="AH75" s="16">
        <f>'All inclusive sheet'!AH116</f>
        <v>0</v>
      </c>
      <c r="AI75" s="16">
        <f>'All inclusive sheet'!AI116</f>
        <v>0</v>
      </c>
      <c r="AJ75" s="16">
        <f>'All inclusive sheet'!AJ116</f>
        <v>0</v>
      </c>
      <c r="AK75" s="16">
        <f>'All inclusive sheet'!AK116</f>
        <v>0</v>
      </c>
      <c r="AL75" s="16">
        <f>'All inclusive sheet'!AL116</f>
        <v>0</v>
      </c>
      <c r="AM75" s="16">
        <f>'All inclusive sheet'!AM116</f>
        <v>0</v>
      </c>
      <c r="AN75" s="16">
        <f>'All inclusive sheet'!AN116</f>
        <v>0</v>
      </c>
      <c r="AO75" s="16">
        <f>'All inclusive sheet'!AO116</f>
        <v>0</v>
      </c>
      <c r="AP75" s="16">
        <f>'All inclusive sheet'!AP116</f>
        <v>0</v>
      </c>
      <c r="AQ75" s="16">
        <f>'All inclusive sheet'!AQ116</f>
        <v>0</v>
      </c>
      <c r="AR75" s="16">
        <f>'All inclusive sheet'!AR116</f>
        <v>0</v>
      </c>
      <c r="AS75" s="16">
        <f>'All inclusive sheet'!AS116</f>
        <v>0</v>
      </c>
      <c r="AT75" s="16">
        <f>'All inclusive sheet'!AT116</f>
        <v>0</v>
      </c>
      <c r="AU75" s="16">
        <f>'All inclusive sheet'!AU116</f>
        <v>0</v>
      </c>
      <c r="AV75" s="16">
        <f>'All inclusive sheet'!AV116</f>
        <v>0</v>
      </c>
      <c r="AW75" s="16">
        <f>'All inclusive sheet'!AW116</f>
        <v>0</v>
      </c>
      <c r="AX75" s="13"/>
    </row>
    <row r="76" spans="2:50" x14ac:dyDescent="0.25">
      <c r="B76" t="s">
        <v>148</v>
      </c>
      <c r="C76" t="s">
        <v>93</v>
      </c>
      <c r="E76" s="6">
        <f>'All inclusive sheet'!E117</f>
        <v>104951000</v>
      </c>
      <c r="F76" s="6">
        <f>'All inclusive sheet'!F117</f>
        <v>67340000</v>
      </c>
      <c r="G76" s="6">
        <f>'All inclusive sheet'!G117</f>
        <v>43971000</v>
      </c>
      <c r="H76" s="6">
        <f>'All inclusive sheet'!H117</f>
        <v>58955000</v>
      </c>
      <c r="I76" s="6">
        <f>'All inclusive sheet'!I117</f>
        <v>107180000</v>
      </c>
      <c r="J76" s="6">
        <f>'All inclusive sheet'!J117</f>
        <v>33755000</v>
      </c>
      <c r="K76" s="15">
        <f>SUM(L76:AW76)</f>
        <v>1136941195.3166749</v>
      </c>
      <c r="L76" s="16">
        <f>'All inclusive sheet'!L117</f>
        <v>39453605.800857067</v>
      </c>
      <c r="M76" s="16">
        <f>'All inclusive sheet'!M117</f>
        <v>34297814.273890026</v>
      </c>
      <c r="N76" s="16">
        <f>'All inclusive sheet'!N117</f>
        <v>26884457.204306655</v>
      </c>
      <c r="O76" s="16">
        <f>'All inclusive sheet'!O117</f>
        <v>24389862.296095505</v>
      </c>
      <c r="P76" s="16">
        <f>'All inclusive sheet'!P117</f>
        <v>100125460.70398372</v>
      </c>
      <c r="Q76" s="16">
        <f>'All inclusive sheet'!Q117</f>
        <v>198465881.50559404</v>
      </c>
      <c r="R76" s="16">
        <f>'All inclusive sheet'!R117</f>
        <v>124303959.00393499</v>
      </c>
      <c r="S76" s="16">
        <f>'All inclusive sheet'!S117</f>
        <v>35601811.638075545</v>
      </c>
      <c r="T76" s="16">
        <f>'All inclusive sheet'!T117</f>
        <v>86129462.927897781</v>
      </c>
      <c r="U76" s="16">
        <f>'All inclusive sheet'!U117</f>
        <v>125747862.80365792</v>
      </c>
      <c r="V76" s="16">
        <f>'All inclusive sheet'!V117</f>
        <v>130869686.00889419</v>
      </c>
      <c r="W76" s="16">
        <f>'All inclusive sheet'!W117</f>
        <v>53937322.394675665</v>
      </c>
      <c r="X76" s="16">
        <f>'All inclusive sheet'!X117</f>
        <v>57473761.795434013</v>
      </c>
      <c r="Y76" s="16">
        <f>'All inclusive sheet'!Y117</f>
        <v>22595243.1078927</v>
      </c>
      <c r="Z76" s="16">
        <f>'All inclusive sheet'!Z117</f>
        <v>23344289.073456768</v>
      </c>
      <c r="AA76" s="16">
        <f>'All inclusive sheet'!AA117</f>
        <v>26116158.178916253</v>
      </c>
      <c r="AB76" s="16">
        <f>'All inclusive sheet'!AB117</f>
        <v>28341015.778916255</v>
      </c>
      <c r="AC76" s="16">
        <f>'All inclusive sheet'!AC117</f>
        <v>4168985.4863513745</v>
      </c>
      <c r="AD76" s="16">
        <f>'All inclusive sheet'!AD117</f>
        <v>-2475765.065806279</v>
      </c>
      <c r="AE76" s="16">
        <f>'All inclusive sheet'!AE117</f>
        <v>-548473.13501366787</v>
      </c>
      <c r="AF76" s="16">
        <f>'All inclusive sheet'!AF117</f>
        <v>5824998.6049117856</v>
      </c>
      <c r="AG76" s="16">
        <f>'All inclusive sheet'!AG117</f>
        <v>-8106205.0702475635</v>
      </c>
      <c r="AH76" s="16">
        <f>'All inclusive sheet'!AH117</f>
        <v>0</v>
      </c>
      <c r="AI76" s="16">
        <f>'All inclusive sheet'!AI117</f>
        <v>0</v>
      </c>
      <c r="AJ76" s="16">
        <f>'All inclusive sheet'!AJ117</f>
        <v>0</v>
      </c>
      <c r="AK76" s="16">
        <f>'All inclusive sheet'!AK117</f>
        <v>0</v>
      </c>
      <c r="AL76" s="16">
        <f>'All inclusive sheet'!AL117</f>
        <v>0</v>
      </c>
      <c r="AM76" s="16">
        <f>'All inclusive sheet'!AM117</f>
        <v>0</v>
      </c>
      <c r="AN76" s="16">
        <f>'All inclusive sheet'!AN117</f>
        <v>0</v>
      </c>
      <c r="AO76" s="16">
        <f>'All inclusive sheet'!AO117</f>
        <v>0</v>
      </c>
      <c r="AP76" s="16">
        <f>'All inclusive sheet'!AP117</f>
        <v>0</v>
      </c>
      <c r="AQ76" s="16">
        <f>'All inclusive sheet'!AQ117</f>
        <v>0</v>
      </c>
      <c r="AR76" s="16">
        <f>'All inclusive sheet'!AR117</f>
        <v>0</v>
      </c>
      <c r="AS76" s="16">
        <f>'All inclusive sheet'!AS117</f>
        <v>0</v>
      </c>
      <c r="AT76" s="16">
        <f>'All inclusive sheet'!AT117</f>
        <v>0</v>
      </c>
      <c r="AU76" s="16">
        <f>'All inclusive sheet'!AU117</f>
        <v>0</v>
      </c>
      <c r="AV76" s="16">
        <f>'All inclusive sheet'!AV117</f>
        <v>0</v>
      </c>
      <c r="AW76" s="16">
        <f>'All inclusive sheet'!AW117</f>
        <v>0</v>
      </c>
      <c r="AX76" s="13"/>
    </row>
    <row r="77" spans="2:50" x14ac:dyDescent="0.25">
      <c r="B77" t="s">
        <v>149</v>
      </c>
      <c r="C77" t="s">
        <v>70</v>
      </c>
      <c r="E77" s="18">
        <f>'All inclusive sheet'!E118</f>
        <v>0.36822898304923252</v>
      </c>
      <c r="F77" s="18">
        <f>'All inclusive sheet'!F118</f>
        <v>0.49524799524799523</v>
      </c>
      <c r="G77" s="18">
        <f>'All inclusive sheet'!G118</f>
        <v>0.45882513474790204</v>
      </c>
      <c r="H77" s="18">
        <f>'All inclusive sheet'!H118</f>
        <v>0.63441608006106354</v>
      </c>
      <c r="I77" s="18">
        <f>'All inclusive sheet'!I118</f>
        <v>0.44580145549542827</v>
      </c>
      <c r="J77" s="18">
        <f>'All inclusive sheet'!J118</f>
        <v>0.20082950673974226</v>
      </c>
      <c r="K77" s="29">
        <f>AVERAGEIF(L77:AW77,"&gt;0")</f>
        <v>0.30349032902745804</v>
      </c>
      <c r="L77" s="28">
        <f>'All inclusive sheet'!L118</f>
        <v>0.31445667333651622</v>
      </c>
      <c r="M77" s="28">
        <f>'All inclusive sheet'!M118</f>
        <v>0.31655488797333986</v>
      </c>
      <c r="N77" s="28">
        <f>'All inclusive sheet'!N118</f>
        <v>0.31379268097841595</v>
      </c>
      <c r="O77" s="28">
        <f>'All inclusive sheet'!O118</f>
        <v>0.30247214739688627</v>
      </c>
      <c r="P77" s="28">
        <f>'All inclusive sheet'!P118</f>
        <v>0.30672136332522931</v>
      </c>
      <c r="Q77" s="28">
        <f>'All inclusive sheet'!Q118</f>
        <v>0.29356573964967292</v>
      </c>
      <c r="R77" s="28">
        <f>'All inclusive sheet'!R118</f>
        <v>0.29722873822099982</v>
      </c>
      <c r="S77" s="28">
        <f>'All inclusive sheet'!S118</f>
        <v>0.30575303478702365</v>
      </c>
      <c r="T77" s="28">
        <f>'All inclusive sheet'!T118</f>
        <v>0.27724423355590028</v>
      </c>
      <c r="U77" s="28">
        <f>'All inclusive sheet'!U118</f>
        <v>0.26995265850753747</v>
      </c>
      <c r="V77" s="28">
        <f>'All inclusive sheet'!V118</f>
        <v>0.26841950106073631</v>
      </c>
      <c r="W77" s="28">
        <f>'All inclusive sheet'!W118</f>
        <v>0.28481675290850678</v>
      </c>
      <c r="X77" s="28">
        <f>'All inclusive sheet'!X118</f>
        <v>0.28371959065105362</v>
      </c>
      <c r="Y77" s="28">
        <f>'All inclusive sheet'!Y118</f>
        <v>0.30789090315941581</v>
      </c>
      <c r="Z77" s="28">
        <f>'All inclusive sheet'!Z118</f>
        <v>0.34210753864287041</v>
      </c>
      <c r="AA77" s="28">
        <f>'All inclusive sheet'!AA118</f>
        <v>0.34037486504620673</v>
      </c>
      <c r="AB77" s="28">
        <f>'All inclusive sheet'!AB118</f>
        <v>0.33960718518145583</v>
      </c>
      <c r="AC77" s="28">
        <f>'All inclusive sheet'!AC118</f>
        <v>0.31957352970057357</v>
      </c>
      <c r="AD77" s="28">
        <f>'All inclusive sheet'!AD118</f>
        <v>0.29789752830009902</v>
      </c>
      <c r="AE77" s="28">
        <f>'All inclusive sheet'!AE118</f>
        <v>0.29614735719418062</v>
      </c>
      <c r="AF77" s="28">
        <f>'All inclusive sheet'!AF118</f>
        <v>0.29499999999999998</v>
      </c>
      <c r="AG77" s="28">
        <f>'All inclusive sheet'!AG118</f>
        <v>0</v>
      </c>
      <c r="AH77" s="28">
        <f>'All inclusive sheet'!AH118</f>
        <v>0</v>
      </c>
      <c r="AI77" s="28">
        <f>'All inclusive sheet'!AI118</f>
        <v>0</v>
      </c>
      <c r="AJ77" s="28">
        <f>'All inclusive sheet'!AJ118</f>
        <v>0</v>
      </c>
      <c r="AK77" s="28">
        <f>'All inclusive sheet'!AK118</f>
        <v>0</v>
      </c>
      <c r="AL77" s="28">
        <f>'All inclusive sheet'!AL118</f>
        <v>0</v>
      </c>
      <c r="AM77" s="28">
        <f>'All inclusive sheet'!AM118</f>
        <v>0</v>
      </c>
      <c r="AN77" s="28">
        <f>'All inclusive sheet'!AN118</f>
        <v>0</v>
      </c>
      <c r="AO77" s="28">
        <f>'All inclusive sheet'!AO118</f>
        <v>0</v>
      </c>
      <c r="AP77" s="28">
        <f>'All inclusive sheet'!AP118</f>
        <v>0</v>
      </c>
      <c r="AQ77" s="28">
        <f>'All inclusive sheet'!AQ118</f>
        <v>0</v>
      </c>
      <c r="AR77" s="28">
        <f>'All inclusive sheet'!AR118</f>
        <v>0</v>
      </c>
      <c r="AS77" s="28">
        <f>'All inclusive sheet'!AS118</f>
        <v>0</v>
      </c>
      <c r="AT77" s="28">
        <f>'All inclusive sheet'!AT118</f>
        <v>0</v>
      </c>
      <c r="AU77" s="28">
        <f>'All inclusive sheet'!AU118</f>
        <v>0</v>
      </c>
      <c r="AV77" s="28">
        <f>'All inclusive sheet'!AV118</f>
        <v>0</v>
      </c>
      <c r="AW77" s="28">
        <f>'All inclusive sheet'!AW118</f>
        <v>0</v>
      </c>
      <c r="AX77" s="13"/>
    </row>
    <row r="78" spans="2:50" x14ac:dyDescent="0.25">
      <c r="B78" t="s">
        <v>278</v>
      </c>
      <c r="C78" t="s">
        <v>93</v>
      </c>
      <c r="K78" s="26"/>
      <c r="L78" s="16">
        <f>'All inclusive sheet'!L119</f>
        <v>150393000</v>
      </c>
      <c r="M78" s="16">
        <f>'All inclusive sheet'!M119</f>
        <v>110939394.19914293</v>
      </c>
      <c r="N78" s="16">
        <f>'All inclusive sheet'!N119</f>
        <v>76641579.925252914</v>
      </c>
      <c r="O78" s="16">
        <f>'All inclusive sheet'!O119</f>
        <v>49757122.72094626</v>
      </c>
      <c r="P78" s="16">
        <f>'All inclusive sheet'!P119</f>
        <v>25367260.424850754</v>
      </c>
      <c r="Q78" s="16">
        <f>'All inclusive sheet'!Q119</f>
        <v>0</v>
      </c>
      <c r="R78" s="16">
        <f>'All inclusive sheet'!R119</f>
        <v>0</v>
      </c>
      <c r="S78" s="16">
        <f>'All inclusive sheet'!S119</f>
        <v>0</v>
      </c>
      <c r="T78" s="16">
        <f>'All inclusive sheet'!T119</f>
        <v>0</v>
      </c>
      <c r="U78" s="16">
        <f>'All inclusive sheet'!U119</f>
        <v>0</v>
      </c>
      <c r="V78" s="16">
        <f>'All inclusive sheet'!V119</f>
        <v>0</v>
      </c>
      <c r="W78" s="16">
        <f>'All inclusive sheet'!W119</f>
        <v>0</v>
      </c>
      <c r="X78" s="16">
        <f>'All inclusive sheet'!X119</f>
        <v>0</v>
      </c>
      <c r="Y78" s="16">
        <f>'All inclusive sheet'!Y119</f>
        <v>0</v>
      </c>
      <c r="Z78" s="16">
        <f>'All inclusive sheet'!Z119</f>
        <v>0</v>
      </c>
      <c r="AA78" s="16">
        <f>'All inclusive sheet'!AA119</f>
        <v>0</v>
      </c>
      <c r="AB78" s="16">
        <f>'All inclusive sheet'!AB119</f>
        <v>0</v>
      </c>
      <c r="AC78" s="16">
        <f>'All inclusive sheet'!AC119</f>
        <v>0</v>
      </c>
      <c r="AD78" s="16">
        <f>'All inclusive sheet'!AD119</f>
        <v>0</v>
      </c>
      <c r="AE78" s="16">
        <f>'All inclusive sheet'!AE119</f>
        <v>2475765.065806279</v>
      </c>
      <c r="AF78" s="16">
        <f>'All inclusive sheet'!AF119</f>
        <v>3024238.2008199468</v>
      </c>
      <c r="AG78" s="16">
        <f>'All inclusive sheet'!AG119</f>
        <v>0</v>
      </c>
      <c r="AH78" s="16">
        <f>'All inclusive sheet'!AH119</f>
        <v>8106205.0702475635</v>
      </c>
      <c r="AI78" s="16">
        <f>'All inclusive sheet'!AI119</f>
        <v>8106205.0702475635</v>
      </c>
      <c r="AJ78" s="16">
        <f>'All inclusive sheet'!AJ119</f>
        <v>8106205.0702475635</v>
      </c>
      <c r="AK78" s="16">
        <f>'All inclusive sheet'!AK119</f>
        <v>8106205.0702475635</v>
      </c>
      <c r="AL78" s="16">
        <f>'All inclusive sheet'!AL119</f>
        <v>8106205.0702475635</v>
      </c>
      <c r="AM78" s="16">
        <f>'All inclusive sheet'!AM119</f>
        <v>8106205.0702475635</v>
      </c>
      <c r="AN78" s="16">
        <f>'All inclusive sheet'!AN119</f>
        <v>8106205.0702475635</v>
      </c>
      <c r="AO78" s="16">
        <f>'All inclusive sheet'!AO119</f>
        <v>8106205.0702475635</v>
      </c>
      <c r="AP78" s="16">
        <f>'All inclusive sheet'!AP119</f>
        <v>8106205.0702475635</v>
      </c>
      <c r="AQ78" s="16">
        <f>'All inclusive sheet'!AQ119</f>
        <v>8106205.0702475635</v>
      </c>
      <c r="AR78" s="16">
        <f>'All inclusive sheet'!AR119</f>
        <v>8106205.0702475635</v>
      </c>
      <c r="AS78" s="16">
        <f>'All inclusive sheet'!AS119</f>
        <v>8106205.0702475635</v>
      </c>
      <c r="AT78" s="16">
        <f>'All inclusive sheet'!AT119</f>
        <v>8106205.0702475635</v>
      </c>
      <c r="AU78" s="16">
        <f>'All inclusive sheet'!AU119</f>
        <v>8106205.0702475635</v>
      </c>
      <c r="AV78" s="16">
        <f>'All inclusive sheet'!AV119</f>
        <v>8106205.0702475635</v>
      </c>
      <c r="AW78" s="16">
        <f>'All inclusive sheet'!AW119</f>
        <v>8106205.0702475635</v>
      </c>
      <c r="AX78" s="13"/>
    </row>
    <row r="79" spans="2:50" x14ac:dyDescent="0.25">
      <c r="B79" s="3" t="s">
        <v>279</v>
      </c>
      <c r="C79" s="3" t="s">
        <v>93</v>
      </c>
      <c r="E79" s="67">
        <f>'All inclusive sheet'!E120</f>
        <v>66305000</v>
      </c>
      <c r="F79" s="67">
        <f>'All inclusive sheet'!F120</f>
        <v>33990000</v>
      </c>
      <c r="G79" s="67">
        <f>'All inclusive sheet'!G120</f>
        <v>23796000</v>
      </c>
      <c r="H79" s="67">
        <f>'All inclusive sheet'!H120</f>
        <v>21553000</v>
      </c>
      <c r="I79" s="67">
        <f>'All inclusive sheet'!I120</f>
        <v>59399000</v>
      </c>
      <c r="J79" s="67">
        <f>'All inclusive sheet'!J120</f>
        <v>26976000</v>
      </c>
      <c r="K79" s="15">
        <f>SUM(L79:AW79)</f>
        <v>847679131.02645814</v>
      </c>
      <c r="L79" s="15">
        <f>'All inclusive sheet'!L120</f>
        <v>39453605.800857067</v>
      </c>
      <c r="M79" s="15">
        <f>'All inclusive sheet'!M120</f>
        <v>34297814.273890026</v>
      </c>
      <c r="N79" s="15">
        <f>'All inclusive sheet'!N120</f>
        <v>26884457.204306655</v>
      </c>
      <c r="O79" s="15">
        <f>'All inclusive sheet'!O120</f>
        <v>24389862.296095505</v>
      </c>
      <c r="P79" s="15">
        <f>'All inclusive sheet'!P120</f>
        <v>77195523.594627529</v>
      </c>
      <c r="Q79" s="15">
        <f>'All inclusive sheet'!Q120</f>
        <v>140203098.20617998</v>
      </c>
      <c r="R79" s="15">
        <f>'All inclusive sheet'!R120</f>
        <v>87357250.1133205</v>
      </c>
      <c r="S79" s="15">
        <f>'All inclusive sheet'!S120</f>
        <v>24716449.685817972</v>
      </c>
      <c r="T79" s="15">
        <f>'All inclusive sheet'!T120</f>
        <v>62250565.991871431</v>
      </c>
      <c r="U79" s="15">
        <f>'All inclusive sheet'!U120</f>
        <v>91801892.93816939</v>
      </c>
      <c r="V79" s="15">
        <f>'All inclusive sheet'!V120</f>
        <v>95741710.186411589</v>
      </c>
      <c r="W79" s="15">
        <f>'All inclusive sheet'!W120</f>
        <v>38575069.369644858</v>
      </c>
      <c r="X79" s="15">
        <f>'All inclusive sheet'!X120</f>
        <v>41167329.625657313</v>
      </c>
      <c r="Y79" s="15">
        <f>'All inclusive sheet'!Y120</f>
        <v>15638373.300297052</v>
      </c>
      <c r="Z79" s="15">
        <f>'All inclusive sheet'!Z120</f>
        <v>15358031.797168819</v>
      </c>
      <c r="AA79" s="15">
        <f>'All inclusive sheet'!AA120</f>
        <v>17226874.363242246</v>
      </c>
      <c r="AB79" s="15">
        <f>'All inclusive sheet'!AB120</f>
        <v>18716203.185055278</v>
      </c>
      <c r="AC79" s="15">
        <f>'All inclusive sheet'!AC120</f>
        <v>2836688.0792076034</v>
      </c>
      <c r="AD79" s="15">
        <f>'All inclusive sheet'!AD120</f>
        <v>-2475765.065806279</v>
      </c>
      <c r="AE79" s="15">
        <f>'All inclusive sheet'!AE120</f>
        <v>-548473.13501366787</v>
      </c>
      <c r="AF79" s="15">
        <f>'All inclusive sheet'!AF120</f>
        <v>4998774.2857046928</v>
      </c>
      <c r="AG79" s="15">
        <f>'All inclusive sheet'!AG120</f>
        <v>-8106205.0702475635</v>
      </c>
      <c r="AH79" s="15">
        <f>'All inclusive sheet'!AH120</f>
        <v>0</v>
      </c>
      <c r="AI79" s="15">
        <f>'All inclusive sheet'!AI120</f>
        <v>0</v>
      </c>
      <c r="AJ79" s="15">
        <f>'All inclusive sheet'!AJ120</f>
        <v>0</v>
      </c>
      <c r="AK79" s="15">
        <f>'All inclusive sheet'!AK120</f>
        <v>0</v>
      </c>
      <c r="AL79" s="15">
        <f>'All inclusive sheet'!AL120</f>
        <v>0</v>
      </c>
      <c r="AM79" s="15">
        <f>'All inclusive sheet'!AM120</f>
        <v>0</v>
      </c>
      <c r="AN79" s="15">
        <f>'All inclusive sheet'!AN120</f>
        <v>0</v>
      </c>
      <c r="AO79" s="15">
        <f>'All inclusive sheet'!AO120</f>
        <v>0</v>
      </c>
      <c r="AP79" s="15">
        <f>'All inclusive sheet'!AP120</f>
        <v>0</v>
      </c>
      <c r="AQ79" s="15">
        <f>'All inclusive sheet'!AQ120</f>
        <v>0</v>
      </c>
      <c r="AR79" s="15">
        <f>'All inclusive sheet'!AR120</f>
        <v>0</v>
      </c>
      <c r="AS79" s="15">
        <f>'All inclusive sheet'!AS120</f>
        <v>0</v>
      </c>
      <c r="AT79" s="15">
        <f>'All inclusive sheet'!AT120</f>
        <v>0</v>
      </c>
      <c r="AU79" s="15">
        <f>'All inclusive sheet'!AU120</f>
        <v>0</v>
      </c>
      <c r="AV79" s="15">
        <f>'All inclusive sheet'!AV120</f>
        <v>0</v>
      </c>
      <c r="AW79" s="15">
        <f>'All inclusive sheet'!AW120</f>
        <v>0</v>
      </c>
      <c r="AX79" s="13"/>
    </row>
    <row r="80" spans="2:50" x14ac:dyDescent="0.25">
      <c r="K80" s="26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spans="2:50" ht="15.75" thickBot="1" x14ac:dyDescent="0.3">
      <c r="B81" s="14" t="s">
        <v>156</v>
      </c>
      <c r="K81" s="26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spans="2:50" x14ac:dyDescent="0.25">
      <c r="B82" t="s">
        <v>157</v>
      </c>
      <c r="C82" t="s">
        <v>93</v>
      </c>
      <c r="E82" s="6">
        <f>'All inclusive sheet'!E123</f>
        <v>27974000</v>
      </c>
      <c r="F82" s="6">
        <f>'All inclusive sheet'!F123</f>
        <v>23986000</v>
      </c>
      <c r="G82" s="6">
        <f>'All inclusive sheet'!G123</f>
        <v>20409000</v>
      </c>
      <c r="H82" s="6">
        <f>'All inclusive sheet'!H123</f>
        <v>16696000</v>
      </c>
      <c r="I82" s="6">
        <f>'All inclusive sheet'!I123</f>
        <v>77159000</v>
      </c>
      <c r="J82" s="6">
        <f>'All inclusive sheet'!J123</f>
        <v>18010000</v>
      </c>
      <c r="K82" s="15">
        <f>SUM(L82:AW82)</f>
        <v>707505000</v>
      </c>
      <c r="L82" s="16">
        <f>'All inclusive sheet'!L123</f>
        <v>27530000</v>
      </c>
      <c r="M82" s="16">
        <f>'All inclusive sheet'!M123</f>
        <v>27530000</v>
      </c>
      <c r="N82" s="16">
        <f>'All inclusive sheet'!N123</f>
        <v>27530000</v>
      </c>
      <c r="O82" s="16">
        <f>'All inclusive sheet'!O123</f>
        <v>20653000</v>
      </c>
      <c r="P82" s="16">
        <f>'All inclusive sheet'!P123</f>
        <v>55783000</v>
      </c>
      <c r="Q82" s="16">
        <f>'All inclusive sheet'!Q123</f>
        <v>61823000</v>
      </c>
      <c r="R82" s="16">
        <f>'All inclusive sheet'!R123</f>
        <v>81505000</v>
      </c>
      <c r="S82" s="16">
        <f>'All inclusive sheet'!S123</f>
        <v>50811000</v>
      </c>
      <c r="T82" s="16">
        <f>'All inclusive sheet'!T123</f>
        <v>51270000</v>
      </c>
      <c r="U82" s="16">
        <f>'All inclusive sheet'!U123</f>
        <v>57760000</v>
      </c>
      <c r="V82" s="16">
        <f>'All inclusive sheet'!V123</f>
        <v>39940000</v>
      </c>
      <c r="W82" s="16">
        <f>'All inclusive sheet'!W123</f>
        <v>32130000</v>
      </c>
      <c r="X82" s="16">
        <f>'All inclusive sheet'!X123</f>
        <v>39390000</v>
      </c>
      <c r="Y82" s="16">
        <f>'All inclusive sheet'!Y123</f>
        <v>26850000</v>
      </c>
      <c r="Z82" s="16">
        <f>'All inclusive sheet'!Z123</f>
        <v>22000000</v>
      </c>
      <c r="AA82" s="16">
        <f>'All inclusive sheet'!AA123</f>
        <v>21000000</v>
      </c>
      <c r="AB82" s="16">
        <f>'All inclusive sheet'!AB123</f>
        <v>19000000</v>
      </c>
      <c r="AC82" s="16">
        <f>'All inclusive sheet'!AC123</f>
        <v>16000000</v>
      </c>
      <c r="AD82" s="16">
        <f>'All inclusive sheet'!AD123</f>
        <v>13000000</v>
      </c>
      <c r="AE82" s="16">
        <f>'All inclusive sheet'!AE123</f>
        <v>9000000</v>
      </c>
      <c r="AF82" s="16">
        <f>'All inclusive sheet'!AF123</f>
        <v>5000000</v>
      </c>
      <c r="AG82" s="16">
        <f>'All inclusive sheet'!AG123</f>
        <v>2000000</v>
      </c>
      <c r="AH82" s="16">
        <f>'All inclusive sheet'!AH123</f>
        <v>0</v>
      </c>
      <c r="AI82" s="16">
        <f>'All inclusive sheet'!AI123</f>
        <v>0</v>
      </c>
      <c r="AJ82" s="16">
        <f>'All inclusive sheet'!AJ123</f>
        <v>0</v>
      </c>
      <c r="AK82" s="16">
        <f>'All inclusive sheet'!AK123</f>
        <v>0</v>
      </c>
      <c r="AL82" s="16">
        <f>'All inclusive sheet'!AL123</f>
        <v>0</v>
      </c>
      <c r="AM82" s="16">
        <f>'All inclusive sheet'!AM123</f>
        <v>0</v>
      </c>
      <c r="AN82" s="16">
        <f>'All inclusive sheet'!AN123</f>
        <v>0</v>
      </c>
      <c r="AO82" s="16">
        <f>'All inclusive sheet'!AO123</f>
        <v>0</v>
      </c>
      <c r="AP82" s="16">
        <f>'All inclusive sheet'!AP123</f>
        <v>0</v>
      </c>
      <c r="AQ82" s="16">
        <f>'All inclusive sheet'!AQ123</f>
        <v>0</v>
      </c>
      <c r="AR82" s="16">
        <f>'All inclusive sheet'!AR123</f>
        <v>0</v>
      </c>
      <c r="AS82" s="16">
        <f>'All inclusive sheet'!AS123</f>
        <v>0</v>
      </c>
      <c r="AT82" s="16">
        <f>'All inclusive sheet'!AT123</f>
        <v>0</v>
      </c>
      <c r="AU82" s="16">
        <f>'All inclusive sheet'!AU123</f>
        <v>0</v>
      </c>
      <c r="AV82" s="16">
        <f>'All inclusive sheet'!AV123</f>
        <v>0</v>
      </c>
      <c r="AW82" s="16">
        <f>'All inclusive sheet'!AW123</f>
        <v>0</v>
      </c>
      <c r="AX82" s="13"/>
    </row>
    <row r="83" spans="2:50" x14ac:dyDescent="0.25">
      <c r="B83" t="s">
        <v>280</v>
      </c>
      <c r="E83" s="6">
        <f>'All inclusive sheet'!E124</f>
        <v>1</v>
      </c>
      <c r="F83" s="6">
        <f>'All inclusive sheet'!F124</f>
        <v>1</v>
      </c>
      <c r="G83" s="6">
        <f>'All inclusive sheet'!G124</f>
        <v>1</v>
      </c>
      <c r="H83" s="6">
        <f>'All inclusive sheet'!H124</f>
        <v>1</v>
      </c>
      <c r="I83" s="6">
        <f>'All inclusive sheet'!I124</f>
        <v>1</v>
      </c>
      <c r="J83" s="6">
        <f>'All inclusive sheet'!J124</f>
        <v>1</v>
      </c>
      <c r="K83" s="26"/>
      <c r="L83" s="16">
        <f>'All inclusive sheet'!L124</f>
        <v>1</v>
      </c>
      <c r="M83" s="16">
        <f>'All inclusive sheet'!M124</f>
        <v>1</v>
      </c>
      <c r="N83" s="16">
        <f>'All inclusive sheet'!N124</f>
        <v>1</v>
      </c>
      <c r="O83" s="16">
        <f>'All inclusive sheet'!O124</f>
        <v>1</v>
      </c>
      <c r="P83" s="16">
        <f>'All inclusive sheet'!P124</f>
        <v>1</v>
      </c>
      <c r="Q83" s="16">
        <f>'All inclusive sheet'!Q124</f>
        <v>1</v>
      </c>
      <c r="R83" s="16">
        <f>'All inclusive sheet'!R124</f>
        <v>1</v>
      </c>
      <c r="S83" s="16">
        <f>'All inclusive sheet'!S124</f>
        <v>1</v>
      </c>
      <c r="T83" s="16">
        <f>'All inclusive sheet'!T124</f>
        <v>1</v>
      </c>
      <c r="U83" s="16">
        <f>'All inclusive sheet'!U124</f>
        <v>1</v>
      </c>
      <c r="V83" s="16">
        <f>'All inclusive sheet'!V124</f>
        <v>1</v>
      </c>
      <c r="W83" s="16">
        <f>'All inclusive sheet'!W124</f>
        <v>1</v>
      </c>
      <c r="X83" s="16">
        <f>'All inclusive sheet'!X124</f>
        <v>1</v>
      </c>
      <c r="Y83" s="16">
        <f>'All inclusive sheet'!Y124</f>
        <v>1</v>
      </c>
      <c r="Z83" s="16">
        <f>'All inclusive sheet'!Z124</f>
        <v>1</v>
      </c>
      <c r="AA83" s="16">
        <f>'All inclusive sheet'!AA124</f>
        <v>1</v>
      </c>
      <c r="AB83" s="16">
        <f>'All inclusive sheet'!AB124</f>
        <v>1</v>
      </c>
      <c r="AC83" s="16">
        <f>'All inclusive sheet'!AC124</f>
        <v>1</v>
      </c>
      <c r="AD83" s="16">
        <f>'All inclusive sheet'!AD124</f>
        <v>1</v>
      </c>
      <c r="AE83" s="16">
        <f>'All inclusive sheet'!AE124</f>
        <v>1</v>
      </c>
      <c r="AF83" s="16">
        <f>'All inclusive sheet'!AF124</f>
        <v>1</v>
      </c>
      <c r="AG83" s="16">
        <f>'All inclusive sheet'!AG124</f>
        <v>1</v>
      </c>
      <c r="AH83" s="16">
        <f>'All inclusive sheet'!AH124</f>
        <v>1</v>
      </c>
      <c r="AI83" s="16">
        <f>'All inclusive sheet'!AI124</f>
        <v>1</v>
      </c>
      <c r="AJ83" s="16">
        <f>'All inclusive sheet'!AJ124</f>
        <v>1</v>
      </c>
      <c r="AK83" s="16">
        <f>'All inclusive sheet'!AK124</f>
        <v>1</v>
      </c>
      <c r="AL83" s="16">
        <f>'All inclusive sheet'!AL124</f>
        <v>1</v>
      </c>
      <c r="AM83" s="16">
        <f>'All inclusive sheet'!AM124</f>
        <v>1</v>
      </c>
      <c r="AN83" s="16">
        <f>'All inclusive sheet'!AN124</f>
        <v>1</v>
      </c>
      <c r="AO83" s="16">
        <f>'All inclusive sheet'!AO124</f>
        <v>1</v>
      </c>
      <c r="AP83" s="16">
        <f>'All inclusive sheet'!AP124</f>
        <v>1</v>
      </c>
      <c r="AQ83" s="16">
        <f>'All inclusive sheet'!AQ124</f>
        <v>1</v>
      </c>
      <c r="AR83" s="16">
        <f>'All inclusive sheet'!AR124</f>
        <v>1</v>
      </c>
      <c r="AS83" s="16">
        <f>'All inclusive sheet'!AS124</f>
        <v>1</v>
      </c>
      <c r="AT83" s="16">
        <f>'All inclusive sheet'!AT124</f>
        <v>1</v>
      </c>
      <c r="AU83" s="16">
        <f>'All inclusive sheet'!AU124</f>
        <v>1</v>
      </c>
      <c r="AV83" s="16">
        <f>'All inclusive sheet'!AV124</f>
        <v>1</v>
      </c>
      <c r="AW83" s="16">
        <f>'All inclusive sheet'!AW124</f>
        <v>1</v>
      </c>
      <c r="AX83" s="13"/>
    </row>
    <row r="84" spans="2:50" x14ac:dyDescent="0.25">
      <c r="B84" t="s">
        <v>281</v>
      </c>
      <c r="C84" t="s">
        <v>93</v>
      </c>
      <c r="E84" s="6">
        <f>'All inclusive sheet'!E125</f>
        <v>27974000</v>
      </c>
      <c r="F84" s="6">
        <f>'All inclusive sheet'!F125</f>
        <v>23986000</v>
      </c>
      <c r="G84" s="6">
        <f>'All inclusive sheet'!G125</f>
        <v>20409000</v>
      </c>
      <c r="H84" s="6">
        <f>'All inclusive sheet'!H125</f>
        <v>16696000</v>
      </c>
      <c r="I84" s="6">
        <f>'All inclusive sheet'!I125</f>
        <v>77159000</v>
      </c>
      <c r="J84" s="6">
        <f>'All inclusive sheet'!J125</f>
        <v>18010000</v>
      </c>
      <c r="K84" s="15">
        <f>SUM(L84:AW84)</f>
        <v>707505000</v>
      </c>
      <c r="L84" s="16">
        <f>'All inclusive sheet'!L125</f>
        <v>27530000</v>
      </c>
      <c r="M84" s="16">
        <f>'All inclusive sheet'!M125</f>
        <v>27530000</v>
      </c>
      <c r="N84" s="16">
        <f>'All inclusive sheet'!N125</f>
        <v>27530000</v>
      </c>
      <c r="O84" s="16">
        <f>'All inclusive sheet'!O125</f>
        <v>20653000</v>
      </c>
      <c r="P84" s="16">
        <f>'All inclusive sheet'!P125</f>
        <v>55783000</v>
      </c>
      <c r="Q84" s="16">
        <f>'All inclusive sheet'!Q125</f>
        <v>61823000</v>
      </c>
      <c r="R84" s="16">
        <f>'All inclusive sheet'!R125</f>
        <v>81505000</v>
      </c>
      <c r="S84" s="16">
        <f>'All inclusive sheet'!S125</f>
        <v>50811000</v>
      </c>
      <c r="T84" s="16">
        <f>'All inclusive sheet'!T125</f>
        <v>51270000</v>
      </c>
      <c r="U84" s="16">
        <f>'All inclusive sheet'!U125</f>
        <v>57760000</v>
      </c>
      <c r="V84" s="16">
        <f>'All inclusive sheet'!V125</f>
        <v>39940000</v>
      </c>
      <c r="W84" s="16">
        <f>'All inclusive sheet'!W125</f>
        <v>32130000</v>
      </c>
      <c r="X84" s="16">
        <f>'All inclusive sheet'!X125</f>
        <v>39390000</v>
      </c>
      <c r="Y84" s="16">
        <f>'All inclusive sheet'!Y125</f>
        <v>26850000</v>
      </c>
      <c r="Z84" s="16">
        <f>'All inclusive sheet'!Z125</f>
        <v>22000000</v>
      </c>
      <c r="AA84" s="16">
        <f>'All inclusive sheet'!AA125</f>
        <v>21000000</v>
      </c>
      <c r="AB84" s="16">
        <f>'All inclusive sheet'!AB125</f>
        <v>19000000</v>
      </c>
      <c r="AC84" s="16">
        <f>'All inclusive sheet'!AC125</f>
        <v>16000000</v>
      </c>
      <c r="AD84" s="16">
        <f>'All inclusive sheet'!AD125</f>
        <v>13000000</v>
      </c>
      <c r="AE84" s="16">
        <f>'All inclusive sheet'!AE125</f>
        <v>9000000</v>
      </c>
      <c r="AF84" s="16">
        <f>'All inclusive sheet'!AF125</f>
        <v>5000000</v>
      </c>
      <c r="AG84" s="16">
        <f>'All inclusive sheet'!AG125</f>
        <v>2000000</v>
      </c>
      <c r="AH84" s="16">
        <f>'All inclusive sheet'!AH125</f>
        <v>0</v>
      </c>
      <c r="AI84" s="16">
        <f>'All inclusive sheet'!AI125</f>
        <v>0</v>
      </c>
      <c r="AJ84" s="16">
        <f>'All inclusive sheet'!AJ125</f>
        <v>0</v>
      </c>
      <c r="AK84" s="16">
        <f>'All inclusive sheet'!AK125</f>
        <v>0</v>
      </c>
      <c r="AL84" s="16">
        <f>'All inclusive sheet'!AL125</f>
        <v>0</v>
      </c>
      <c r="AM84" s="16">
        <f>'All inclusive sheet'!AM125</f>
        <v>0</v>
      </c>
      <c r="AN84" s="16">
        <f>'All inclusive sheet'!AN125</f>
        <v>0</v>
      </c>
      <c r="AO84" s="16">
        <f>'All inclusive sheet'!AO125</f>
        <v>0</v>
      </c>
      <c r="AP84" s="16">
        <f>'All inclusive sheet'!AP125</f>
        <v>0</v>
      </c>
      <c r="AQ84" s="16">
        <f>'All inclusive sheet'!AQ125</f>
        <v>0</v>
      </c>
      <c r="AR84" s="16">
        <f>'All inclusive sheet'!AR125</f>
        <v>0</v>
      </c>
      <c r="AS84" s="16">
        <f>'All inclusive sheet'!AS125</f>
        <v>0</v>
      </c>
      <c r="AT84" s="16">
        <f>'All inclusive sheet'!AT125</f>
        <v>0</v>
      </c>
      <c r="AU84" s="16">
        <f>'All inclusive sheet'!AU125</f>
        <v>0</v>
      </c>
      <c r="AV84" s="16">
        <f>'All inclusive sheet'!AV125</f>
        <v>0</v>
      </c>
      <c r="AW84" s="16">
        <f>'All inclusive sheet'!AW125</f>
        <v>0</v>
      </c>
      <c r="AX84" s="13"/>
    </row>
    <row r="85" spans="2:50" x14ac:dyDescent="0.25">
      <c r="B85" t="s">
        <v>158</v>
      </c>
      <c r="C85" t="s">
        <v>93</v>
      </c>
      <c r="E85" s="6">
        <f>'All inclusive sheet'!E126</f>
        <v>10100000</v>
      </c>
      <c r="F85" s="6">
        <f>'All inclusive sheet'!F126</f>
        <v>8600000</v>
      </c>
      <c r="G85" s="6">
        <f>'All inclusive sheet'!G126</f>
        <v>4800000</v>
      </c>
      <c r="H85" s="6">
        <f>'All inclusive sheet'!H126</f>
        <v>4900000</v>
      </c>
      <c r="I85" s="6">
        <f>'All inclusive sheet'!I126</f>
        <v>18900000</v>
      </c>
      <c r="J85" s="6">
        <f>'All inclusive sheet'!J126</f>
        <v>2500000</v>
      </c>
      <c r="K85" s="15">
        <f t="shared" ref="K85:K87" si="30">SUM(L85:AW85)</f>
        <v>93516238.09523809</v>
      </c>
      <c r="L85" s="16">
        <f>'All inclusive sheet'!L126</f>
        <v>5571666.666666666</v>
      </c>
      <c r="M85" s="16">
        <f>'All inclusive sheet'!M126</f>
        <v>5571666.666666666</v>
      </c>
      <c r="N85" s="16">
        <f>'All inclusive sheet'!N126</f>
        <v>6890666.666666666</v>
      </c>
      <c r="O85" s="16">
        <f>'All inclusive sheet'!O126</f>
        <v>8097428.5714285718</v>
      </c>
      <c r="P85" s="16">
        <f>'All inclusive sheet'!P126</f>
        <v>10754904.761904761</v>
      </c>
      <c r="Q85" s="16">
        <f>'All inclusive sheet'!Q126</f>
        <v>11129904.761904761</v>
      </c>
      <c r="R85" s="16">
        <f>'All inclusive sheet'!R126</f>
        <v>5000000</v>
      </c>
      <c r="S85" s="16">
        <f>'All inclusive sheet'!S126</f>
        <v>3000000</v>
      </c>
      <c r="T85" s="16">
        <f>'All inclusive sheet'!T126</f>
        <v>3000000</v>
      </c>
      <c r="U85" s="16">
        <f>'All inclusive sheet'!U126</f>
        <v>3000000</v>
      </c>
      <c r="V85" s="16">
        <f>'All inclusive sheet'!V126</f>
        <v>3000000</v>
      </c>
      <c r="W85" s="16">
        <f>'All inclusive sheet'!W126</f>
        <v>3000000</v>
      </c>
      <c r="X85" s="16">
        <f>'All inclusive sheet'!X126</f>
        <v>3000000</v>
      </c>
      <c r="Y85" s="16">
        <f>'All inclusive sheet'!Y126</f>
        <v>3000000</v>
      </c>
      <c r="Z85" s="16">
        <f>'All inclusive sheet'!Z126</f>
        <v>3000000</v>
      </c>
      <c r="AA85" s="16">
        <f>'All inclusive sheet'!AA126</f>
        <v>3000000</v>
      </c>
      <c r="AB85" s="16">
        <f>'All inclusive sheet'!AB126</f>
        <v>3000000</v>
      </c>
      <c r="AC85" s="16">
        <f>'All inclusive sheet'!AC126</f>
        <v>3000000</v>
      </c>
      <c r="AD85" s="16">
        <f>'All inclusive sheet'!AD126</f>
        <v>3000000</v>
      </c>
      <c r="AE85" s="16">
        <f>'All inclusive sheet'!AE126</f>
        <v>1500000</v>
      </c>
      <c r="AF85" s="16">
        <f>'All inclusive sheet'!AF126</f>
        <v>1500000</v>
      </c>
      <c r="AG85" s="16">
        <f>'All inclusive sheet'!AG126</f>
        <v>1500000</v>
      </c>
      <c r="AH85" s="16">
        <f>'All inclusive sheet'!AH126</f>
        <v>0</v>
      </c>
      <c r="AI85" s="16">
        <f>'All inclusive sheet'!AI126</f>
        <v>0</v>
      </c>
      <c r="AJ85" s="16">
        <f>'All inclusive sheet'!AJ126</f>
        <v>0</v>
      </c>
      <c r="AK85" s="16">
        <f>'All inclusive sheet'!AK126</f>
        <v>0</v>
      </c>
      <c r="AL85" s="16">
        <f>'All inclusive sheet'!AL126</f>
        <v>0</v>
      </c>
      <c r="AM85" s="16">
        <f>'All inclusive sheet'!AM126</f>
        <v>0</v>
      </c>
      <c r="AN85" s="16">
        <f>'All inclusive sheet'!AN126</f>
        <v>0</v>
      </c>
      <c r="AO85" s="16">
        <f>'All inclusive sheet'!AO126</f>
        <v>0</v>
      </c>
      <c r="AP85" s="16">
        <f>'All inclusive sheet'!AP126</f>
        <v>0</v>
      </c>
      <c r="AQ85" s="16">
        <f>'All inclusive sheet'!AQ126</f>
        <v>0</v>
      </c>
      <c r="AR85" s="16">
        <f>'All inclusive sheet'!AR126</f>
        <v>0</v>
      </c>
      <c r="AS85" s="16">
        <f>'All inclusive sheet'!AS126</f>
        <v>0</v>
      </c>
      <c r="AT85" s="16">
        <f>'All inclusive sheet'!AT126</f>
        <v>0</v>
      </c>
      <c r="AU85" s="16">
        <f>'All inclusive sheet'!AU126</f>
        <v>0</v>
      </c>
      <c r="AV85" s="16">
        <f>'All inclusive sheet'!AV126</f>
        <v>0</v>
      </c>
      <c r="AW85" s="16">
        <f>'All inclusive sheet'!AW126</f>
        <v>0</v>
      </c>
      <c r="AX85" s="13"/>
    </row>
    <row r="86" spans="2:50" x14ac:dyDescent="0.25">
      <c r="B86" t="s">
        <v>282</v>
      </c>
      <c r="C86" t="s">
        <v>93</v>
      </c>
      <c r="E86" s="6">
        <f>'All inclusive sheet'!E127</f>
        <v>11400000</v>
      </c>
      <c r="F86" s="6">
        <f>'All inclusive sheet'!F127</f>
        <v>80000000</v>
      </c>
      <c r="G86" s="6">
        <f>'All inclusive sheet'!G127</f>
        <v>46800000</v>
      </c>
      <c r="H86" s="6">
        <f>'All inclusive sheet'!H127</f>
        <v>188300000</v>
      </c>
      <c r="I86" s="6">
        <f>'All inclusive sheet'!I127</f>
        <v>34200000</v>
      </c>
      <c r="J86" s="6">
        <f>'All inclusive sheet'!J127</f>
        <v>34400000</v>
      </c>
      <c r="K86" s="15">
        <f t="shared" si="30"/>
        <v>104900000</v>
      </c>
      <c r="L86" s="16">
        <f>'All inclusive sheet'!L127</f>
        <v>30000000</v>
      </c>
      <c r="M86" s="16">
        <f>'All inclusive sheet'!M127</f>
        <v>30000000</v>
      </c>
      <c r="N86" s="16">
        <f>'All inclusive sheet'!N127</f>
        <v>19850000</v>
      </c>
      <c r="O86" s="16">
        <f>'All inclusive sheet'!O127</f>
        <v>19850000</v>
      </c>
      <c r="P86" s="16">
        <f>'All inclusive sheet'!P127</f>
        <v>5200000</v>
      </c>
      <c r="Q86" s="16">
        <f>'All inclusive sheet'!Q127</f>
        <v>0</v>
      </c>
      <c r="R86" s="16">
        <f>'All inclusive sheet'!R127</f>
        <v>0</v>
      </c>
      <c r="S86" s="16">
        <f>'All inclusive sheet'!S127</f>
        <v>0</v>
      </c>
      <c r="T86" s="16">
        <f>'All inclusive sheet'!T127</f>
        <v>0</v>
      </c>
      <c r="U86" s="16">
        <f>'All inclusive sheet'!U127</f>
        <v>0</v>
      </c>
      <c r="V86" s="16">
        <f>'All inclusive sheet'!V127</f>
        <v>0</v>
      </c>
      <c r="W86" s="16">
        <f>'All inclusive sheet'!W127</f>
        <v>0</v>
      </c>
      <c r="X86" s="16">
        <f>'All inclusive sheet'!X127</f>
        <v>0</v>
      </c>
      <c r="Y86" s="16">
        <f>'All inclusive sheet'!Y127</f>
        <v>0</v>
      </c>
      <c r="Z86" s="16">
        <f>'All inclusive sheet'!Z127</f>
        <v>0</v>
      </c>
      <c r="AA86" s="16">
        <f>'All inclusive sheet'!AA127</f>
        <v>0</v>
      </c>
      <c r="AB86" s="16">
        <f>'All inclusive sheet'!AB127</f>
        <v>0</v>
      </c>
      <c r="AC86" s="16">
        <f>'All inclusive sheet'!AC127</f>
        <v>0</v>
      </c>
      <c r="AD86" s="16">
        <f>'All inclusive sheet'!AD127</f>
        <v>0</v>
      </c>
      <c r="AE86" s="16">
        <f>'All inclusive sheet'!AE127</f>
        <v>0</v>
      </c>
      <c r="AF86" s="16">
        <f>'All inclusive sheet'!AF127</f>
        <v>0</v>
      </c>
      <c r="AG86" s="16">
        <f>'All inclusive sheet'!AG127</f>
        <v>0</v>
      </c>
      <c r="AH86" s="16">
        <f>'All inclusive sheet'!AH127</f>
        <v>0</v>
      </c>
      <c r="AI86" s="16">
        <f>'All inclusive sheet'!AI127</f>
        <v>0</v>
      </c>
      <c r="AJ86" s="16">
        <f>'All inclusive sheet'!AJ127</f>
        <v>0</v>
      </c>
      <c r="AK86" s="16">
        <f>'All inclusive sheet'!AK127</f>
        <v>0</v>
      </c>
      <c r="AL86" s="16">
        <f>'All inclusive sheet'!AL127</f>
        <v>0</v>
      </c>
      <c r="AM86" s="16">
        <f>'All inclusive sheet'!AM127</f>
        <v>0</v>
      </c>
      <c r="AN86" s="16">
        <f>'All inclusive sheet'!AN127</f>
        <v>0</v>
      </c>
      <c r="AO86" s="16">
        <f>'All inclusive sheet'!AO127</f>
        <v>0</v>
      </c>
      <c r="AP86" s="16">
        <f>'All inclusive sheet'!AP127</f>
        <v>0</v>
      </c>
      <c r="AQ86" s="16">
        <f>'All inclusive sheet'!AQ127</f>
        <v>0</v>
      </c>
      <c r="AR86" s="16">
        <f>'All inclusive sheet'!AR127</f>
        <v>0</v>
      </c>
      <c r="AS86" s="16">
        <f>'All inclusive sheet'!AS127</f>
        <v>0</v>
      </c>
      <c r="AT86" s="16">
        <f>'All inclusive sheet'!AT127</f>
        <v>0</v>
      </c>
      <c r="AU86" s="16">
        <f>'All inclusive sheet'!AU127</f>
        <v>0</v>
      </c>
      <c r="AV86" s="16">
        <f>'All inclusive sheet'!AV127</f>
        <v>0</v>
      </c>
      <c r="AW86" s="16">
        <f>'All inclusive sheet'!AW127</f>
        <v>0</v>
      </c>
      <c r="AX86" s="13"/>
    </row>
    <row r="87" spans="2:50" x14ac:dyDescent="0.25">
      <c r="B87" t="s">
        <v>283</v>
      </c>
      <c r="C87" t="s">
        <v>93</v>
      </c>
      <c r="E87" s="6">
        <f>'All inclusive sheet'!E128</f>
        <v>0</v>
      </c>
      <c r="F87" s="6">
        <f>'All inclusive sheet'!F128</f>
        <v>0</v>
      </c>
      <c r="G87" s="6">
        <f>'All inclusive sheet'!G128</f>
        <v>0</v>
      </c>
      <c r="H87" s="6">
        <f>'All inclusive sheet'!H128</f>
        <v>0</v>
      </c>
      <c r="I87" s="6">
        <f>'All inclusive sheet'!I128</f>
        <v>0</v>
      </c>
      <c r="J87" s="6">
        <f>'All inclusive sheet'!J128</f>
        <v>0</v>
      </c>
      <c r="K87" s="15">
        <f t="shared" si="30"/>
        <v>0</v>
      </c>
      <c r="L87" s="16">
        <f>'All inclusive sheet'!L128</f>
        <v>0</v>
      </c>
      <c r="M87" s="16">
        <f>'All inclusive sheet'!M128</f>
        <v>0</v>
      </c>
      <c r="N87" s="16">
        <f>'All inclusive sheet'!N128</f>
        <v>0</v>
      </c>
      <c r="O87" s="16">
        <f>'All inclusive sheet'!O128</f>
        <v>0</v>
      </c>
      <c r="P87" s="16">
        <f>'All inclusive sheet'!P128</f>
        <v>0</v>
      </c>
      <c r="Q87" s="16">
        <f>'All inclusive sheet'!Q128</f>
        <v>0</v>
      </c>
      <c r="R87" s="16">
        <f>'All inclusive sheet'!R128</f>
        <v>0</v>
      </c>
      <c r="S87" s="16">
        <f>'All inclusive sheet'!S128</f>
        <v>0</v>
      </c>
      <c r="T87" s="16">
        <f>'All inclusive sheet'!T128</f>
        <v>0</v>
      </c>
      <c r="U87" s="16">
        <f>'All inclusive sheet'!U128</f>
        <v>0</v>
      </c>
      <c r="V87" s="16">
        <f>'All inclusive sheet'!V128</f>
        <v>0</v>
      </c>
      <c r="W87" s="16">
        <f>'All inclusive sheet'!W128</f>
        <v>0</v>
      </c>
      <c r="X87" s="16">
        <f>'All inclusive sheet'!X128</f>
        <v>0</v>
      </c>
      <c r="Y87" s="16">
        <f>'All inclusive sheet'!Y128</f>
        <v>0</v>
      </c>
      <c r="Z87" s="16">
        <f>'All inclusive sheet'!Z128</f>
        <v>0</v>
      </c>
      <c r="AA87" s="16">
        <f>'All inclusive sheet'!AA128</f>
        <v>0</v>
      </c>
      <c r="AB87" s="16">
        <f>'All inclusive sheet'!AB128</f>
        <v>0</v>
      </c>
      <c r="AC87" s="16">
        <f>'All inclusive sheet'!AC128</f>
        <v>0</v>
      </c>
      <c r="AD87" s="16">
        <f>'All inclusive sheet'!AD128</f>
        <v>0</v>
      </c>
      <c r="AE87" s="16">
        <f>'All inclusive sheet'!AE128</f>
        <v>0</v>
      </c>
      <c r="AF87" s="16">
        <f>'All inclusive sheet'!AF128</f>
        <v>0</v>
      </c>
      <c r="AG87" s="16">
        <f>'All inclusive sheet'!AG128</f>
        <v>0</v>
      </c>
      <c r="AH87" s="16">
        <f>'All inclusive sheet'!AH128</f>
        <v>0</v>
      </c>
      <c r="AI87" s="16">
        <f>'All inclusive sheet'!AI128</f>
        <v>0</v>
      </c>
      <c r="AJ87" s="16">
        <f>'All inclusive sheet'!AJ128</f>
        <v>0</v>
      </c>
      <c r="AK87" s="16">
        <f>'All inclusive sheet'!AK128</f>
        <v>0</v>
      </c>
      <c r="AL87" s="16">
        <f>'All inclusive sheet'!AL128</f>
        <v>0</v>
      </c>
      <c r="AM87" s="16">
        <f>'All inclusive sheet'!AM128</f>
        <v>0</v>
      </c>
      <c r="AN87" s="16">
        <f>'All inclusive sheet'!AN128</f>
        <v>0</v>
      </c>
      <c r="AO87" s="16">
        <f>'All inclusive sheet'!AO128</f>
        <v>0</v>
      </c>
      <c r="AP87" s="16">
        <f>'All inclusive sheet'!AP128</f>
        <v>0</v>
      </c>
      <c r="AQ87" s="16">
        <f>'All inclusive sheet'!AQ128</f>
        <v>0</v>
      </c>
      <c r="AR87" s="16">
        <f>'All inclusive sheet'!AR128</f>
        <v>0</v>
      </c>
      <c r="AS87" s="16">
        <f>'All inclusive sheet'!AS128</f>
        <v>0</v>
      </c>
      <c r="AT87" s="16">
        <f>'All inclusive sheet'!AT128</f>
        <v>0</v>
      </c>
      <c r="AU87" s="16">
        <f>'All inclusive sheet'!AU128</f>
        <v>0</v>
      </c>
      <c r="AV87" s="16">
        <f>'All inclusive sheet'!AV128</f>
        <v>0</v>
      </c>
      <c r="AW87" s="16">
        <f>'All inclusive sheet'!AW128</f>
        <v>0</v>
      </c>
      <c r="AX87" s="13"/>
    </row>
    <row r="88" spans="2:50" x14ac:dyDescent="0.25">
      <c r="B88" t="s">
        <v>160</v>
      </c>
      <c r="C88" t="s">
        <v>43</v>
      </c>
      <c r="E88" s="11">
        <f>'All inclusive sheet'!E132</f>
        <v>11.944325851227012</v>
      </c>
      <c r="F88" s="11">
        <f>'All inclusive sheet'!F132</f>
        <v>15.622509992127878</v>
      </c>
      <c r="G88" s="11">
        <f>'All inclusive sheet'!G132</f>
        <v>14.686794284826373</v>
      </c>
      <c r="H88" s="11">
        <f>'All inclusive sheet'!H132</f>
        <v>25.807563298115507</v>
      </c>
      <c r="I88" s="11">
        <f>'All inclusive sheet'!I132</f>
        <v>18.4527990514115</v>
      </c>
      <c r="J88" s="11">
        <f>'All inclusive sheet'!J132</f>
        <v>19.792786103381523</v>
      </c>
      <c r="K88" s="25">
        <f>AVERAGE(L88:AW88)</f>
        <v>21.180945927287709</v>
      </c>
      <c r="L88" s="24">
        <f>'All inclusive sheet'!L132</f>
        <v>20.692041082601776</v>
      </c>
      <c r="M88" s="24">
        <f>'All inclusive sheet'!M132</f>
        <v>21.301997885328809</v>
      </c>
      <c r="N88" s="24">
        <f>'All inclusive sheet'!N132</f>
        <v>22.057827290381415</v>
      </c>
      <c r="O88" s="24">
        <f>'All inclusive sheet'!O132</f>
        <v>23.348590647466906</v>
      </c>
      <c r="P88" s="24">
        <f>'All inclusive sheet'!P132</f>
        <v>19.200403457500293</v>
      </c>
      <c r="Q88" s="24">
        <f>'All inclusive sheet'!Q132</f>
        <v>16.889961613554686</v>
      </c>
      <c r="R88" s="24">
        <f>'All inclusive sheet'!R132</f>
        <v>16.891921553660147</v>
      </c>
      <c r="S88" s="24">
        <f>'All inclusive sheet'!S132</f>
        <v>18.560102291524657</v>
      </c>
      <c r="T88" s="24">
        <f>'All inclusive sheet'!T132</f>
        <v>17.462438686649818</v>
      </c>
      <c r="U88" s="24">
        <f>'All inclusive sheet'!U132</f>
        <v>19.082808585149998</v>
      </c>
      <c r="V88" s="24">
        <f>'All inclusive sheet'!V132</f>
        <v>18.178408303614844</v>
      </c>
      <c r="W88" s="24">
        <f>'All inclusive sheet'!W132</f>
        <v>20.24692553608141</v>
      </c>
      <c r="X88" s="24">
        <f>'All inclusive sheet'!X132</f>
        <v>20.441170788348039</v>
      </c>
      <c r="Y88" s="24">
        <f>'All inclusive sheet'!Y132</f>
        <v>21.642385370760472</v>
      </c>
      <c r="Z88" s="24">
        <f>'All inclusive sheet'!Z132</f>
        <v>22.110902349754937</v>
      </c>
      <c r="AA88" s="24">
        <f>'All inclusive sheet'!AA132</f>
        <v>21.874696423626407</v>
      </c>
      <c r="AB88" s="24">
        <f>'All inclusive sheet'!AB132</f>
        <v>21.679311081165565</v>
      </c>
      <c r="AC88" s="24">
        <f>'All inclusive sheet'!AC132</f>
        <v>24.08310384230256</v>
      </c>
      <c r="AD88" s="24">
        <f>'All inclusive sheet'!AD132</f>
        <v>24.676943478044347</v>
      </c>
      <c r="AE88" s="24">
        <f>'All inclusive sheet'!AE132</f>
        <v>24.159536563109171</v>
      </c>
      <c r="AF88" s="24">
        <f>'All inclusive sheet'!AF132</f>
        <v>22.33604936976834</v>
      </c>
      <c r="AG88" s="24">
        <f>'All inclusive sheet'!AG132</f>
        <v>29.063284199935026</v>
      </c>
      <c r="AH88" s="24" t="str">
        <f>'All inclusive sheet'!AH132</f>
        <v/>
      </c>
      <c r="AI88" s="24" t="str">
        <f>'All inclusive sheet'!AI132</f>
        <v/>
      </c>
      <c r="AJ88" s="24" t="str">
        <f>'All inclusive sheet'!AJ132</f>
        <v/>
      </c>
      <c r="AK88" s="24" t="str">
        <f>'All inclusive sheet'!AK132</f>
        <v/>
      </c>
      <c r="AL88" s="24" t="str">
        <f>'All inclusive sheet'!AL132</f>
        <v/>
      </c>
      <c r="AM88" s="24" t="str">
        <f>'All inclusive sheet'!AM132</f>
        <v/>
      </c>
      <c r="AN88" s="24" t="str">
        <f>'All inclusive sheet'!AN132</f>
        <v/>
      </c>
      <c r="AO88" s="24" t="str">
        <f>'All inclusive sheet'!AO132</f>
        <v/>
      </c>
      <c r="AP88" s="24" t="str">
        <f>'All inclusive sheet'!AP132</f>
        <v/>
      </c>
      <c r="AQ88" s="24" t="str">
        <f>'All inclusive sheet'!AQ132</f>
        <v/>
      </c>
      <c r="AR88" s="24" t="str">
        <f>'All inclusive sheet'!AR132</f>
        <v/>
      </c>
      <c r="AS88" s="24" t="str">
        <f>'All inclusive sheet'!AS132</f>
        <v/>
      </c>
      <c r="AT88" s="24" t="str">
        <f>'All inclusive sheet'!AT132</f>
        <v/>
      </c>
      <c r="AU88" s="24" t="str">
        <f>'All inclusive sheet'!AU132</f>
        <v/>
      </c>
      <c r="AV88" s="24" t="str">
        <f>'All inclusive sheet'!AV132</f>
        <v/>
      </c>
      <c r="AW88" s="24" t="str">
        <f>'All inclusive sheet'!AW132</f>
        <v/>
      </c>
      <c r="AX88" s="13"/>
    </row>
    <row r="89" spans="2:50" x14ac:dyDescent="0.25"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spans="2:50" ht="15.75" thickBot="1" x14ac:dyDescent="0.3">
      <c r="B90" s="14" t="s">
        <v>162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spans="2:50" x14ac:dyDescent="0.25">
      <c r="B91" t="s">
        <v>162</v>
      </c>
      <c r="C91" t="s">
        <v>93</v>
      </c>
      <c r="E91" s="6">
        <f>'All inclusive sheet'!E140</f>
        <v>59353000</v>
      </c>
      <c r="F91" s="6">
        <f>'All inclusive sheet'!F140</f>
        <v>-33822000</v>
      </c>
      <c r="G91" s="6">
        <f>'All inclusive sheet'!G140</f>
        <v>-2210000</v>
      </c>
      <c r="H91" s="6">
        <f>'All inclusive sheet'!H140</f>
        <v>-142935000</v>
      </c>
      <c r="I91" s="6">
        <f>'All inclusive sheet'!I140</f>
        <v>51412000</v>
      </c>
      <c r="J91" s="6">
        <f>'All inclusive sheet'!J140</f>
        <v>10571000</v>
      </c>
      <c r="K91" s="15">
        <f>'All inclusive sheet'!K140</f>
        <v>1086601537.4425585</v>
      </c>
      <c r="L91" s="16">
        <f>'All inclusive sheet'!L140</f>
        <v>7377275.299886398</v>
      </c>
      <c r="M91" s="16">
        <f>'All inclusive sheet'!M140</f>
        <v>2221483.7729193643</v>
      </c>
      <c r="N91" s="16">
        <f>'All inclusive sheet'!N140</f>
        <v>3639126.703335993</v>
      </c>
      <c r="O91" s="16">
        <f>'All inclusive sheet'!O140</f>
        <v>7740769.8903629407</v>
      </c>
      <c r="P91" s="16">
        <f>'All inclusive sheet'!P140</f>
        <v>84613918.681277558</v>
      </c>
      <c r="Q91" s="16">
        <f>'All inclusive sheet'!Q140</f>
        <v>197820193.4442752</v>
      </c>
      <c r="R91" s="16">
        <f>'All inclusive sheet'!R140</f>
        <v>201272250.11332047</v>
      </c>
      <c r="S91" s="16">
        <f>'All inclusive sheet'!S140</f>
        <v>141025449.68581796</v>
      </c>
      <c r="T91" s="16">
        <f>'All inclusive sheet'!T140</f>
        <v>116100565.99187142</v>
      </c>
      <c r="U91" s="16">
        <f>'All inclusive sheet'!U140</f>
        <v>62161892.93816939</v>
      </c>
      <c r="V91" s="16">
        <f>'All inclusive sheet'!V140</f>
        <v>83921710.186411589</v>
      </c>
      <c r="W91" s="16">
        <f>'All inclusive sheet'!W140</f>
        <v>49565069.36964485</v>
      </c>
      <c r="X91" s="16">
        <f>'All inclusive sheet'!X140</f>
        <v>43897329.62565732</v>
      </c>
      <c r="Y91" s="16">
        <f>'All inclusive sheet'!Y140</f>
        <v>28908373.300297052</v>
      </c>
      <c r="Z91" s="16">
        <f>'All inclusive sheet'!Z140</f>
        <v>15178031.797168821</v>
      </c>
      <c r="AA91" s="16">
        <f>'All inclusive sheet'!AA140</f>
        <v>16746874.363242246</v>
      </c>
      <c r="AB91" s="16">
        <f>'All inclusive sheet'!AB140</f>
        <v>17906203.185055278</v>
      </c>
      <c r="AC91" s="16">
        <f>'All inclusive sheet'!AC140</f>
        <v>2336688.0792076029</v>
      </c>
      <c r="AD91" s="16">
        <f>'All inclusive sheet'!AD140</f>
        <v>-1275765.065806279</v>
      </c>
      <c r="AE91" s="16">
        <f>'All inclusive sheet'!AE140</f>
        <v>2551526.8649863321</v>
      </c>
      <c r="AF91" s="16">
        <f>'All inclusive sheet'!AF140</f>
        <v>7498774.2857046928</v>
      </c>
      <c r="AG91" s="16">
        <f>'All inclusive sheet'!AG140</f>
        <v>-4606205.0702475635</v>
      </c>
      <c r="AH91" s="16">
        <f>'All inclusive sheet'!AH140</f>
        <v>0</v>
      </c>
      <c r="AI91" s="16">
        <f>'All inclusive sheet'!AI140</f>
        <v>0</v>
      </c>
      <c r="AJ91" s="16">
        <f>'All inclusive sheet'!AJ140</f>
        <v>0</v>
      </c>
      <c r="AK91" s="16">
        <f>'All inclusive sheet'!AK140</f>
        <v>0</v>
      </c>
      <c r="AL91" s="16">
        <f>'All inclusive sheet'!AL140</f>
        <v>0</v>
      </c>
      <c r="AM91" s="16">
        <f>'All inclusive sheet'!AM140</f>
        <v>0</v>
      </c>
      <c r="AN91" s="16">
        <f>'All inclusive sheet'!AN140</f>
        <v>0</v>
      </c>
      <c r="AO91" s="16">
        <f>'All inclusive sheet'!AO140</f>
        <v>0</v>
      </c>
      <c r="AP91" s="16">
        <f>'All inclusive sheet'!AP140</f>
        <v>0</v>
      </c>
      <c r="AQ91" s="16">
        <f>'All inclusive sheet'!AQ140</f>
        <v>0</v>
      </c>
      <c r="AR91" s="16">
        <f>'All inclusive sheet'!AR140</f>
        <v>0</v>
      </c>
      <c r="AS91" s="16">
        <f>'All inclusive sheet'!AS140</f>
        <v>0</v>
      </c>
      <c r="AT91" s="16">
        <f>'All inclusive sheet'!AT140</f>
        <v>0</v>
      </c>
      <c r="AU91" s="16">
        <f>'All inclusive sheet'!AU140</f>
        <v>0</v>
      </c>
      <c r="AV91" s="16">
        <f>'All inclusive sheet'!AV140</f>
        <v>0</v>
      </c>
      <c r="AW91" s="16">
        <f>'All inclusive sheet'!AW140</f>
        <v>0</v>
      </c>
      <c r="AX91" s="13"/>
    </row>
    <row r="92" spans="2:50" x14ac:dyDescent="0.25">
      <c r="B92" s="3" t="s">
        <v>163</v>
      </c>
      <c r="C92" s="3" t="s">
        <v>93</v>
      </c>
      <c r="K92" s="15">
        <f>'All inclusive sheet'!K141</f>
        <v>759107837.07684231</v>
      </c>
      <c r="L92" s="16">
        <f>'All inclusive sheet'!L141</f>
        <v>7377275.299886398</v>
      </c>
      <c r="M92" s="16">
        <f>'All inclusive sheet'!M141</f>
        <v>2174908.1204192056</v>
      </c>
      <c r="N92" s="16">
        <f>'All inclusive sheet'!N141</f>
        <v>3488130.4287464288</v>
      </c>
      <c r="O92" s="16">
        <f>'All inclusive sheet'!O141</f>
        <v>7264027.2724723099</v>
      </c>
      <c r="P92" s="16">
        <f>'All inclusive sheet'!P141</f>
        <v>77737914.769016117</v>
      </c>
      <c r="Q92" s="16">
        <f>'All inclusive sheet'!Q141</f>
        <v>166975510.01394457</v>
      </c>
      <c r="R92" s="16">
        <f>'All inclusive sheet'!R141</f>
        <v>156083550.81584829</v>
      </c>
      <c r="S92" s="16">
        <f>'All inclusive sheet'!S141</f>
        <v>100475877.1182725</v>
      </c>
      <c r="T92" s="16">
        <f>'All inclusive sheet'!T141</f>
        <v>75995823.957643837</v>
      </c>
      <c r="U92" s="16">
        <f>'All inclusive sheet'!U141</f>
        <v>37382703.00018581</v>
      </c>
      <c r="V92" s="16">
        <f>'All inclusive sheet'!V141</f>
        <v>46367307.011414744</v>
      </c>
      <c r="W92" s="16">
        <f>'All inclusive sheet'!W141</f>
        <v>25159635.449710578</v>
      </c>
      <c r="X92" s="16">
        <f>'All inclusive sheet'!X141</f>
        <v>20471883.711572319</v>
      </c>
      <c r="Y92" s="16">
        <f>'All inclusive sheet'!Y141</f>
        <v>12386095.848870927</v>
      </c>
      <c r="Z92" s="16">
        <f>'All inclusive sheet'!Z141</f>
        <v>5974716.7187007284</v>
      </c>
      <c r="AA92" s="16">
        <f>'All inclusive sheet'!AA141</f>
        <v>6056569.4399569901</v>
      </c>
      <c r="AB92" s="16">
        <f>'All inclusive sheet'!AB141</f>
        <v>5949596.6656833077</v>
      </c>
      <c r="AC92" s="16">
        <f>'All inclusive sheet'!AC141</f>
        <v>713305.93588359654</v>
      </c>
      <c r="AD92" s="16">
        <f>'All inclusive sheet'!AD141</f>
        <v>-357797.15175715525</v>
      </c>
      <c r="AE92" s="16">
        <f>'All inclusive sheet'!AE141</f>
        <v>657441.92708883469</v>
      </c>
      <c r="AF92" s="16">
        <f>'All inclusive sheet'!AF141</f>
        <v>1775164.5286448775</v>
      </c>
      <c r="AG92" s="16">
        <f>'All inclusive sheet'!AG141</f>
        <v>-1001803.8053630905</v>
      </c>
      <c r="AH92" s="16">
        <f>'All inclusive sheet'!AH141</f>
        <v>0</v>
      </c>
      <c r="AI92" s="16">
        <f>'All inclusive sheet'!AI141</f>
        <v>0</v>
      </c>
      <c r="AJ92" s="16">
        <f>'All inclusive sheet'!AJ141</f>
        <v>0</v>
      </c>
      <c r="AK92" s="16">
        <f>'All inclusive sheet'!AK141</f>
        <v>0</v>
      </c>
      <c r="AL92" s="16">
        <f>'All inclusive sheet'!AL141</f>
        <v>0</v>
      </c>
      <c r="AM92" s="16">
        <f>'All inclusive sheet'!AM141</f>
        <v>0</v>
      </c>
      <c r="AN92" s="16">
        <f>'All inclusive sheet'!AN141</f>
        <v>0</v>
      </c>
      <c r="AO92" s="16">
        <f>'All inclusive sheet'!AO141</f>
        <v>0</v>
      </c>
      <c r="AP92" s="16">
        <f>'All inclusive sheet'!AP141</f>
        <v>0</v>
      </c>
      <c r="AQ92" s="16">
        <f>'All inclusive sheet'!AQ141</f>
        <v>0</v>
      </c>
      <c r="AR92" s="16">
        <f>'All inclusive sheet'!AR141</f>
        <v>0</v>
      </c>
      <c r="AS92" s="16">
        <f>'All inclusive sheet'!AS141</f>
        <v>0</v>
      </c>
      <c r="AT92" s="16">
        <f>'All inclusive sheet'!AT141</f>
        <v>0</v>
      </c>
      <c r="AU92" s="16">
        <f>'All inclusive sheet'!AU141</f>
        <v>0</v>
      </c>
      <c r="AV92" s="16">
        <f>'All inclusive sheet'!AV141</f>
        <v>0</v>
      </c>
      <c r="AW92" s="16">
        <f>'All inclusive sheet'!AW141</f>
        <v>0</v>
      </c>
      <c r="AX92" s="13"/>
    </row>
    <row r="93" spans="2:50" x14ac:dyDescent="0.25">
      <c r="B93" t="s">
        <v>223</v>
      </c>
      <c r="C93" t="s">
        <v>93</v>
      </c>
      <c r="K93" s="15">
        <f>'All inclusive sheet'!K142</f>
        <v>703528162.30173278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</sheetData>
  <pageMargins left="0.7" right="0.7" top="0.75" bottom="0.75" header="0.3" footer="0.3"/>
  <pageSetup orientation="portrait" r:id="rId1"/>
  <ignoredErrors>
    <ignoredError sqref="D15 I15 K64:K6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3F65-AD66-4872-B963-F25AF6C82C3B}">
  <dimension ref="A1:AZ142"/>
  <sheetViews>
    <sheetView showGridLines="0" tabSelected="1" topLeftCell="A37" zoomScale="68" zoomScaleNormal="68" workbookViewId="0">
      <selection activeCell="L120" sqref="L120"/>
    </sheetView>
  </sheetViews>
  <sheetFormatPr defaultRowHeight="15" x14ac:dyDescent="0.25"/>
  <cols>
    <col min="2" max="2" width="53.42578125" customWidth="1"/>
    <col min="3" max="3" width="11.28515625" bestFit="1" customWidth="1"/>
    <col min="4" max="4" width="16" bestFit="1" customWidth="1"/>
    <col min="5" max="5" width="18.5703125" bestFit="1" customWidth="1"/>
    <col min="6" max="6" width="14.140625" bestFit="1" customWidth="1"/>
    <col min="7" max="7" width="13.5703125" bestFit="1" customWidth="1"/>
    <col min="8" max="8" width="19.5703125" bestFit="1" customWidth="1"/>
    <col min="9" max="9" width="18.5703125" bestFit="1" customWidth="1"/>
    <col min="10" max="10" width="19.140625" bestFit="1" customWidth="1"/>
    <col min="11" max="11" width="18.7109375" bestFit="1" customWidth="1"/>
    <col min="12" max="13" width="12.7109375" bestFit="1" customWidth="1"/>
    <col min="14" max="14" width="15.28515625" bestFit="1" customWidth="1"/>
    <col min="15" max="15" width="18.5703125" bestFit="1" customWidth="1"/>
    <col min="16" max="16" width="15.28515625" bestFit="1" customWidth="1"/>
    <col min="17" max="17" width="14.140625" bestFit="1" customWidth="1"/>
    <col min="18" max="18" width="13.5703125" bestFit="1" customWidth="1"/>
    <col min="19" max="19" width="19.5703125" bestFit="1" customWidth="1"/>
    <col min="20" max="20" width="18.5703125" bestFit="1" customWidth="1"/>
    <col min="21" max="21" width="19.140625" bestFit="1" customWidth="1"/>
    <col min="22" max="22" width="18.7109375" bestFit="1" customWidth="1"/>
    <col min="23" max="23" width="11.140625" bestFit="1" customWidth="1"/>
    <col min="24" max="24" width="12.7109375" bestFit="1" customWidth="1"/>
    <col min="25" max="25" width="11.140625" bestFit="1" customWidth="1"/>
    <col min="26" max="26" width="16" bestFit="1" customWidth="1"/>
    <col min="27" max="27" width="15.28515625" bestFit="1" customWidth="1"/>
    <col min="28" max="28" width="14.140625" bestFit="1" customWidth="1"/>
    <col min="29" max="29" width="13.5703125" bestFit="1" customWidth="1"/>
    <col min="30" max="30" width="19.5703125" bestFit="1" customWidth="1"/>
    <col min="31" max="31" width="18.5703125" bestFit="1" customWidth="1"/>
    <col min="32" max="32" width="19.140625" bestFit="1" customWidth="1"/>
    <col min="33" max="33" width="18.7109375" bestFit="1" customWidth="1"/>
  </cols>
  <sheetData>
    <row r="1" spans="1:52" ht="23.25" x14ac:dyDescent="0.35">
      <c r="A1" s="1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3" spans="1:52" ht="18.75" x14ac:dyDescent="0.3">
      <c r="B3" s="77" t="s">
        <v>233</v>
      </c>
    </row>
    <row r="4" spans="1:52" ht="18.75" x14ac:dyDescent="0.3">
      <c r="B4" s="77"/>
    </row>
    <row r="5" spans="1:52" ht="16.5" thickBot="1" x14ac:dyDescent="0.3">
      <c r="B5" s="78" t="s">
        <v>235</v>
      </c>
    </row>
    <row r="6" spans="1:52" x14ac:dyDescent="0.25">
      <c r="B6" s="3" t="s">
        <v>3</v>
      </c>
      <c r="C6" s="3" t="s">
        <v>4</v>
      </c>
      <c r="D6" s="3" t="s">
        <v>5</v>
      </c>
      <c r="E6" s="3" t="s">
        <v>6</v>
      </c>
      <c r="F6" s="3" t="s">
        <v>50</v>
      </c>
      <c r="G6" s="3" t="s">
        <v>51</v>
      </c>
      <c r="H6" s="3" t="s">
        <v>7</v>
      </c>
      <c r="I6" s="3" t="s">
        <v>8</v>
      </c>
      <c r="J6" s="3" t="s">
        <v>52</v>
      </c>
      <c r="K6" s="3" t="s">
        <v>53</v>
      </c>
      <c r="M6" s="3" t="s">
        <v>3</v>
      </c>
      <c r="N6" s="3" t="s">
        <v>4</v>
      </c>
      <c r="O6" s="3" t="s">
        <v>5</v>
      </c>
      <c r="P6" s="3" t="s">
        <v>6</v>
      </c>
      <c r="Q6" s="3" t="s">
        <v>50</v>
      </c>
      <c r="R6" s="3" t="s">
        <v>51</v>
      </c>
      <c r="S6" s="3" t="s">
        <v>7</v>
      </c>
      <c r="T6" s="3" t="s">
        <v>8</v>
      </c>
      <c r="U6" s="3" t="s">
        <v>52</v>
      </c>
      <c r="V6" s="3" t="s">
        <v>53</v>
      </c>
      <c r="W6" s="3"/>
      <c r="X6" s="3" t="s">
        <v>3</v>
      </c>
      <c r="Y6" s="3" t="s">
        <v>4</v>
      </c>
      <c r="Z6" s="3" t="s">
        <v>5</v>
      </c>
      <c r="AA6" s="3" t="s">
        <v>6</v>
      </c>
      <c r="AB6" s="3" t="s">
        <v>50</v>
      </c>
      <c r="AC6" s="3" t="s">
        <v>51</v>
      </c>
      <c r="AD6" s="3" t="s">
        <v>7</v>
      </c>
      <c r="AE6" s="3" t="s">
        <v>8</v>
      </c>
      <c r="AF6" s="3" t="s">
        <v>52</v>
      </c>
      <c r="AG6" s="3" t="s">
        <v>53</v>
      </c>
    </row>
    <row r="7" spans="1:52" x14ac:dyDescent="0.25">
      <c r="B7" t="s">
        <v>12</v>
      </c>
      <c r="C7" s="6">
        <f>'DCF Caylloma'!F7+'DCF San Jose'!F7</f>
        <v>101426</v>
      </c>
      <c r="D7">
        <f>'DCF Caylloma'!G7</f>
        <v>101</v>
      </c>
      <c r="E7" s="11">
        <f>'DCF Caylloma'!H7</f>
        <v>0.3</v>
      </c>
      <c r="F7" s="19">
        <f>'DCF Caylloma'!I7</f>
        <v>2.3800000000000002E-2</v>
      </c>
      <c r="G7" s="19">
        <f>'DCF Caylloma'!J7</f>
        <v>2.9600000000000001E-2</v>
      </c>
      <c r="H7" s="6">
        <f>C7*D7/Auxiliary!$C$4</f>
        <v>329353.08376843581</v>
      </c>
      <c r="I7" s="6">
        <f>C7*E7/Auxiliary!$C$4</f>
        <v>978.27648644089845</v>
      </c>
      <c r="J7" s="6">
        <f>C7*F7*Auxiliary!$C$6</f>
        <v>5321824.0817756569</v>
      </c>
      <c r="K7" s="6">
        <f>C7*G7*Auxiliary!$C$6</f>
        <v>6618739.1941411523</v>
      </c>
      <c r="M7" s="6" t="s">
        <v>13</v>
      </c>
      <c r="N7" s="6">
        <f>'DCF Caylloma'!Q7+'DCF San Jose'!M7</f>
        <v>762000</v>
      </c>
      <c r="O7" s="6">
        <f>('DCF Caylloma'!$Q$7*'DCF Caylloma'!R7+'DCF San Jose'!$M$7*'DCF San Jose'!N7)/N7</f>
        <v>98.196850393700785</v>
      </c>
      <c r="P7" s="54">
        <f>('DCF Caylloma'!$Q$7*'DCF Caylloma'!S7+'DCF San Jose'!$M$7*'DCF San Jose'!O7)/N7</f>
        <v>0.36393700787401573</v>
      </c>
      <c r="Q7" s="22">
        <f>'DCF Caylloma'!T7</f>
        <v>1.7899999999999999E-2</v>
      </c>
      <c r="R7" s="22">
        <f>'DCF Caylloma'!U7</f>
        <v>3.2399999999999998E-2</v>
      </c>
      <c r="S7" s="6">
        <f>N7*O7/Auxiliary!$C$4</f>
        <v>2405711.7627441571</v>
      </c>
      <c r="T7" s="6">
        <f>N7*P7/Auxiliary!$C$4</f>
        <v>8916.0450384119122</v>
      </c>
      <c r="U7" s="6">
        <f>N7*Q7*Auxiliary!$C$6</f>
        <v>30070611.612275999</v>
      </c>
      <c r="V7" s="6">
        <f>N7*R7*Auxiliary!$C$6</f>
        <v>54429486.940655999</v>
      </c>
      <c r="X7" t="s">
        <v>14</v>
      </c>
      <c r="Y7" s="6">
        <f>'DCF Caylloma'!AB7+'DCF San Jose'!T7</f>
        <v>6820000</v>
      </c>
      <c r="Z7" s="6">
        <f>('DCF Caylloma'!$AB$7*'DCF Caylloma'!AC7+'DCF San Jose'!$T$7*'DCF San Jose'!U7)/$Y$7</f>
        <v>119.97346041055718</v>
      </c>
      <c r="AA7" s="54">
        <f>('DCF Caylloma'!$AB$7*'DCF Caylloma'!AD7+'DCF San Jose'!$T$7*'DCF San Jose'!V7)/$Y$7</f>
        <v>0.74010850439882703</v>
      </c>
      <c r="AB7" s="22">
        <f>'DCF Caylloma'!AE7</f>
        <v>2.0299999999999999E-2</v>
      </c>
      <c r="AC7" s="22">
        <f>'DCF Caylloma'!AF7</f>
        <v>3.5000000000000003E-2</v>
      </c>
      <c r="AD7" s="6">
        <f>Y7*Z7/Auxiliary!$C$4</f>
        <v>26306351.706636216</v>
      </c>
      <c r="AE7" s="6">
        <f>Y7*AA7/Auxiliary!$C$4</f>
        <v>162282.17933501248</v>
      </c>
      <c r="AF7" s="6">
        <f>Y7*AB7*Auxiliary!C6</f>
        <v>305221183.24852002</v>
      </c>
      <c r="AG7" s="6">
        <f>Y7*AC7*Auxiliary!C6</f>
        <v>526243419.39400011</v>
      </c>
    </row>
    <row r="8" spans="1:52" x14ac:dyDescent="0.25">
      <c r="B8" t="s">
        <v>16</v>
      </c>
      <c r="C8" s="7">
        <f>'DCF Caylloma'!F8+'DCF San Jose'!F8</f>
        <v>5671053</v>
      </c>
      <c r="D8" s="72">
        <f>('DCF Caylloma'!F8*'DCF Caylloma'!G8+'DCF San Jose'!F8*'DCF San Jose'!G8)/C8</f>
        <v>129.83277356074788</v>
      </c>
      <c r="E8" s="9">
        <f>('DCF Caylloma'!F8*'DCF Caylloma'!H8+'DCF San Jose'!F8*'DCF San Jose'!H8)/C8</f>
        <v>0.66315585659312293</v>
      </c>
      <c r="F8" s="20">
        <f>'DCF Caylloma'!I8</f>
        <v>2.5499999999999998E-2</v>
      </c>
      <c r="G8" s="20">
        <f>'DCF Caylloma'!J8</f>
        <v>3.7600000000000001E-2</v>
      </c>
      <c r="H8" s="7">
        <f>$C$8*D8/Auxiliary!$C$4</f>
        <v>23672226.250925105</v>
      </c>
      <c r="I8" s="7">
        <f>$C$8*E8/Auxiliary!$C$4</f>
        <v>120912.27081083102</v>
      </c>
      <c r="J8" s="7">
        <f>C8*F8*Auxiliary!$C$6</f>
        <v>318814558.9369809</v>
      </c>
      <c r="K8" s="7">
        <f>C8*G8*Auxiliary!$C$6</f>
        <v>470095192.78550917</v>
      </c>
      <c r="M8" t="s">
        <v>17</v>
      </c>
      <c r="N8" s="7">
        <f>'DCF Caylloma'!Q8+'DCF San Jose'!M8</f>
        <v>2895000</v>
      </c>
      <c r="O8" s="7">
        <f>('DCF Caylloma'!$Q$8*'DCF Caylloma'!R8+'DCF San Jose'!$M$8*'DCF San Jose'!N8)/N8</f>
        <v>86.979620034542307</v>
      </c>
      <c r="P8" s="79">
        <f>('DCF Caylloma'!$Q$8*'DCF Caylloma'!S8+'DCF San Jose'!$M$8*'DCF San Jose'!O8)/N8</f>
        <v>0.3676027633851468</v>
      </c>
      <c r="Q8" s="23">
        <f>'DCF Caylloma'!T8</f>
        <v>1.61E-2</v>
      </c>
      <c r="R8" s="23">
        <f>'DCF Caylloma'!U8</f>
        <v>3.09E-2</v>
      </c>
      <c r="S8" s="7">
        <f>N8*O8/Auxiliary!$C$4</f>
        <v>8095750.8904599361</v>
      </c>
      <c r="T8" s="7">
        <f>N8*P8/Auxiliary!$C$4</f>
        <v>34215.146005799586</v>
      </c>
      <c r="U8" s="7">
        <f>N8*Q8*Auxiliary!$C$6</f>
        <v>102756358.00689</v>
      </c>
      <c r="V8" s="7">
        <f>N8*R8*Auxiliary!$C$6</f>
        <v>197215618.78341001</v>
      </c>
    </row>
    <row r="9" spans="1:52" x14ac:dyDescent="0.25">
      <c r="B9" t="s">
        <v>19</v>
      </c>
      <c r="C9" s="6">
        <f>SUM(C7:C8)</f>
        <v>5772479</v>
      </c>
      <c r="D9" s="10">
        <f>(D7*C7+D8*C8)/C9</f>
        <v>129.32616402762142</v>
      </c>
      <c r="E9" s="11">
        <f>(C7*E7+C8*E8)/C9</f>
        <v>0.6567749852359791</v>
      </c>
      <c r="F9" s="19">
        <f>'DCF Caylloma'!I9</f>
        <v>2.5443177325794073E-2</v>
      </c>
      <c r="G9" s="19">
        <f>'DCF Caylloma'!J9</f>
        <v>3.7332599180207392E-2</v>
      </c>
      <c r="H9" s="6">
        <f>SUM(H7:H8)</f>
        <v>24001579.33469354</v>
      </c>
      <c r="I9" s="6">
        <f>SUM(I7:I8)</f>
        <v>121890.54729727191</v>
      </c>
      <c r="J9" s="6">
        <f t="shared" ref="J9:K9" si="0">SUM(J7:J8)</f>
        <v>324136383.01875657</v>
      </c>
      <c r="K9" s="6">
        <f t="shared" si="0"/>
        <v>476713931.97965032</v>
      </c>
      <c r="M9" t="s">
        <v>19</v>
      </c>
      <c r="N9" s="6">
        <f>SUM(N7:N8)</f>
        <v>3657000</v>
      </c>
      <c r="O9" s="10">
        <f>(O7*N7+O8*N8)/N9</f>
        <v>89.316926442439154</v>
      </c>
      <c r="P9" s="11">
        <f>(P7*N7+P8*N8)/N9</f>
        <v>0.36683893902105552</v>
      </c>
      <c r="Q9" s="19">
        <f>'DCF Caylloma'!T9</f>
        <v>1.6579470198675495E-2</v>
      </c>
      <c r="R9" s="19">
        <f>'DCF Caylloma'!U9</f>
        <v>3.1299558498896249E-2</v>
      </c>
      <c r="S9" s="6">
        <f>SUM(S7:S8)</f>
        <v>10501462.653204093</v>
      </c>
      <c r="T9" s="6">
        <f>SUM(T7:T8)</f>
        <v>43131.191044211497</v>
      </c>
      <c r="U9" s="6">
        <f t="shared" ref="U9:V9" si="1">SUM(U7:U8)</f>
        <v>132826969.619166</v>
      </c>
      <c r="V9" s="6">
        <f t="shared" si="1"/>
        <v>251645105.72406602</v>
      </c>
    </row>
    <row r="11" spans="1:52" ht="16.5" thickBot="1" x14ac:dyDescent="0.3">
      <c r="B11" s="78" t="s">
        <v>236</v>
      </c>
    </row>
    <row r="12" spans="1:52" x14ac:dyDescent="0.25">
      <c r="B12" s="3" t="s">
        <v>3</v>
      </c>
      <c r="C12" s="3" t="s">
        <v>4</v>
      </c>
      <c r="D12" s="3" t="s">
        <v>6</v>
      </c>
      <c r="E12" s="3" t="s">
        <v>8</v>
      </c>
      <c r="G12" s="3" t="s">
        <v>3</v>
      </c>
      <c r="H12" s="3" t="s">
        <v>4</v>
      </c>
      <c r="I12" s="3" t="s">
        <v>6</v>
      </c>
      <c r="J12" s="3" t="s">
        <v>8</v>
      </c>
      <c r="L12" s="3" t="s">
        <v>3</v>
      </c>
      <c r="M12" s="3" t="s">
        <v>4</v>
      </c>
      <c r="N12" s="3" t="s">
        <v>6</v>
      </c>
      <c r="O12" s="3" t="s">
        <v>8</v>
      </c>
    </row>
    <row r="13" spans="1:52" x14ac:dyDescent="0.25">
      <c r="B13" t="s">
        <v>12</v>
      </c>
      <c r="C13" s="6">
        <f>'DCF Lindero'!F7+'DCF Yaramoko'!F7</f>
        <v>24662277</v>
      </c>
      <c r="D13" s="11">
        <f>('DCF Lindero'!F7*'DCF Lindero'!G7+'DCF Yaramoko'!F7*'DCF Yaramoko'!G7)/C13</f>
        <v>0.6817635962810733</v>
      </c>
      <c r="E13" s="6">
        <f>C13*D13/Auxiliary!$C$4</f>
        <v>540577.59420644573</v>
      </c>
      <c r="G13" t="s">
        <v>13</v>
      </c>
      <c r="H13" s="6">
        <f>'DCF Lindero'!K7+'DCF Yaramoko'!K7</f>
        <v>1771000</v>
      </c>
      <c r="I13" s="11">
        <f>('DCF Lindero'!K7*'DCF Lindero'!L7+'DCF Yaramoko'!K7*'DCF Yaramoko'!L7)/H13</f>
        <v>0.64446075663466973</v>
      </c>
      <c r="J13" s="6">
        <f>H13*I13/Auxiliary!$C$4</f>
        <v>36694.933088637859</v>
      </c>
      <c r="L13" t="s">
        <v>14</v>
      </c>
      <c r="M13" s="6">
        <f>'DCF Lindero'!P7+'DCF Yaramoko'!P7+'DCF Seguela'!N7</f>
        <v>32234000</v>
      </c>
      <c r="N13" s="11">
        <f>('DCF Lindero'!P7*'DCF Lindero'!Q7+'DCF Yaramoko'!P7*'DCF Yaramoko'!Q7+'DCF Seguela'!N7*'DCF Seguela'!O7)/M13</f>
        <v>0.83712167276788485</v>
      </c>
      <c r="O13" s="6">
        <f>M13*N13/Auxiliary!$C$4</f>
        <v>867548.67224361235</v>
      </c>
    </row>
    <row r="14" spans="1:52" x14ac:dyDescent="0.25">
      <c r="B14" s="69" t="s">
        <v>16</v>
      </c>
      <c r="C14" s="7">
        <f>'DCF Lindero'!F8+'DCF Yaramoko'!F8+'DCF Seguela'!D7</f>
        <v>76747000</v>
      </c>
      <c r="D14" s="9">
        <f>('DCF Lindero'!F8*'DCF Lindero'!G8+'DCF Yaramoko'!F8*'DCF Yaramoko'!G8+'DCF Seguela'!D7*'DCF Seguela'!E7)/C14</f>
        <v>1.0482513974487602</v>
      </c>
      <c r="E14" s="7">
        <f>C14*D14/Auxiliary!$C$4</f>
        <v>2586532.3840581062</v>
      </c>
      <c r="G14" s="69" t="s">
        <v>17</v>
      </c>
      <c r="H14" s="7">
        <f>'DCF Lindero'!K8+'DCF Yaramoko'!K8+'DCF Seguela'!I7</f>
        <v>35819000</v>
      </c>
      <c r="I14" s="9">
        <f>('DCF Lindero'!K8*'DCF Lindero'!L8+'DCF Yaramoko'!K8*'DCF Yaramoko'!L8+'DCF Seguela'!I7*'DCF Seguela'!J7)/H14</f>
        <v>0.62136184706440711</v>
      </c>
      <c r="J14" s="7">
        <f>H14*I14/Auxiliary!$C$4</f>
        <v>715565.02004946279</v>
      </c>
    </row>
    <row r="15" spans="1:52" x14ac:dyDescent="0.25">
      <c r="B15" t="s">
        <v>19</v>
      </c>
      <c r="C15" s="6">
        <f>SUM(C13:C14)</f>
        <v>101409277</v>
      </c>
      <c r="D15" s="11">
        <f>(C13*D13+C14*D14)/C15</f>
        <v>0.95912322360803337</v>
      </c>
      <c r="E15" s="6">
        <f>SUM(E13:E14)</f>
        <v>3127109.9782645521</v>
      </c>
      <c r="G15" t="s">
        <v>19</v>
      </c>
      <c r="H15" s="6">
        <f>SUM(H13:H14)</f>
        <v>37590000</v>
      </c>
      <c r="I15" s="11">
        <f>(H13*I13+H14*I14)/H15</f>
        <v>0.6224501197126896</v>
      </c>
      <c r="J15" s="6">
        <f>SUM(J13:J14)</f>
        <v>752259.95313810068</v>
      </c>
    </row>
    <row r="17" spans="2:52" x14ac:dyDescent="0.25">
      <c r="B17" s="3" t="s">
        <v>1</v>
      </c>
      <c r="C17" s="4">
        <f>WACC!C23</f>
        <v>8.8451097931970868E-2</v>
      </c>
    </row>
    <row r="19" spans="2:52" x14ac:dyDescent="0.25">
      <c r="B19" s="12" t="s">
        <v>20</v>
      </c>
      <c r="C19" s="12" t="s">
        <v>21</v>
      </c>
      <c r="D19" s="12"/>
      <c r="E19" s="12" t="s">
        <v>22</v>
      </c>
      <c r="F19" s="12" t="s">
        <v>23</v>
      </c>
      <c r="G19" s="12" t="s">
        <v>24</v>
      </c>
      <c r="H19" s="12" t="s">
        <v>25</v>
      </c>
      <c r="I19" s="12" t="s">
        <v>26</v>
      </c>
      <c r="J19" s="12" t="s">
        <v>27</v>
      </c>
      <c r="K19" s="12" t="s">
        <v>28</v>
      </c>
      <c r="L19" s="12" t="s">
        <v>29</v>
      </c>
      <c r="M19" s="12" t="s">
        <v>30</v>
      </c>
      <c r="N19" s="12" t="s">
        <v>31</v>
      </c>
      <c r="O19" s="12" t="s">
        <v>32</v>
      </c>
      <c r="P19" s="12" t="s">
        <v>33</v>
      </c>
      <c r="Q19" s="12" t="s">
        <v>34</v>
      </c>
      <c r="R19" s="12" t="s">
        <v>35</v>
      </c>
      <c r="S19" s="12" t="s">
        <v>36</v>
      </c>
      <c r="T19" s="12" t="s">
        <v>37</v>
      </c>
      <c r="U19" s="12" t="s">
        <v>38</v>
      </c>
      <c r="V19" s="12" t="s">
        <v>39</v>
      </c>
      <c r="W19" s="12" t="s">
        <v>40</v>
      </c>
      <c r="X19" s="12" t="s">
        <v>41</v>
      </c>
      <c r="Y19" s="12" t="s">
        <v>54</v>
      </c>
      <c r="Z19" s="12" t="s">
        <v>55</v>
      </c>
      <c r="AA19" s="12" t="s">
        <v>71</v>
      </c>
      <c r="AB19" s="12" t="s">
        <v>72</v>
      </c>
      <c r="AC19" s="12" t="s">
        <v>73</v>
      </c>
      <c r="AD19" s="12" t="s">
        <v>74</v>
      </c>
      <c r="AE19" s="12" t="s">
        <v>75</v>
      </c>
      <c r="AF19" s="12" t="s">
        <v>76</v>
      </c>
      <c r="AG19" s="12" t="s">
        <v>77</v>
      </c>
      <c r="AH19" s="12" t="s">
        <v>78</v>
      </c>
      <c r="AI19" s="12" t="s">
        <v>79</v>
      </c>
      <c r="AJ19" s="12" t="s">
        <v>80</v>
      </c>
      <c r="AK19" s="12" t="s">
        <v>81</v>
      </c>
      <c r="AL19" s="12" t="s">
        <v>180</v>
      </c>
      <c r="AM19" s="12" t="s">
        <v>181</v>
      </c>
      <c r="AN19" s="12" t="s">
        <v>191</v>
      </c>
      <c r="AO19" s="12" t="s">
        <v>192</v>
      </c>
      <c r="AP19" s="12" t="s">
        <v>193</v>
      </c>
      <c r="AQ19" s="12" t="s">
        <v>194</v>
      </c>
      <c r="AR19" s="12" t="s">
        <v>195</v>
      </c>
      <c r="AS19" s="12" t="s">
        <v>196</v>
      </c>
      <c r="AT19" s="12" t="s">
        <v>197</v>
      </c>
      <c r="AU19" s="12" t="s">
        <v>198</v>
      </c>
      <c r="AV19" s="12" t="s">
        <v>199</v>
      </c>
      <c r="AW19" s="12" t="s">
        <v>200</v>
      </c>
      <c r="AX19" s="12" t="s">
        <v>201</v>
      </c>
      <c r="AY19" s="12"/>
      <c r="AZ19" s="12"/>
    </row>
    <row r="20" spans="2:52" x14ac:dyDescent="0.25"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2:52" ht="15.75" thickBot="1" x14ac:dyDescent="0.3">
      <c r="B21" s="14" t="s">
        <v>42</v>
      </c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2:52" x14ac:dyDescent="0.25">
      <c r="B22" t="s">
        <v>83</v>
      </c>
      <c r="C22" t="s">
        <v>43</v>
      </c>
      <c r="E22" s="11">
        <v>17.04</v>
      </c>
      <c r="F22">
        <v>15.74</v>
      </c>
      <c r="G22" s="11">
        <v>16.2</v>
      </c>
      <c r="H22" s="11">
        <v>21.18</v>
      </c>
      <c r="I22">
        <v>25.16</v>
      </c>
      <c r="J22">
        <v>24.18</v>
      </c>
      <c r="K22" s="25">
        <f>AVERAGE(L22:AW22)</f>
        <v>24.789473684210527</v>
      </c>
      <c r="L22" s="13">
        <v>22</v>
      </c>
      <c r="M22" s="13">
        <v>22</v>
      </c>
      <c r="N22" s="13">
        <v>23</v>
      </c>
      <c r="O22" s="13">
        <v>25</v>
      </c>
      <c r="P22" s="13">
        <f>O22</f>
        <v>25</v>
      </c>
      <c r="Q22" s="13">
        <f t="shared" ref="Q22:AF25" si="2">P22</f>
        <v>25</v>
      </c>
      <c r="R22" s="13">
        <f t="shared" si="2"/>
        <v>25</v>
      </c>
      <c r="S22" s="13">
        <f t="shared" si="2"/>
        <v>25</v>
      </c>
      <c r="T22" s="13">
        <f t="shared" si="2"/>
        <v>25</v>
      </c>
      <c r="U22" s="13">
        <f t="shared" si="2"/>
        <v>25</v>
      </c>
      <c r="V22" s="13">
        <f t="shared" si="2"/>
        <v>25</v>
      </c>
      <c r="W22" s="13">
        <f t="shared" si="2"/>
        <v>25</v>
      </c>
      <c r="X22" s="13">
        <f t="shared" si="2"/>
        <v>25</v>
      </c>
      <c r="Y22" s="13">
        <f t="shared" si="2"/>
        <v>25</v>
      </c>
      <c r="Z22" s="13">
        <f t="shared" si="2"/>
        <v>25</v>
      </c>
      <c r="AA22" s="13">
        <f t="shared" si="2"/>
        <v>25</v>
      </c>
      <c r="AB22" s="13">
        <f t="shared" si="2"/>
        <v>25</v>
      </c>
      <c r="AC22" s="13">
        <f t="shared" si="2"/>
        <v>25</v>
      </c>
      <c r="AD22" s="13">
        <f t="shared" si="2"/>
        <v>25</v>
      </c>
      <c r="AE22" s="13">
        <f t="shared" si="2"/>
        <v>25</v>
      </c>
      <c r="AF22" s="13">
        <f t="shared" si="2"/>
        <v>25</v>
      </c>
      <c r="AG22" s="13">
        <f t="shared" ref="AG22:AV25" si="3">AF22</f>
        <v>25</v>
      </c>
      <c r="AH22" s="13">
        <f t="shared" si="3"/>
        <v>25</v>
      </c>
      <c r="AI22" s="13">
        <f t="shared" si="3"/>
        <v>25</v>
      </c>
      <c r="AJ22" s="13">
        <f t="shared" si="3"/>
        <v>25</v>
      </c>
      <c r="AK22" s="13">
        <f t="shared" si="3"/>
        <v>25</v>
      </c>
      <c r="AL22" s="13">
        <f t="shared" si="3"/>
        <v>25</v>
      </c>
      <c r="AM22" s="13">
        <f t="shared" si="3"/>
        <v>25</v>
      </c>
      <c r="AN22" s="13">
        <f t="shared" si="3"/>
        <v>25</v>
      </c>
      <c r="AO22" s="13">
        <f t="shared" si="3"/>
        <v>25</v>
      </c>
      <c r="AP22" s="13">
        <f t="shared" si="3"/>
        <v>25</v>
      </c>
      <c r="AQ22" s="13">
        <f t="shared" si="3"/>
        <v>25</v>
      </c>
      <c r="AR22" s="13">
        <f t="shared" si="3"/>
        <v>25</v>
      </c>
      <c r="AS22" s="13">
        <f t="shared" si="3"/>
        <v>25</v>
      </c>
      <c r="AT22" s="13">
        <f t="shared" si="3"/>
        <v>25</v>
      </c>
      <c r="AU22" s="13">
        <f t="shared" si="3"/>
        <v>25</v>
      </c>
      <c r="AV22" s="13">
        <f t="shared" si="3"/>
        <v>25</v>
      </c>
      <c r="AW22" s="13">
        <f t="shared" ref="AW22:AW25" si="4">AV22</f>
        <v>25</v>
      </c>
      <c r="AX22" s="13"/>
    </row>
    <row r="23" spans="2:52" x14ac:dyDescent="0.25">
      <c r="B23" t="s">
        <v>188</v>
      </c>
      <c r="C23" t="s">
        <v>43</v>
      </c>
      <c r="E23" s="6">
        <v>1257</v>
      </c>
      <c r="F23" s="6">
        <v>1273</v>
      </c>
      <c r="G23" s="6">
        <v>1393</v>
      </c>
      <c r="H23" s="6">
        <v>1805</v>
      </c>
      <c r="I23" s="6">
        <v>1789</v>
      </c>
      <c r="J23" s="6">
        <v>1884</v>
      </c>
      <c r="K23" s="15">
        <f t="shared" ref="K23:K25" si="5">AVERAGE(L23:AW23)</f>
        <v>1757.1052631578948</v>
      </c>
      <c r="L23" s="16">
        <v>1870</v>
      </c>
      <c r="M23" s="16">
        <v>1850</v>
      </c>
      <c r="N23" s="16">
        <v>1800</v>
      </c>
      <c r="O23" s="16">
        <v>1750</v>
      </c>
      <c r="P23" s="16">
        <f>O23</f>
        <v>1750</v>
      </c>
      <c r="Q23" s="16">
        <f t="shared" si="2"/>
        <v>1750</v>
      </c>
      <c r="R23" s="16">
        <f t="shared" si="2"/>
        <v>1750</v>
      </c>
      <c r="S23" s="16">
        <f t="shared" si="2"/>
        <v>1750</v>
      </c>
      <c r="T23" s="16">
        <f t="shared" si="2"/>
        <v>1750</v>
      </c>
      <c r="U23" s="16">
        <f t="shared" si="2"/>
        <v>1750</v>
      </c>
      <c r="V23" s="16">
        <f t="shared" si="2"/>
        <v>1750</v>
      </c>
      <c r="W23" s="16">
        <f t="shared" si="2"/>
        <v>1750</v>
      </c>
      <c r="X23" s="16">
        <f t="shared" si="2"/>
        <v>1750</v>
      </c>
      <c r="Y23" s="16">
        <f t="shared" si="2"/>
        <v>1750</v>
      </c>
      <c r="Z23" s="16">
        <f t="shared" si="2"/>
        <v>1750</v>
      </c>
      <c r="AA23" s="16">
        <f t="shared" si="2"/>
        <v>1750</v>
      </c>
      <c r="AB23" s="16">
        <f t="shared" si="2"/>
        <v>1750</v>
      </c>
      <c r="AC23" s="16">
        <f t="shared" si="2"/>
        <v>1750</v>
      </c>
      <c r="AD23" s="16">
        <f t="shared" si="2"/>
        <v>1750</v>
      </c>
      <c r="AE23" s="16">
        <f t="shared" si="2"/>
        <v>1750</v>
      </c>
      <c r="AF23" s="16">
        <f t="shared" si="2"/>
        <v>1750</v>
      </c>
      <c r="AG23" s="16">
        <f t="shared" si="3"/>
        <v>1750</v>
      </c>
      <c r="AH23" s="16">
        <f t="shared" si="3"/>
        <v>1750</v>
      </c>
      <c r="AI23" s="16">
        <f t="shared" si="3"/>
        <v>1750</v>
      </c>
      <c r="AJ23" s="16">
        <f t="shared" si="3"/>
        <v>1750</v>
      </c>
      <c r="AK23" s="16">
        <f t="shared" si="3"/>
        <v>1750</v>
      </c>
      <c r="AL23" s="16">
        <f t="shared" si="3"/>
        <v>1750</v>
      </c>
      <c r="AM23" s="16">
        <f t="shared" si="3"/>
        <v>1750</v>
      </c>
      <c r="AN23" s="16">
        <f t="shared" si="3"/>
        <v>1750</v>
      </c>
      <c r="AO23" s="16">
        <f t="shared" si="3"/>
        <v>1750</v>
      </c>
      <c r="AP23" s="16">
        <f t="shared" si="3"/>
        <v>1750</v>
      </c>
      <c r="AQ23" s="16">
        <f t="shared" si="3"/>
        <v>1750</v>
      </c>
      <c r="AR23" s="16">
        <f t="shared" si="3"/>
        <v>1750</v>
      </c>
      <c r="AS23" s="16">
        <f t="shared" si="3"/>
        <v>1750</v>
      </c>
      <c r="AT23" s="16">
        <f t="shared" si="3"/>
        <v>1750</v>
      </c>
      <c r="AU23" s="16">
        <f t="shared" si="3"/>
        <v>1750</v>
      </c>
      <c r="AV23" s="16">
        <f t="shared" si="3"/>
        <v>1750</v>
      </c>
      <c r="AW23" s="16">
        <f t="shared" si="4"/>
        <v>1750</v>
      </c>
      <c r="AX23" s="13"/>
    </row>
    <row r="24" spans="2:52" x14ac:dyDescent="0.25">
      <c r="B24" t="s">
        <v>189</v>
      </c>
      <c r="C24" t="s">
        <v>49</v>
      </c>
      <c r="E24">
        <v>1.05</v>
      </c>
      <c r="F24">
        <v>1.02</v>
      </c>
      <c r="G24">
        <v>0.91</v>
      </c>
      <c r="H24">
        <v>0.83</v>
      </c>
      <c r="I24" s="11">
        <v>1</v>
      </c>
      <c r="J24">
        <v>1.06</v>
      </c>
      <c r="K24" s="25">
        <f t="shared" si="5"/>
        <v>0.90131578947368363</v>
      </c>
      <c r="L24" s="13">
        <v>0.95</v>
      </c>
      <c r="M24" s="24">
        <v>0.9</v>
      </c>
      <c r="N24" s="24">
        <f>M24</f>
        <v>0.9</v>
      </c>
      <c r="O24" s="24">
        <f t="shared" ref="O24:Y25" si="6">N24</f>
        <v>0.9</v>
      </c>
      <c r="P24" s="24">
        <f t="shared" si="6"/>
        <v>0.9</v>
      </c>
      <c r="Q24" s="24">
        <f t="shared" si="6"/>
        <v>0.9</v>
      </c>
      <c r="R24" s="24">
        <f t="shared" si="6"/>
        <v>0.9</v>
      </c>
      <c r="S24" s="24">
        <f t="shared" si="6"/>
        <v>0.9</v>
      </c>
      <c r="T24" s="24">
        <f t="shared" si="6"/>
        <v>0.9</v>
      </c>
      <c r="U24" s="24">
        <f t="shared" si="6"/>
        <v>0.9</v>
      </c>
      <c r="V24" s="24">
        <f t="shared" si="6"/>
        <v>0.9</v>
      </c>
      <c r="W24" s="24">
        <f t="shared" si="6"/>
        <v>0.9</v>
      </c>
      <c r="X24" s="24">
        <f t="shared" si="6"/>
        <v>0.9</v>
      </c>
      <c r="Y24" s="24">
        <f t="shared" si="6"/>
        <v>0.9</v>
      </c>
      <c r="Z24" s="24">
        <f t="shared" si="2"/>
        <v>0.9</v>
      </c>
      <c r="AA24" s="24">
        <f t="shared" si="2"/>
        <v>0.9</v>
      </c>
      <c r="AB24" s="24">
        <f t="shared" si="2"/>
        <v>0.9</v>
      </c>
      <c r="AC24" s="24">
        <f t="shared" si="2"/>
        <v>0.9</v>
      </c>
      <c r="AD24" s="24">
        <f t="shared" si="2"/>
        <v>0.9</v>
      </c>
      <c r="AE24" s="24">
        <f t="shared" si="2"/>
        <v>0.9</v>
      </c>
      <c r="AF24" s="24">
        <f t="shared" si="2"/>
        <v>0.9</v>
      </c>
      <c r="AG24" s="24">
        <f t="shared" si="3"/>
        <v>0.9</v>
      </c>
      <c r="AH24" s="24">
        <f t="shared" si="3"/>
        <v>0.9</v>
      </c>
      <c r="AI24" s="24">
        <f t="shared" si="3"/>
        <v>0.9</v>
      </c>
      <c r="AJ24" s="24">
        <f t="shared" si="3"/>
        <v>0.9</v>
      </c>
      <c r="AK24" s="24">
        <f t="shared" si="3"/>
        <v>0.9</v>
      </c>
      <c r="AL24" s="24">
        <f t="shared" si="3"/>
        <v>0.9</v>
      </c>
      <c r="AM24" s="24">
        <f t="shared" si="3"/>
        <v>0.9</v>
      </c>
      <c r="AN24" s="24">
        <f t="shared" si="3"/>
        <v>0.9</v>
      </c>
      <c r="AO24" s="24">
        <f t="shared" si="3"/>
        <v>0.9</v>
      </c>
      <c r="AP24" s="24">
        <f t="shared" si="3"/>
        <v>0.9</v>
      </c>
      <c r="AQ24" s="24">
        <f t="shared" si="3"/>
        <v>0.9</v>
      </c>
      <c r="AR24" s="24">
        <f t="shared" si="3"/>
        <v>0.9</v>
      </c>
      <c r="AS24" s="24">
        <f t="shared" si="3"/>
        <v>0.9</v>
      </c>
      <c r="AT24" s="24">
        <f t="shared" si="3"/>
        <v>0.9</v>
      </c>
      <c r="AU24" s="24">
        <f t="shared" si="3"/>
        <v>0.9</v>
      </c>
      <c r="AV24" s="24">
        <f t="shared" si="3"/>
        <v>0.9</v>
      </c>
      <c r="AW24" s="24">
        <f t="shared" si="4"/>
        <v>0.9</v>
      </c>
      <c r="AX24" s="13"/>
    </row>
    <row r="25" spans="2:52" x14ac:dyDescent="0.25">
      <c r="B25" t="s">
        <v>190</v>
      </c>
      <c r="C25" t="s">
        <v>49</v>
      </c>
      <c r="E25">
        <v>1.32</v>
      </c>
      <c r="F25">
        <v>1.32</v>
      </c>
      <c r="G25">
        <v>1.1499999999999999</v>
      </c>
      <c r="H25">
        <v>1.03</v>
      </c>
      <c r="I25">
        <v>1.36</v>
      </c>
      <c r="J25">
        <v>1.69</v>
      </c>
      <c r="K25" s="25">
        <f t="shared" si="5"/>
        <v>1.1289473684210534</v>
      </c>
      <c r="L25" s="24">
        <v>1.7</v>
      </c>
      <c r="M25" s="13">
        <v>1.45</v>
      </c>
      <c r="N25" s="13">
        <v>1.25</v>
      </c>
      <c r="O25" s="24">
        <v>1.1000000000000001</v>
      </c>
      <c r="P25" s="24">
        <f>O25</f>
        <v>1.1000000000000001</v>
      </c>
      <c r="Q25" s="24">
        <f t="shared" si="6"/>
        <v>1.1000000000000001</v>
      </c>
      <c r="R25" s="24">
        <f t="shared" si="6"/>
        <v>1.1000000000000001</v>
      </c>
      <c r="S25" s="24">
        <f t="shared" si="6"/>
        <v>1.1000000000000001</v>
      </c>
      <c r="T25" s="24">
        <f t="shared" si="6"/>
        <v>1.1000000000000001</v>
      </c>
      <c r="U25" s="24">
        <f t="shared" si="6"/>
        <v>1.1000000000000001</v>
      </c>
      <c r="V25" s="24">
        <f t="shared" si="6"/>
        <v>1.1000000000000001</v>
      </c>
      <c r="W25" s="24">
        <f t="shared" si="6"/>
        <v>1.1000000000000001</v>
      </c>
      <c r="X25" s="24">
        <f t="shared" si="6"/>
        <v>1.1000000000000001</v>
      </c>
      <c r="Y25" s="24">
        <f t="shared" si="6"/>
        <v>1.1000000000000001</v>
      </c>
      <c r="Z25" s="24">
        <f t="shared" si="2"/>
        <v>1.1000000000000001</v>
      </c>
      <c r="AA25" s="24">
        <f t="shared" si="2"/>
        <v>1.1000000000000001</v>
      </c>
      <c r="AB25" s="24">
        <f t="shared" si="2"/>
        <v>1.1000000000000001</v>
      </c>
      <c r="AC25" s="24">
        <f t="shared" si="2"/>
        <v>1.1000000000000001</v>
      </c>
      <c r="AD25" s="24">
        <f t="shared" si="2"/>
        <v>1.1000000000000001</v>
      </c>
      <c r="AE25" s="24">
        <f t="shared" si="2"/>
        <v>1.1000000000000001</v>
      </c>
      <c r="AF25" s="24">
        <f t="shared" si="2"/>
        <v>1.1000000000000001</v>
      </c>
      <c r="AG25" s="24">
        <f t="shared" si="3"/>
        <v>1.1000000000000001</v>
      </c>
      <c r="AH25" s="24">
        <f t="shared" si="3"/>
        <v>1.1000000000000001</v>
      </c>
      <c r="AI25" s="24">
        <f t="shared" si="3"/>
        <v>1.1000000000000001</v>
      </c>
      <c r="AJ25" s="24">
        <f t="shared" si="3"/>
        <v>1.1000000000000001</v>
      </c>
      <c r="AK25" s="24">
        <f t="shared" si="3"/>
        <v>1.1000000000000001</v>
      </c>
      <c r="AL25" s="24">
        <f t="shared" si="3"/>
        <v>1.1000000000000001</v>
      </c>
      <c r="AM25" s="24">
        <f t="shared" si="3"/>
        <v>1.1000000000000001</v>
      </c>
      <c r="AN25" s="24">
        <f t="shared" si="3"/>
        <v>1.1000000000000001</v>
      </c>
      <c r="AO25" s="24">
        <f t="shared" si="3"/>
        <v>1.1000000000000001</v>
      </c>
      <c r="AP25" s="24">
        <f t="shared" si="3"/>
        <v>1.1000000000000001</v>
      </c>
      <c r="AQ25" s="24">
        <f t="shared" si="3"/>
        <v>1.1000000000000001</v>
      </c>
      <c r="AR25" s="24">
        <f t="shared" si="3"/>
        <v>1.1000000000000001</v>
      </c>
      <c r="AS25" s="24">
        <f t="shared" si="3"/>
        <v>1.1000000000000001</v>
      </c>
      <c r="AT25" s="24">
        <f t="shared" si="3"/>
        <v>1.1000000000000001</v>
      </c>
      <c r="AU25" s="24">
        <f t="shared" si="3"/>
        <v>1.1000000000000001</v>
      </c>
      <c r="AV25" s="24">
        <f t="shared" si="3"/>
        <v>1.1000000000000001</v>
      </c>
      <c r="AW25" s="24">
        <f t="shared" si="4"/>
        <v>1.1000000000000001</v>
      </c>
      <c r="AX25" s="13"/>
    </row>
    <row r="26" spans="2:52" x14ac:dyDescent="0.25"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2:52" ht="15.75" thickBot="1" x14ac:dyDescent="0.3">
      <c r="B27" s="14" t="s">
        <v>237</v>
      </c>
      <c r="K27" s="2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2:52" x14ac:dyDescent="0.25">
      <c r="B28" t="s">
        <v>238</v>
      </c>
      <c r="C28" t="s">
        <v>70</v>
      </c>
      <c r="K28" s="26"/>
      <c r="L28" s="43">
        <f>('DCF Caylloma'!L20+'DCF Caylloma'!L21+'DCF San Jose'!L18+'DCF San Jose'!L19+'DCF Lindero'!L17+'DCF Lindero'!L18+'DCF Yaramoko'!L17+'DCF Yaramoko'!L18+'DCF Seguela'!H15)/($C$9+$C$15)</f>
        <v>1</v>
      </c>
      <c r="M28" s="43">
        <f>('DCF Caylloma'!M20+'DCF Caylloma'!M21+'DCF San Jose'!M18+'DCF San Jose'!M19+'DCF Lindero'!M17+'DCF Lindero'!M18+'DCF Yaramoko'!M17+'DCF Yaramoko'!M18+'DCF Seguela'!I15)/($C$9+$C$15)</f>
        <v>0.97917397123692074</v>
      </c>
      <c r="N28" s="43">
        <f>('DCF Caylloma'!N20+'DCF Caylloma'!N21+'DCF San Jose'!N18+'DCF San Jose'!N19+'DCF Lindero'!N17+'DCF Lindero'!N18+'DCF Yaramoko'!N17+'DCF Yaramoko'!N18+'DCF Seguela'!J15)/($C$9+$C$15)</f>
        <v>0.95834794247384159</v>
      </c>
      <c r="O28" s="43">
        <f>('DCF Caylloma'!O20+'DCF Caylloma'!O21+'DCF San Jose'!O18+'DCF San Jose'!O19+'DCF Lindero'!O17+'DCF Lindero'!O18+'DCF Yaramoko'!O17+'DCF Yaramoko'!O18+'DCF Seguela'!K15)/($C$9+$C$15)</f>
        <v>0.93934829729790958</v>
      </c>
      <c r="P28" s="43">
        <f>('DCF Caylloma'!P20+'DCF Caylloma'!P21+'DCF San Jose'!P18+'DCF San Jose'!P19+'DCF Lindero'!P17+'DCF Lindero'!P18+'DCF Yaramoko'!P17+'DCF Yaramoko'!P18+'DCF Seguela'!L15)/($C$9+$C$15)</f>
        <v>0.91997187218354504</v>
      </c>
      <c r="Q28" s="43">
        <f>('DCF Caylloma'!Q20+'DCF Caylloma'!Q21+'DCF San Jose'!Q18+'DCF San Jose'!Q19+'DCF Lindero'!Q17+'DCF Lindero'!Q18+'DCF Yaramoko'!Q17+'DCF Yaramoko'!Q18+'DCF Seguela'!M15)/($C$9+$C$15)</f>
        <v>0.86076612877854253</v>
      </c>
      <c r="R28" s="43">
        <f>('DCF Caylloma'!R20+'DCF Caylloma'!R21+'DCF San Jose'!R18+'DCF San Jose'!R19+'DCF Lindero'!R17+'DCF Lindero'!R18+'DCF Yaramoko'!R17+'DCF Yaramoko'!R18+'DCF Seguela'!N15)/($C$9+$C$15)</f>
        <v>0.77188691370011187</v>
      </c>
      <c r="S28" s="43">
        <f>('DCF Caylloma'!S20+'DCF Caylloma'!S21+'DCF San Jose'!S18+'DCF San Jose'!S19+'DCF Lindero'!S17+'DCF Lindero'!S18+'DCF Yaramoko'!S17+'DCF Yaramoko'!S18+'DCF Seguela'!O15)/($C$9+$C$15)</f>
        <v>0.6914179940437325</v>
      </c>
      <c r="T28" s="43">
        <f>('DCF Caylloma'!T20+'DCF Caylloma'!T21+'DCF San Jose'!T18+'DCF San Jose'!T19+'DCF Lindero'!T17+'DCF Lindero'!T18+'DCF Yaramoko'!T17+'DCF Yaramoko'!T18+'DCF Seguela'!P15)/($C$9+$C$15)</f>
        <v>0.61227137685983168</v>
      </c>
      <c r="U28" s="43">
        <f>('DCF Caylloma'!U20+'DCF Caylloma'!U21+'DCF San Jose'!U18+'DCF San Jose'!U19+'DCF Lindero'!U17+'DCF Lindero'!U18+'DCF Yaramoko'!U17+'DCF Yaramoko'!U18+'DCF Seguela'!Q15)/($C$9+$C$15)</f>
        <v>0.5338139449777255</v>
      </c>
      <c r="V28" s="43">
        <f>('DCF Caylloma'!V20+'DCF Caylloma'!V21+'DCF San Jose'!V18+'DCF San Jose'!V19+'DCF Lindero'!V17+'DCF Lindero'!V18+'DCF Yaramoko'!V17+'DCF Yaramoko'!V18+'DCF Seguela'!R15)/($C$9+$C$15)</f>
        <v>0.46309067748432858</v>
      </c>
      <c r="W28" s="43">
        <f>('DCF Caylloma'!W20+'DCF Caylloma'!W21+'DCF San Jose'!W18+'DCF San Jose'!W19+'DCF Lindero'!W17+'DCF Lindero'!W18+'DCF Yaramoko'!W17+'DCF Yaramoko'!W18+'DCF Seguela'!S15)/($C$9+$C$15)</f>
        <v>0.39191335883692746</v>
      </c>
      <c r="X28" s="43">
        <f>('DCF Caylloma'!X20+'DCF Caylloma'!X21+'DCF San Jose'!X18+'DCF San Jose'!X19+'DCF Lindero'!X17+'DCF Lindero'!X18+'DCF Yaramoko'!X17+'DCF Yaramoko'!X18+'DCF Seguela'!T15)/($C$9+$C$15)</f>
        <v>0.31823561465068739</v>
      </c>
      <c r="Y28" s="43">
        <f>('DCF Caylloma'!Y20+'DCF Caylloma'!Y21+'DCF San Jose'!Y18+'DCF San Jose'!Y19+'DCF Lindero'!Y17+'DCF Lindero'!Y18+'DCF Yaramoko'!Y17+'DCF Yaramoko'!Y18+'DCF Seguela'!U15)/($C$9+$C$15)</f>
        <v>0.24596669231655433</v>
      </c>
      <c r="Z28" s="43">
        <f>('DCF Caylloma'!Z20+'DCF Caylloma'!Z21+'DCF San Jose'!Z18+'DCF San Jose'!Z19+'DCF Lindero'!Z17+'DCF Lindero'!Z18+'DCF Yaramoko'!Z17+'DCF Yaramoko'!Z18+'DCF Seguela'!V15)/($C$9+$C$15)</f>
        <v>0.17807039847341183</v>
      </c>
      <c r="AA28" s="43">
        <f>('DCF Caylloma'!AA20+'DCF Caylloma'!AA21+'DCF San Jose'!AA18+'DCF San Jose'!AA19+'DCF Lindero'!AA17+'DCF Lindero'!AA18+'DCF Yaramoko'!AA17+'DCF Yaramoko'!AA18+'DCF Seguela'!W15)/($C$9+$C$15)</f>
        <v>0.11904066957066835</v>
      </c>
      <c r="AB28" s="43">
        <f>('DCF Caylloma'!AB20+'DCF Caylloma'!AB21+'DCF San Jose'!AB18+'DCF San Jose'!AB19+'DCF Lindero'!AB17+'DCF Lindero'!AB18+'DCF Yaramoko'!AB17+'DCF Yaramoko'!AB18+'DCF Seguela'!X15)/($C$9+$C$15)</f>
        <v>6.0010940667924867E-2</v>
      </c>
      <c r="AC28" s="43">
        <f>('DCF Caylloma'!AC20+'DCF Caylloma'!AC21+'DCF San Jose'!AC18+'DCF San Jose'!AC19+'DCF Lindero'!AC17+'DCF Lindero'!AC18+'DCF Yaramoko'!AC17+'DCF Yaramoko'!AC18+'DCF Seguela'!Y15)/($C$9+$C$15)</f>
        <v>9.8121176518138034E-4</v>
      </c>
      <c r="AD28" s="43">
        <f>('DCF Caylloma'!AD20+'DCF Caylloma'!AD21+'DCF San Jose'!AD18+'DCF San Jose'!AD19+'DCF Lindero'!AD17+'DCF Lindero'!AD18+'DCF Yaramoko'!AD17+'DCF Yaramoko'!AD18+'DCF Seguela'!Z15)/($C$9+$C$15)</f>
        <v>0</v>
      </c>
      <c r="AE28" s="43">
        <f>('DCF Caylloma'!AE20+'DCF Caylloma'!AE21+'DCF San Jose'!AE18+'DCF San Jose'!AE19+'DCF Lindero'!AE17+'DCF Lindero'!AE18+'DCF Yaramoko'!AE17+'DCF Yaramoko'!AE18+'DCF Seguela'!AA15)/($C$9+$C$15)</f>
        <v>0</v>
      </c>
      <c r="AF28" s="43">
        <f>('DCF Caylloma'!AF20+'DCF Caylloma'!AF21+'DCF San Jose'!AF18+'DCF San Jose'!AF19+'DCF Lindero'!AF17+'DCF Lindero'!AF18+'DCF Yaramoko'!AF17+'DCF Yaramoko'!AF18+'DCF Seguela'!AB15)/($C$9+$C$15)</f>
        <v>0</v>
      </c>
      <c r="AG28" s="43">
        <f>('DCF Caylloma'!AG20+'DCF Caylloma'!AG21+'DCF San Jose'!AG18+'DCF San Jose'!AG19+'DCF Lindero'!AG17+'DCF Lindero'!AG18+'DCF Yaramoko'!AG17+'DCF Yaramoko'!AG18+'DCF Seguela'!AC15)/($C$9+$C$15)</f>
        <v>0</v>
      </c>
      <c r="AH28" s="43">
        <f>('DCF Caylloma'!AH20+'DCF Caylloma'!AH21+'DCF San Jose'!AH18+'DCF San Jose'!AH19+'DCF Lindero'!AH17+'DCF Lindero'!AH18+'DCF Yaramoko'!AH17+'DCF Yaramoko'!AH18+'DCF Seguela'!AD15)/($C$9+$C$15)</f>
        <v>0</v>
      </c>
      <c r="AI28" s="43">
        <f>('DCF Caylloma'!AI20+'DCF Caylloma'!AI21+'DCF San Jose'!AI18+'DCF San Jose'!AI19+'DCF Lindero'!AI17+'DCF Lindero'!AI18+'DCF Yaramoko'!AI17+'DCF Yaramoko'!AI18+'DCF Seguela'!AE15)/($C$9+$C$15)</f>
        <v>0</v>
      </c>
      <c r="AJ28" s="43">
        <f>('DCF Caylloma'!AJ20+'DCF Caylloma'!AJ21+'DCF San Jose'!AJ18+'DCF San Jose'!AJ19+'DCF Lindero'!AJ17+'DCF Lindero'!AJ18+'DCF Yaramoko'!AJ17+'DCF Yaramoko'!AJ18+'DCF Seguela'!AF15)/($C$9+$C$15)</f>
        <v>0</v>
      </c>
      <c r="AK28" s="43">
        <f>('DCF Caylloma'!AK20+'DCF Caylloma'!AK21+'DCF San Jose'!AK18+'DCF San Jose'!AK19+'DCF Lindero'!AK17+'DCF Lindero'!AK18+'DCF Yaramoko'!AK17+'DCF Yaramoko'!AK18+'DCF Seguela'!AG15)/($C$9+$C$15)</f>
        <v>0</v>
      </c>
      <c r="AL28" s="43">
        <f>('DCF Caylloma'!AL20+'DCF Caylloma'!AL21+'DCF San Jose'!AL18+'DCF San Jose'!AL19+'DCF Lindero'!AL17+'DCF Lindero'!AL18+'DCF Yaramoko'!AL17+'DCF Yaramoko'!AL18+'DCF Seguela'!AH15)/($C$9+$C$15)</f>
        <v>0</v>
      </c>
      <c r="AM28" s="43">
        <f>('DCF Caylloma'!AM20+'DCF Caylloma'!AM21+'DCF San Jose'!AM18+'DCF San Jose'!AM19+'DCF Lindero'!AM17+'DCF Lindero'!AM18+'DCF Yaramoko'!AM17+'DCF Yaramoko'!AM18+'DCF Seguela'!AI15)/($C$9+$C$15)</f>
        <v>0</v>
      </c>
      <c r="AN28" s="43">
        <f>('DCF Caylloma'!AN20+'DCF Caylloma'!AN21+'DCF San Jose'!AN18+'DCF San Jose'!AN19+'DCF Lindero'!AN17+'DCF Lindero'!AN18+'DCF Yaramoko'!AN17+'DCF Yaramoko'!AN18+'DCF Seguela'!AJ15)/($C$9+$C$15)</f>
        <v>0</v>
      </c>
      <c r="AO28" s="43">
        <f>('DCF Caylloma'!AO20+'DCF Caylloma'!AO21+'DCF San Jose'!AO18+'DCF San Jose'!AO19+'DCF Lindero'!AO17+'DCF Lindero'!AO18+'DCF Yaramoko'!AO17+'DCF Yaramoko'!AO18+'DCF Seguela'!AK15)/($C$9+$C$15)</f>
        <v>0</v>
      </c>
      <c r="AP28" s="43">
        <f>('DCF Caylloma'!AP20+'DCF Caylloma'!AP21+'DCF San Jose'!AP18+'DCF San Jose'!AP19+'DCF Lindero'!AP17+'DCF Lindero'!AP18+'DCF Yaramoko'!AP17+'DCF Yaramoko'!AP18+'DCF Seguela'!AL15)/($C$9+$C$15)</f>
        <v>0</v>
      </c>
      <c r="AQ28" s="43">
        <f>('DCF Caylloma'!AQ20+'DCF Caylloma'!AQ21+'DCF San Jose'!AQ18+'DCF San Jose'!AQ19+'DCF Lindero'!AQ17+'DCF Lindero'!AQ18+'DCF Yaramoko'!AQ17+'DCF Yaramoko'!AQ18+'DCF Seguela'!AM15)/($C$9+$C$15)</f>
        <v>0</v>
      </c>
      <c r="AR28" s="43">
        <f>('DCF Caylloma'!AR20+'DCF Caylloma'!AR21+'DCF San Jose'!AR18+'DCF San Jose'!AR19+'DCF Lindero'!AR17+'DCF Lindero'!AR18+'DCF Yaramoko'!AR17+'DCF Yaramoko'!AR18+'DCF Seguela'!AN15)/($C$9+$C$15)</f>
        <v>0</v>
      </c>
      <c r="AS28" s="43">
        <f>('DCF Caylloma'!AS20+'DCF Caylloma'!AS21+'DCF San Jose'!AS18+'DCF San Jose'!AS19+'DCF Lindero'!AS17+'DCF Lindero'!AS18+'DCF Yaramoko'!AS17+'DCF Yaramoko'!AS18+'DCF Seguela'!AO15)/($C$9+$C$15)</f>
        <v>0</v>
      </c>
      <c r="AT28" s="43">
        <f>('DCF Caylloma'!AT20+'DCF Caylloma'!AT21+'DCF San Jose'!AT18+'DCF San Jose'!AT19+'DCF Lindero'!AT17+'DCF Lindero'!AT18+'DCF Yaramoko'!AT17+'DCF Yaramoko'!AT18+'DCF Seguela'!AP15)/($C$9+$C$15)</f>
        <v>0</v>
      </c>
      <c r="AU28" s="43">
        <f>('DCF Caylloma'!AU20+'DCF Caylloma'!AU21+'DCF San Jose'!AU18+'DCF San Jose'!AU19+'DCF Lindero'!AU17+'DCF Lindero'!AU18+'DCF Yaramoko'!AU17+'DCF Yaramoko'!AU18+'DCF Seguela'!AQ15)/($C$9+$C$15)</f>
        <v>0</v>
      </c>
      <c r="AV28" s="43">
        <f>('DCF Caylloma'!AV20+'DCF Caylloma'!AV21+'DCF San Jose'!AV18+'DCF San Jose'!AV19+'DCF Lindero'!AV17+'DCF Lindero'!AV18+'DCF Yaramoko'!AV17+'DCF Yaramoko'!AV18+'DCF Seguela'!AR15)/($C$9+$C$15)</f>
        <v>0</v>
      </c>
      <c r="AW28" s="43">
        <f>('DCF Caylloma'!AW20+'DCF Caylloma'!AW21+'DCF San Jose'!AW18+'DCF San Jose'!AW19+'DCF Lindero'!AW17+'DCF Lindero'!AW18+'DCF Yaramoko'!AW17+'DCF Yaramoko'!AW18+'DCF Seguela'!AS15)/($C$9+$C$15)</f>
        <v>0</v>
      </c>
      <c r="AX28" s="13"/>
    </row>
    <row r="29" spans="2:52" x14ac:dyDescent="0.25">
      <c r="B29" t="s">
        <v>239</v>
      </c>
      <c r="C29" t="s">
        <v>70</v>
      </c>
      <c r="K29" s="26"/>
      <c r="L29" s="43">
        <f>('DCF Caylloma'!L24+'DCF Caylloma'!L25+'DCF San Jose'!L22+'DCF San Jose'!L23+'DCF Lindero'!L21+'DCF Lindero'!L22+'DCF Yaramoko'!L21+'DCF Yaramoko'!L22)/($N$9+$H$15)</f>
        <v>0.51636482653283877</v>
      </c>
      <c r="M29" s="43">
        <f>('DCF Caylloma'!M24+'DCF Caylloma'!M25+'DCF San Jose'!M22+'DCF San Jose'!M23+'DCF Lindero'!M21+'DCF Lindero'!M22+'DCF Yaramoko'!M21+'DCF Yaramoko'!M22)/($N$9+$H$15)</f>
        <v>0.51636482653283877</v>
      </c>
      <c r="N29" s="43">
        <f>('DCF Caylloma'!N24+'DCF Caylloma'!N25+'DCF San Jose'!N22+'DCF San Jose'!N23+'DCF Lindero'!N21+'DCF Lindero'!N22+'DCF Yaramoko'!N21+'DCF Yaramoko'!N22)/($N$9+$H$15)</f>
        <v>0.51636482653283877</v>
      </c>
      <c r="O29" s="43">
        <f>('DCF Caylloma'!O24+'DCF Caylloma'!O25+'DCF San Jose'!O22+'DCF San Jose'!O23+'DCF Lindero'!O21+'DCF Lindero'!O22+'DCF Yaramoko'!O21+'DCF Yaramoko'!O22)/($N$9+$H$15)</f>
        <v>0.51636482653283877</v>
      </c>
      <c r="P29" s="43">
        <f>('DCF Caylloma'!P24+'DCF Caylloma'!P25+'DCF San Jose'!P22+'DCF San Jose'!P23+'DCF Lindero'!P21+'DCF Lindero'!P22+'DCF Yaramoko'!P21+'DCF Yaramoko'!P22)/($N$9+$H$15)</f>
        <v>0.51636482653283877</v>
      </c>
      <c r="Q29" s="43">
        <f>('DCF Caylloma'!Q24+'DCF Caylloma'!Q25+'DCF San Jose'!Q22+'DCF San Jose'!Q23+'DCF Lindero'!Q21+'DCF Lindero'!Q22+'DCF Yaramoko'!Q21+'DCF Yaramoko'!Q22)/($N$9+$H$15)</f>
        <v>0.51636482653283877</v>
      </c>
      <c r="R29" s="43">
        <f>('DCF Caylloma'!R24+'DCF Caylloma'!R25+'DCF San Jose'!R22+'DCF San Jose'!R23+'DCF Lindero'!R21+'DCF Lindero'!R22+'DCF Yaramoko'!R21+'DCF Yaramoko'!R22)/($N$9+$H$15)</f>
        <v>0.51225737591542564</v>
      </c>
      <c r="S29" s="43">
        <f>('DCF Caylloma'!S24+'DCF Caylloma'!S25+'DCF San Jose'!S22+'DCF San Jose'!S23+'DCF Lindero'!S21+'DCF Lindero'!S22+'DCF Yaramoko'!S21+'DCF Yaramoko'!S22)/($N$9+$H$15)</f>
        <v>0.50015273838097318</v>
      </c>
      <c r="T29" s="43">
        <f>('DCF Caylloma'!T24+'DCF Caylloma'!T25+'DCF San Jose'!T22+'DCF San Jose'!T23+'DCF Lindero'!T21+'DCF Lindero'!T22+'DCF Yaramoko'!T21+'DCF Yaramoko'!T22)/($N$9+$H$15)</f>
        <v>0.49014473779911266</v>
      </c>
      <c r="U29" s="43">
        <f>('DCF Caylloma'!U24+'DCF Caylloma'!U25+'DCF San Jose'!U22+'DCF San Jose'!U23+'DCF Lindero'!U21+'DCF Lindero'!U22+'DCF Yaramoko'!U21+'DCF Yaramoko'!U22)/($N$9+$H$15)</f>
        <v>0.48970791520620977</v>
      </c>
      <c r="V29" s="43">
        <f>('DCF Caylloma'!V24+'DCF Caylloma'!V25+'DCF San Jose'!V22+'DCF San Jose'!V23+'DCF Lindero'!V21+'DCF Lindero'!V22+'DCF Yaramoko'!V21+'DCF Yaramoko'!V22)/($N$9+$H$15)</f>
        <v>0.47681568415829151</v>
      </c>
      <c r="W29" s="43">
        <f>('DCF Caylloma'!W24+'DCF Caylloma'!W25+'DCF San Jose'!W22+'DCF San Jose'!W23+'DCF Lindero'!W21+'DCF Lindero'!W22+'DCF Yaramoko'!W21+'DCF Yaramoko'!W22)/($N$9+$H$15)</f>
        <v>0.46395867778536753</v>
      </c>
      <c r="X29" s="43">
        <f>('DCF Caylloma'!X24+'DCF Caylloma'!X25+'DCF San Jose'!X22+'DCF San Jose'!X23+'DCF Lindero'!X21+'DCF Lindero'!X22+'DCF Yaramoko'!X21+'DCF Yaramoko'!X22)/($N$9+$H$15)</f>
        <v>0.45110167141244356</v>
      </c>
      <c r="Y29" s="43">
        <f>('DCF Caylloma'!Y24+'DCF Caylloma'!Y25+'DCF San Jose'!Y22+'DCF San Jose'!Y23+'DCF Lindero'!Y21+'DCF Lindero'!Y22+'DCF Yaramoko'!Y21+'DCF Yaramoko'!Y22)/($N$9+$H$15)</f>
        <v>0.43824466503951959</v>
      </c>
      <c r="Z29" s="43">
        <f>('DCF Caylloma'!Z24+'DCF Caylloma'!Z25+'DCF San Jose'!Z22+'DCF San Jose'!Z23+'DCF Lindero'!Z21+'DCF Lindero'!Z22+'DCF Yaramoko'!Z21+'DCF Yaramoko'!Z22)/($N$9+$H$15)</f>
        <v>0.42535243399160122</v>
      </c>
      <c r="AA29" s="43">
        <f>('DCF Caylloma'!AA24+'DCF Caylloma'!AA25+'DCF San Jose'!AA22+'DCF San Jose'!AA23+'DCF Lindero'!AA21+'DCF Lindero'!AA22+'DCF Yaramoko'!AA21+'DCF Yaramoko'!AA22)/($N$9+$H$15)</f>
        <v>0.4242490362935486</v>
      </c>
      <c r="AB29" s="43">
        <f>('DCF Caylloma'!AB24+'DCF Caylloma'!AB25+'DCF San Jose'!AB22+'DCF San Jose'!AB23+'DCF Lindero'!AB21+'DCF Lindero'!AB22+'DCF Yaramoko'!AB21+'DCF Yaramoko'!AB22)/($N$9+$H$15)</f>
        <v>0.4242490362935486</v>
      </c>
      <c r="AC29" s="43">
        <f>('DCF Caylloma'!AC24+'DCF Caylloma'!AC25+'DCF San Jose'!AC22+'DCF San Jose'!AC23+'DCF Lindero'!AC21+'DCF Lindero'!AC22+'DCF Yaramoko'!AC21+'DCF Yaramoko'!AC22)/($N$9+$H$15)</f>
        <v>0.4242490362935486</v>
      </c>
      <c r="AD29" s="43">
        <f>('DCF Caylloma'!AD24+'DCF Caylloma'!AD25+'DCF San Jose'!AD22+'DCF San Jose'!AD23+'DCF Lindero'!AD21+'DCF Lindero'!AD22+'DCF Yaramoko'!AD21+'DCF Yaramoko'!AD22)/($N$9+$H$15)</f>
        <v>0.27340795694232306</v>
      </c>
      <c r="AE29" s="43">
        <f>('DCF Caylloma'!AE24+'DCF Caylloma'!AE25+'DCF San Jose'!AE22+'DCF San Jose'!AE23+'DCF Lindero'!AE21+'DCF Lindero'!AE22+'DCF Yaramoko'!AE21+'DCF Yaramoko'!AE22)/($N$9+$H$15)</f>
        <v>0.12001716488471889</v>
      </c>
      <c r="AF29" s="43">
        <f>('DCF Caylloma'!AF24+'DCF Caylloma'!AF25+'DCF San Jose'!AF22+'DCF San Jose'!AF23+'DCF Lindero'!AF21+'DCF Lindero'!AF22+'DCF Yaramoko'!AF21+'DCF Yaramoko'!AF22)/($N$9+$H$15)</f>
        <v>0</v>
      </c>
      <c r="AG29" s="43">
        <f>('DCF Caylloma'!AG24+'DCF Caylloma'!AG25+'DCF San Jose'!AG22+'DCF San Jose'!AG23+'DCF Lindero'!AG21+'DCF Lindero'!AG22+'DCF Yaramoko'!AG21+'DCF Yaramoko'!AG22)/($N$9+$H$15)</f>
        <v>0</v>
      </c>
      <c r="AH29" s="43">
        <f>('DCF Caylloma'!AH24+'DCF Caylloma'!AH25+'DCF San Jose'!AH22+'DCF San Jose'!AH23+'DCF Lindero'!AH21+'DCF Lindero'!AH22+'DCF Yaramoko'!AH21+'DCF Yaramoko'!AH22)/($N$9+$H$15)</f>
        <v>0</v>
      </c>
      <c r="AI29" s="43">
        <f>('DCF Caylloma'!AI24+'DCF Caylloma'!AI25+'DCF San Jose'!AI22+'DCF San Jose'!AI23+'DCF Lindero'!AI21+'DCF Lindero'!AI22+'DCF Yaramoko'!AI21+'DCF Yaramoko'!AI22)/($N$9+$H$15)</f>
        <v>0</v>
      </c>
      <c r="AJ29" s="43">
        <f>('DCF Caylloma'!AJ24+'DCF Caylloma'!AJ25+'DCF San Jose'!AJ22+'DCF San Jose'!AJ23+'DCF Lindero'!AJ21+'DCF Lindero'!AJ22+'DCF Yaramoko'!AJ21+'DCF Yaramoko'!AJ22)/($N$9+$H$15)</f>
        <v>0</v>
      </c>
      <c r="AK29" s="43">
        <f>('DCF Caylloma'!AK24+'DCF Caylloma'!AK25+'DCF San Jose'!AK22+'DCF San Jose'!AK23+'DCF Lindero'!AK21+'DCF Lindero'!AK22+'DCF Yaramoko'!AK21+'DCF Yaramoko'!AK22)/($N$9+$H$15)</f>
        <v>0</v>
      </c>
      <c r="AL29" s="43">
        <f>('DCF Caylloma'!AL24+'DCF Caylloma'!AL25+'DCF San Jose'!AL22+'DCF San Jose'!AL23+'DCF Lindero'!AL21+'DCF Lindero'!AL22+'DCF Yaramoko'!AL21+'DCF Yaramoko'!AL22)/($N$9+$H$15)</f>
        <v>0</v>
      </c>
      <c r="AM29" s="43">
        <f>('DCF Caylloma'!AM24+'DCF Caylloma'!AM25+'DCF San Jose'!AM22+'DCF San Jose'!AM23+'DCF Lindero'!AM21+'DCF Lindero'!AM22+'DCF Yaramoko'!AM21+'DCF Yaramoko'!AM22)/($N$9+$H$15)</f>
        <v>0</v>
      </c>
      <c r="AN29" s="43">
        <f>('DCF Caylloma'!AN24+'DCF Caylloma'!AN25+'DCF San Jose'!AN22+'DCF San Jose'!AN23+'DCF Lindero'!AN21+'DCF Lindero'!AN22+'DCF Yaramoko'!AN21+'DCF Yaramoko'!AN22)/($N$9+$H$15)</f>
        <v>0</v>
      </c>
      <c r="AO29" s="43">
        <f>('DCF Caylloma'!AO24+'DCF Caylloma'!AO25+'DCF San Jose'!AO22+'DCF San Jose'!AO23+'DCF Lindero'!AO21+'DCF Lindero'!AO22+'DCF Yaramoko'!AO21+'DCF Yaramoko'!AO22)/($N$9+$H$15)</f>
        <v>0</v>
      </c>
      <c r="AP29" s="43">
        <f>('DCF Caylloma'!AP24+'DCF Caylloma'!AP25+'DCF San Jose'!AP22+'DCF San Jose'!AP23+'DCF Lindero'!AP21+'DCF Lindero'!AP22+'DCF Yaramoko'!AP21+'DCF Yaramoko'!AP22)/($N$9+$H$15)</f>
        <v>0</v>
      </c>
      <c r="AQ29" s="43">
        <f>('DCF Caylloma'!AQ24+'DCF Caylloma'!AQ25+'DCF San Jose'!AQ22+'DCF San Jose'!AQ23+'DCF Lindero'!AQ21+'DCF Lindero'!AQ22+'DCF Yaramoko'!AQ21+'DCF Yaramoko'!AQ22)/($N$9+$H$15)</f>
        <v>0</v>
      </c>
      <c r="AR29" s="43">
        <f>('DCF Caylloma'!AR24+'DCF Caylloma'!AR25+'DCF San Jose'!AR22+'DCF San Jose'!AR23+'DCF Lindero'!AR21+'DCF Lindero'!AR22+'DCF Yaramoko'!AR21+'DCF Yaramoko'!AR22)/($N$9+$H$15)</f>
        <v>0</v>
      </c>
      <c r="AS29" s="43">
        <f>('DCF Caylloma'!AS24+'DCF Caylloma'!AS25+'DCF San Jose'!AS22+'DCF San Jose'!AS23+'DCF Lindero'!AS21+'DCF Lindero'!AS22+'DCF Yaramoko'!AS21+'DCF Yaramoko'!AS22)/($N$9+$H$15)</f>
        <v>0</v>
      </c>
      <c r="AT29" s="43">
        <f>('DCF Caylloma'!AT24+'DCF Caylloma'!AT25+'DCF San Jose'!AT22+'DCF San Jose'!AT23+'DCF Lindero'!AT21+'DCF Lindero'!AT22+'DCF Yaramoko'!AT21+'DCF Yaramoko'!AT22)/($N$9+$H$15)</f>
        <v>0</v>
      </c>
      <c r="AU29" s="43">
        <f>('DCF Caylloma'!AU24+'DCF Caylloma'!AU25+'DCF San Jose'!AU22+'DCF San Jose'!AU23+'DCF Lindero'!AU21+'DCF Lindero'!AU22+'DCF Yaramoko'!AU21+'DCF Yaramoko'!AU22)/($N$9+$H$15)</f>
        <v>0</v>
      </c>
      <c r="AV29" s="43">
        <f>('DCF Caylloma'!AV24+'DCF Caylloma'!AV25+'DCF San Jose'!AV22+'DCF San Jose'!AV23+'DCF Lindero'!AV21+'DCF Lindero'!AV22+'DCF Yaramoko'!AV21+'DCF Yaramoko'!AV22)/($N$9+$H$15)</f>
        <v>0</v>
      </c>
      <c r="AW29" s="43">
        <f>('DCF Caylloma'!AW24+'DCF Caylloma'!AW25+'DCF San Jose'!AW22+'DCF San Jose'!AW23+'DCF Lindero'!AW21+'DCF Lindero'!AW22+'DCF Yaramoko'!AW21+'DCF Yaramoko'!AW22)/($N$9+$H$15)</f>
        <v>0</v>
      </c>
      <c r="AX29" s="13"/>
    </row>
    <row r="30" spans="2:52" x14ac:dyDescent="0.25">
      <c r="B30" t="s">
        <v>240</v>
      </c>
      <c r="C30" t="s">
        <v>70</v>
      </c>
      <c r="K30" s="26"/>
      <c r="L30" s="80">
        <f>('DCF Caylloma'!L28+'DCF San Jose'!L26+'DCF Lindero'!L25+'DCF Yaramoko'!L25)/($Y$7+$M$13)</f>
        <v>9.7531622881138938E-2</v>
      </c>
      <c r="M30" s="80">
        <f>('DCF Caylloma'!M28+'DCF San Jose'!M26+'DCF Lindero'!M25+'DCF Yaramoko'!M25)/($Y$7+$M$13)</f>
        <v>9.7531622881138938E-2</v>
      </c>
      <c r="N30" s="80">
        <f>('DCF Caylloma'!N28+'DCF San Jose'!N26+'DCF Lindero'!N25+'DCF Yaramoko'!N25)/($Y$7+$M$13)</f>
        <v>9.7531622881138938E-2</v>
      </c>
      <c r="O30" s="80">
        <f>('DCF Caylloma'!O28+'DCF San Jose'!O26+'DCF Lindero'!O25+'DCF Yaramoko'!O25)/($Y$7+$M$13)</f>
        <v>9.7531622881138938E-2</v>
      </c>
      <c r="P30" s="80">
        <f>('DCF Caylloma'!P28+'DCF San Jose'!P26+'DCF Lindero'!P25+'DCF Yaramoko'!P25)/($Y$7+$M$13)</f>
        <v>9.7531622881138938E-2</v>
      </c>
      <c r="Q30" s="80">
        <f>('DCF Caylloma'!Q28+'DCF San Jose'!Q26+'DCF Lindero'!Q25+'DCF Yaramoko'!Q25)/($Y$7+$M$13)</f>
        <v>9.7531622881138938E-2</v>
      </c>
      <c r="R30" s="80">
        <f>('DCF Caylloma'!R28+'DCF San Jose'!R26+'DCF Lindero'!R25+'DCF Yaramoko'!R25)/($Y$7+$M$13)</f>
        <v>9.7531622881138938E-2</v>
      </c>
      <c r="S30" s="80">
        <f>('DCF Caylloma'!S28+'DCF San Jose'!S26+'DCF Lindero'!S25+'DCF Yaramoko'!S25)/($Y$7+$M$13)</f>
        <v>9.7531622881138938E-2</v>
      </c>
      <c r="T30" s="80">
        <f>('DCF Caylloma'!T28+'DCF San Jose'!T26+'DCF Lindero'!T25+'DCF Yaramoko'!T25)/($Y$7+$M$13)</f>
        <v>9.7531622881138938E-2</v>
      </c>
      <c r="U30" s="80">
        <f>('DCF Caylloma'!U28+'DCF San Jose'!U26+'DCF Lindero'!U25+'DCF Yaramoko'!U25)/($Y$7+$M$13)</f>
        <v>9.7531622881138938E-2</v>
      </c>
      <c r="V30" s="80">
        <f>('DCF Caylloma'!V28+'DCF San Jose'!V26+'DCF Lindero'!V25+'DCF Yaramoko'!V25)/($Y$7+$M$13)</f>
        <v>9.7531622881138938E-2</v>
      </c>
      <c r="W30" s="80">
        <f>('DCF Caylloma'!W28+'DCF San Jose'!W26+'DCF Lindero'!W25+'DCF Yaramoko'!W25)/($Y$7+$M$13)</f>
        <v>9.7531622881138938E-2</v>
      </c>
      <c r="X30" s="80">
        <f>('DCF Caylloma'!X28+'DCF San Jose'!X26+'DCF Lindero'!X25+'DCF Yaramoko'!X25)/($Y$7+$M$13)</f>
        <v>9.7531622881138938E-2</v>
      </c>
      <c r="Y30" s="80">
        <f>('DCF Caylloma'!Y28+'DCF San Jose'!Y26+'DCF Lindero'!Y25+'DCF Yaramoko'!Y25)/($Y$7+$M$13)</f>
        <v>9.7531622881138938E-2</v>
      </c>
      <c r="Z30" s="80">
        <f>('DCF Caylloma'!Z28+'DCF San Jose'!Z26+'DCF Lindero'!Z25+'DCF Yaramoko'!Z25)/($Y$7+$M$13)</f>
        <v>9.7531622881138938E-2</v>
      </c>
      <c r="AA30" s="80">
        <f>('DCF Caylloma'!AA28+'DCF San Jose'!AA26+'DCF Lindero'!AA25+'DCF Yaramoko'!AA25)/($Y$7+$M$13)</f>
        <v>8.511801359624066E-2</v>
      </c>
      <c r="AB30" s="80">
        <f>('DCF Caylloma'!AB28+'DCF San Jose'!AB26+'DCF Lindero'!AB25+'DCF Yaramoko'!AB25)/($Y$7+$M$13)</f>
        <v>7.1539047501500169E-2</v>
      </c>
      <c r="AC30" s="80">
        <f>('DCF Caylloma'!AC28+'DCF San Jose'!AC26+'DCF Lindero'!AC25+'DCF Yaramoko'!AC25)/($Y$7+$M$13)</f>
        <v>5.7960081406759678E-2</v>
      </c>
      <c r="AD30" s="80">
        <f>('DCF Caylloma'!AD28+'DCF San Jose'!AD26+'DCF Lindero'!AD25+'DCF Yaramoko'!AD25)/($Y$7+$M$13)</f>
        <v>4.4343912665184282E-2</v>
      </c>
      <c r="AE30" s="80">
        <f>('DCF Caylloma'!AE28+'DCF San Jose'!AE26+'DCF Lindero'!AE25+'DCF Yaramoko'!AE25)/($Y$7+$M$13)</f>
        <v>3.0764946570443794E-2</v>
      </c>
      <c r="AF30" s="80">
        <f>('DCF Caylloma'!AF28+'DCF San Jose'!AF26+'DCF Lindero'!AF25+'DCF Yaramoko'!AF25)/($Y$7+$M$13)</f>
        <v>1.7185980475703303E-2</v>
      </c>
      <c r="AG30" s="80">
        <f>('DCF Caylloma'!AG28+'DCF San Jose'!AG26+'DCF Lindero'!AG25+'DCF Yaramoko'!AG25)/($Y$7+$M$13)</f>
        <v>3.6070143809628112E-3</v>
      </c>
      <c r="AH30" s="80">
        <f>('DCF Caylloma'!AH28+'DCF San Jose'!AH26+'DCF Lindero'!AH25+'DCF Yaramoko'!AH25)/($Y$7+$M$13)</f>
        <v>0</v>
      </c>
      <c r="AI30" s="80">
        <f>('DCF Caylloma'!AI28+'DCF San Jose'!AI26+'DCF Lindero'!AI25+'DCF Yaramoko'!AI25)/($Y$7+$M$13)</f>
        <v>0</v>
      </c>
      <c r="AJ30" s="80">
        <f>('DCF Caylloma'!AJ28+'DCF San Jose'!AJ26+'DCF Lindero'!AJ25+'DCF Yaramoko'!AJ25)/($Y$7+$M$13)</f>
        <v>0</v>
      </c>
      <c r="AK30" s="80">
        <f>('DCF Caylloma'!AK28+'DCF San Jose'!AK26+'DCF Lindero'!AK25+'DCF Yaramoko'!AK25)/($Y$7+$M$13)</f>
        <v>0</v>
      </c>
      <c r="AL30" s="80">
        <f>('DCF Caylloma'!AL28+'DCF San Jose'!AL26+'DCF Lindero'!AL25+'DCF Yaramoko'!AL25)/($Y$7+$M$13)</f>
        <v>0</v>
      </c>
      <c r="AM30" s="80">
        <f>('DCF Caylloma'!AM28+'DCF San Jose'!AM26+'DCF Lindero'!AM25+'DCF Yaramoko'!AM25)/($Y$7+$M$13)</f>
        <v>0</v>
      </c>
      <c r="AN30" s="80">
        <f>('DCF Caylloma'!AN28+'DCF San Jose'!AN26+'DCF Lindero'!AN25+'DCF Yaramoko'!AN25)/($Y$7+$M$13)</f>
        <v>0</v>
      </c>
      <c r="AO30" s="80">
        <f>('DCF Caylloma'!AO28+'DCF San Jose'!AO26+'DCF Lindero'!AO25+'DCF Yaramoko'!AO25)/($Y$7+$M$13)</f>
        <v>0</v>
      </c>
      <c r="AP30" s="80">
        <f>('DCF Caylloma'!AP28+'DCF San Jose'!AP26+'DCF Lindero'!AP25+'DCF Yaramoko'!AP25)/($Y$7+$M$13)</f>
        <v>0</v>
      </c>
      <c r="AQ30" s="80">
        <f>('DCF Caylloma'!AQ28+'DCF San Jose'!AQ26+'DCF Lindero'!AQ25+'DCF Yaramoko'!AQ25)/($Y$7+$M$13)</f>
        <v>0</v>
      </c>
      <c r="AR30" s="80">
        <f>('DCF Caylloma'!AR28+'DCF San Jose'!AR26+'DCF Lindero'!AR25+'DCF Yaramoko'!AR25)/($Y$7+$M$13)</f>
        <v>0</v>
      </c>
      <c r="AS30" s="80">
        <f>('DCF Caylloma'!AS28+'DCF San Jose'!AS26+'DCF Lindero'!AS25+'DCF Yaramoko'!AS25)/($Y$7+$M$13)</f>
        <v>0</v>
      </c>
      <c r="AT30" s="80">
        <f>('DCF Caylloma'!AT28+'DCF San Jose'!AT26+'DCF Lindero'!AT25+'DCF Yaramoko'!AT25)/($Y$7+$M$13)</f>
        <v>0</v>
      </c>
      <c r="AU30" s="80">
        <f>('DCF Caylloma'!AU28+'DCF San Jose'!AU26+'DCF Lindero'!AU25+'DCF Yaramoko'!AU25)/($Y$7+$M$13)</f>
        <v>0</v>
      </c>
      <c r="AV30" s="80">
        <f>('DCF Caylloma'!AV28+'DCF San Jose'!AV26+'DCF Lindero'!AV25+'DCF Yaramoko'!AV25)/($Y$7+$M$13)</f>
        <v>0</v>
      </c>
      <c r="AW30" s="80">
        <f>('DCF Caylloma'!AW28+'DCF San Jose'!AW26+'DCF Lindero'!AW25+'DCF Yaramoko'!AW25)/($Y$7+$M$13)</f>
        <v>0</v>
      </c>
      <c r="AX30" s="13"/>
    </row>
    <row r="31" spans="2:52" x14ac:dyDescent="0.25">
      <c r="K31" s="26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2:52" ht="15.75" thickBot="1" x14ac:dyDescent="0.3">
      <c r="B32" s="14" t="s">
        <v>61</v>
      </c>
      <c r="K32" s="26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2:50" x14ac:dyDescent="0.25">
      <c r="B33" t="s">
        <v>62</v>
      </c>
      <c r="C33" t="s">
        <v>63</v>
      </c>
      <c r="E33" s="6">
        <f>E34/365</f>
        <v>4384.915068493151</v>
      </c>
      <c r="F33" s="6">
        <f t="shared" ref="F33:I33" si="7">F34/365</f>
        <v>4315.7561643835616</v>
      </c>
      <c r="G33" s="6">
        <f t="shared" si="7"/>
        <v>4383.6410958904107</v>
      </c>
      <c r="H33" s="6">
        <f>H34/366</f>
        <v>8345.4316939890705</v>
      </c>
      <c r="I33" s="6">
        <f t="shared" si="7"/>
        <v>22721.769863013698</v>
      </c>
      <c r="J33" s="6">
        <f>J34/90</f>
        <v>20080.488888888889</v>
      </c>
      <c r="K33" s="15">
        <f>AVERAGEIF(L33:AW33,"&gt;0")</f>
        <v>19924.247173864831</v>
      </c>
      <c r="L33" s="16">
        <f>L34/91</f>
        <v>24529.344322344325</v>
      </c>
      <c r="M33" s="16">
        <f>M34/92</f>
        <v>24262.721014492756</v>
      </c>
      <c r="N33" s="16">
        <f>N34/92</f>
        <v>22134.949275362316</v>
      </c>
      <c r="O33" s="16">
        <f>O34/90</f>
        <v>23075.547430667575</v>
      </c>
      <c r="P33" s="16">
        <f>P34/275</f>
        <v>23075.547430667575</v>
      </c>
      <c r="Q33" s="16">
        <f>Q34/366</f>
        <v>26490.847977115667</v>
      </c>
      <c r="R33" s="16">
        <f>R34/365</f>
        <v>24997.479716649937</v>
      </c>
      <c r="S33" s="16">
        <f t="shared" ref="S33:AV33" si="8">S34/365</f>
        <v>24372.255921178748</v>
      </c>
      <c r="T33" s="16">
        <f t="shared" si="8"/>
        <v>23088.282032504096</v>
      </c>
      <c r="U33" s="16">
        <f>U34/366</f>
        <v>22163.961349818266</v>
      </c>
      <c r="V33" s="16">
        <f t="shared" si="8"/>
        <v>22354.03545716163</v>
      </c>
      <c r="W33" s="16">
        <f t="shared" si="8"/>
        <v>23088.282032504096</v>
      </c>
      <c r="X33" s="16">
        <f t="shared" si="8"/>
        <v>22674.583402367109</v>
      </c>
      <c r="Y33" s="16">
        <f>Y34/366</f>
        <v>21237.731841621542</v>
      </c>
      <c r="Z33" s="16">
        <f t="shared" si="8"/>
        <v>18786.912169490399</v>
      </c>
      <c r="AA33" s="16">
        <f t="shared" si="8"/>
        <v>18786.912169490399</v>
      </c>
      <c r="AB33" s="16">
        <f t="shared" si="8"/>
        <v>18786.912169490399</v>
      </c>
      <c r="AC33" s="16">
        <f>AC34/366</f>
        <v>18786.912169490395</v>
      </c>
      <c r="AD33" s="16">
        <f t="shared" si="8"/>
        <v>18786.912169490399</v>
      </c>
      <c r="AE33" s="16">
        <f t="shared" si="8"/>
        <v>15015.50942976437</v>
      </c>
      <c r="AF33" s="16">
        <f t="shared" si="8"/>
        <v>1452.9121694903977</v>
      </c>
      <c r="AG33" s="16">
        <f>AG34/366</f>
        <v>384.88617386372027</v>
      </c>
      <c r="AH33" s="16">
        <f t="shared" si="8"/>
        <v>0</v>
      </c>
      <c r="AI33" s="16">
        <f t="shared" si="8"/>
        <v>0</v>
      </c>
      <c r="AJ33" s="16">
        <f t="shared" si="8"/>
        <v>0</v>
      </c>
      <c r="AK33" s="16">
        <f>AK34/366</f>
        <v>0</v>
      </c>
      <c r="AL33" s="16">
        <f t="shared" si="8"/>
        <v>0</v>
      </c>
      <c r="AM33" s="16">
        <f t="shared" si="8"/>
        <v>0</v>
      </c>
      <c r="AN33" s="16">
        <f t="shared" si="8"/>
        <v>0</v>
      </c>
      <c r="AO33" s="16">
        <f>AO34/366</f>
        <v>0</v>
      </c>
      <c r="AP33" s="16">
        <f t="shared" si="8"/>
        <v>0</v>
      </c>
      <c r="AQ33" s="16">
        <f t="shared" si="8"/>
        <v>0</v>
      </c>
      <c r="AR33" s="16">
        <f t="shared" si="8"/>
        <v>0</v>
      </c>
      <c r="AS33" s="16">
        <f>AS34/366</f>
        <v>0</v>
      </c>
      <c r="AT33" s="16">
        <f t="shared" si="8"/>
        <v>0</v>
      </c>
      <c r="AU33" s="16">
        <f t="shared" si="8"/>
        <v>0</v>
      </c>
      <c r="AV33" s="16">
        <f t="shared" si="8"/>
        <v>0</v>
      </c>
      <c r="AW33" s="16">
        <f>AW34/366</f>
        <v>0</v>
      </c>
      <c r="AX33" s="13"/>
    </row>
    <row r="34" spans="2:50" x14ac:dyDescent="0.25">
      <c r="B34" t="s">
        <v>64</v>
      </c>
      <c r="C34" t="s">
        <v>57</v>
      </c>
      <c r="E34" s="6">
        <f>'DCF Caylloma'!E32+'DCF San Jose'!E30</f>
        <v>1600494</v>
      </c>
      <c r="F34" s="6">
        <f>'DCF Caylloma'!F32+'DCF San Jose'!F30</f>
        <v>1575251</v>
      </c>
      <c r="G34" s="6">
        <f>'DCF Caylloma'!G32+'DCF San Jose'!G30</f>
        <v>1600029</v>
      </c>
      <c r="H34" s="6">
        <f>'DCF Caylloma'!H32+'DCF San Jose'!H30+'DCF Lindero'!H29+'DCF Yaramoko'!H29</f>
        <v>3054428</v>
      </c>
      <c r="I34" s="6">
        <f>'DCF Caylloma'!I32+'DCF San Jose'!I30+'DCF Lindero'!I29+'DCF Yaramoko'!I29</f>
        <v>8293446</v>
      </c>
      <c r="J34" s="6">
        <f>'DCF Caylloma'!J32+'DCF San Jose'!J30+'DCF Lindero'!J29+'DCF Yaramoko'!J29</f>
        <v>1807244</v>
      </c>
      <c r="K34" s="15">
        <f>SUM(L34:AW34)</f>
        <v>132270590.00000003</v>
      </c>
      <c r="L34" s="16">
        <f>'DCF Caylloma'!L32+'DCF San Jose'!L30+'DCF Lindero'!L29+'DCF Yaramoko'!L29+'DCF Seguela'!H19</f>
        <v>2232170.3333333335</v>
      </c>
      <c r="M34" s="16">
        <f>'DCF Caylloma'!M32+'DCF San Jose'!M30+'DCF Lindero'!M29+'DCF Yaramoko'!M29+'DCF Seguela'!I19</f>
        <v>2232170.3333333335</v>
      </c>
      <c r="N34" s="16">
        <f>'DCF Caylloma'!N32+'DCF San Jose'!N30+'DCF Lindero'!N29+'DCF Yaramoko'!N29+'DCF Seguela'!J19</f>
        <v>2036415.3333333333</v>
      </c>
      <c r="O34" s="16">
        <f>'DCF Caylloma'!O32+'DCF San Jose'!O30+'DCF Lindero'!O29+'DCF Yaramoko'!O29+'DCF Seguela'!K19</f>
        <v>2076799.2687600818</v>
      </c>
      <c r="P34" s="16">
        <f>'DCF Caylloma'!P32+'DCF San Jose'!P30+'DCF Lindero'!P29+'DCF Yaramoko'!P29+'DCF Seguela'!L19</f>
        <v>6345775.5434335833</v>
      </c>
      <c r="Q34" s="16">
        <f>'DCF Caylloma'!Q32+'DCF San Jose'!Q30+'DCF Lindero'!Q29+'DCF Yaramoko'!Q29+'DCF Seguela'!M19</f>
        <v>9695650.3596243337</v>
      </c>
      <c r="R34" s="16">
        <f>'DCF Caylloma'!R32+'DCF San Jose'!R30+'DCF Lindero'!R29+'DCF Yaramoko'!R29+'DCF Seguela'!N19</f>
        <v>9124080.0965772271</v>
      </c>
      <c r="S34" s="16">
        <f>'DCF Caylloma'!S32+'DCF San Jose'!S30+'DCF Lindero'!S29+'DCF Yaramoko'!S29+'DCF Seguela'!O19</f>
        <v>8895873.4112302437</v>
      </c>
      <c r="T34" s="16">
        <f>'DCF Caylloma'!T32+'DCF San Jose'!T30+'DCF Lindero'!T29+'DCF Yaramoko'!T29+'DCF Seguela'!P19</f>
        <v>8427222.941863995</v>
      </c>
      <c r="U34" s="16">
        <f>'DCF Caylloma'!U32+'DCF San Jose'!U30+'DCF Lindero'!U29+'DCF Yaramoko'!U29+'DCF Seguela'!Q19</f>
        <v>8112009.8540334851</v>
      </c>
      <c r="V34" s="16">
        <f>'DCF Caylloma'!V32+'DCF San Jose'!V30+'DCF Lindero'!V29+'DCF Yaramoko'!V29+'DCF Seguela'!R19</f>
        <v>8159222.941863995</v>
      </c>
      <c r="W34" s="16">
        <f>'DCF Caylloma'!W32+'DCF San Jose'!W30+'DCF Lindero'!W29+'DCF Yaramoko'!W29+'DCF Seguela'!S19</f>
        <v>8427222.941863995</v>
      </c>
      <c r="X34" s="16">
        <f>'DCF Caylloma'!X32+'DCF San Jose'!X30+'DCF Lindero'!X29+'DCF Yaramoko'!X29+'DCF Seguela'!T19</f>
        <v>8276222.941863995</v>
      </c>
      <c r="Y34" s="16">
        <f>'DCF Caylloma'!Y32+'DCF San Jose'!Y30+'DCF Lindero'!Y29+'DCF Yaramoko'!Y29+'DCF Seguela'!U19</f>
        <v>7773009.8540334851</v>
      </c>
      <c r="Z34" s="16">
        <f>'DCF Caylloma'!Z32+'DCF San Jose'!Z30+'DCF Lindero'!Z29+'DCF Yaramoko'!Z29+'DCF Seguela'!V19</f>
        <v>6857222.941863995</v>
      </c>
      <c r="AA34" s="16">
        <f>'DCF Caylloma'!AA32+'DCF San Jose'!AA30+'DCF Lindero'!AA29+'DCF Yaramoko'!AA29+'DCF Seguela'!W19</f>
        <v>6857222.941863995</v>
      </c>
      <c r="AB34" s="16">
        <f>'DCF Caylloma'!AB32+'DCF San Jose'!AB30+'DCF Lindero'!AB29+'DCF Yaramoko'!AB29+'DCF Seguela'!X19</f>
        <v>6857222.941863995</v>
      </c>
      <c r="AC34" s="16">
        <f>'DCF Caylloma'!AC32+'DCF San Jose'!AC30+'DCF Lindero'!AC29+'DCF Yaramoko'!AC29+'DCF Seguela'!Y19</f>
        <v>6876009.8540334851</v>
      </c>
      <c r="AD34" s="16">
        <f>'DCF Caylloma'!AD32+'DCF San Jose'!AD30+'DCF Lindero'!AD29+'DCF Yaramoko'!AD29+'DCF Seguela'!Z19</f>
        <v>6857222.941863995</v>
      </c>
      <c r="AE34" s="16">
        <f>'DCF Caylloma'!AE32+'DCF San Jose'!AE30+'DCF Lindero'!AE29+'DCF Yaramoko'!AE29+'DCF Seguela'!AA19</f>
        <v>5480660.941863995</v>
      </c>
      <c r="AF34" s="16">
        <f>'DCF Caylloma'!AF32+'DCF San Jose'!AF30+'DCF Lindero'!AF29+'DCF Yaramoko'!AF29+'DCF Seguela'!AB19</f>
        <v>530312.94186399516</v>
      </c>
      <c r="AG34" s="16">
        <f>'DCF Caylloma'!AG32+'DCF San Jose'!AG30+'DCF Lindero'!AG29+'DCF Yaramoko'!AG29+'DCF Seguela'!AC19</f>
        <v>140868.33963412163</v>
      </c>
      <c r="AH34" s="16">
        <f>'DCF Caylloma'!AH32+'DCF San Jose'!AH30+'DCF Lindero'!AH29+'DCF Yaramoko'!AH29+'DCF Seguela'!AD19</f>
        <v>0</v>
      </c>
      <c r="AI34" s="16">
        <f>'DCF Caylloma'!AI32+'DCF San Jose'!AI30+'DCF Lindero'!AI29+'DCF Yaramoko'!AI29+'DCF Seguela'!AE19</f>
        <v>0</v>
      </c>
      <c r="AJ34" s="16">
        <f>'DCF Caylloma'!AJ32+'DCF San Jose'!AJ30+'DCF Lindero'!AJ29+'DCF Yaramoko'!AJ29+'DCF Seguela'!AF19</f>
        <v>0</v>
      </c>
      <c r="AK34" s="16">
        <f>'DCF Caylloma'!AK32+'DCF San Jose'!AK30+'DCF Lindero'!AK29+'DCF Yaramoko'!AK29+'DCF Seguela'!AG19</f>
        <v>0</v>
      </c>
      <c r="AL34" s="16">
        <f>'DCF Caylloma'!AL32+'DCF San Jose'!AL30+'DCF Lindero'!AL29+'DCF Yaramoko'!AL29+'DCF Seguela'!AH19</f>
        <v>0</v>
      </c>
      <c r="AM34" s="16">
        <f>'DCF Caylloma'!AM32+'DCF San Jose'!AM30+'DCF Lindero'!AM29+'DCF Yaramoko'!AM29+'DCF Seguela'!AI19</f>
        <v>0</v>
      </c>
      <c r="AN34" s="16">
        <f>'DCF Caylloma'!AN32+'DCF San Jose'!AN30+'DCF Lindero'!AN29+'DCF Yaramoko'!AN29+'DCF Seguela'!AJ19</f>
        <v>0</v>
      </c>
      <c r="AO34" s="16">
        <f>'DCF Caylloma'!AO32+'DCF San Jose'!AO30+'DCF Lindero'!AO29+'DCF Yaramoko'!AO29+'DCF Seguela'!AK19</f>
        <v>0</v>
      </c>
      <c r="AP34" s="16">
        <f>'DCF Caylloma'!AP32+'DCF San Jose'!AP30+'DCF Lindero'!AP29+'DCF Yaramoko'!AP29+'DCF Seguela'!AL19</f>
        <v>0</v>
      </c>
      <c r="AQ34" s="16">
        <f>'DCF Caylloma'!AQ32+'DCF San Jose'!AQ30+'DCF Lindero'!AQ29+'DCF Yaramoko'!AQ29+'DCF Seguela'!AM19</f>
        <v>0</v>
      </c>
      <c r="AR34" s="16">
        <f>'DCF Caylloma'!AR32+'DCF San Jose'!AR30+'DCF Lindero'!AR29+'DCF Yaramoko'!AR29+'DCF Seguela'!AN19</f>
        <v>0</v>
      </c>
      <c r="AS34" s="16">
        <f>'DCF Caylloma'!AS32+'DCF San Jose'!AS30+'DCF Lindero'!AS29+'DCF Yaramoko'!AS29+'DCF Seguela'!AO19</f>
        <v>0</v>
      </c>
      <c r="AT34" s="16">
        <f>'DCF Caylloma'!AT32+'DCF San Jose'!AT30+'DCF Lindero'!AT29+'DCF Yaramoko'!AT29+'DCF Seguela'!AP19</f>
        <v>0</v>
      </c>
      <c r="AU34" s="16">
        <f>'DCF Caylloma'!AU32+'DCF San Jose'!AU30+'DCF Lindero'!AU29+'DCF Yaramoko'!AU29+'DCF Seguela'!AQ19</f>
        <v>0</v>
      </c>
      <c r="AV34" s="16">
        <f>'DCF Caylloma'!AV32+'DCF San Jose'!AV30+'DCF Lindero'!AV29+'DCF Yaramoko'!AV29+'DCF Seguela'!AR19</f>
        <v>0</v>
      </c>
      <c r="AW34" s="16">
        <f>'DCF Caylloma'!AW32+'DCF San Jose'!AW30+'DCF Lindero'!AW29+'DCF Yaramoko'!AW29+'DCF Seguela'!AS19</f>
        <v>0</v>
      </c>
      <c r="AX34" s="13"/>
    </row>
    <row r="35" spans="2:50" x14ac:dyDescent="0.25">
      <c r="B35" t="s">
        <v>242</v>
      </c>
      <c r="C35" t="s">
        <v>66</v>
      </c>
      <c r="E35" s="10">
        <f>('DCF Caylloma'!E32*'DCF Caylloma'!E33+'DCF San Jose'!E30*'DCF San Jose'!E31)/('DCF San Jose'!E30+'DCF Caylloma'!E32)</f>
        <v>181.07439578030284</v>
      </c>
      <c r="F35" s="10">
        <f>('DCF Caylloma'!F32*'DCF Caylloma'!F33+'DCF San Jose'!F30*'DCF San Jose'!F31)/('DCF San Jose'!F30+'DCF Caylloma'!F32)</f>
        <v>193.12159078140564</v>
      </c>
      <c r="G35" s="10">
        <f>('DCF Caylloma'!G32*'DCF Caylloma'!G33+'DCF San Jose'!G30*'DCF San Jose'!G31)/('DCF San Jose'!G30+'DCF Caylloma'!G32)</f>
        <v>190.23668071016212</v>
      </c>
      <c r="H35" s="10">
        <f>('DCF Caylloma'!H32*'DCF Caylloma'!H33+'DCF San Jose'!H30*'DCF San Jose'!H31)/('DCF San Jose'!H30+'DCF Caylloma'!H32)</f>
        <v>170.32675079685524</v>
      </c>
      <c r="I35" s="10">
        <f>('DCF Caylloma'!I32*'DCF Caylloma'!I33+'DCF San Jose'!I30*'DCF San Jose'!I31)/('DCF San Jose'!I30+'DCF Caylloma'!I32)</f>
        <v>163.58972201858018</v>
      </c>
      <c r="J35" s="10">
        <f>('DCF Caylloma'!J32*'DCF Caylloma'!J33+'DCF San Jose'!J30*'DCF San Jose'!J31)/('DCF San Jose'!J30+'DCF Caylloma'!J32)</f>
        <v>151.81510530062238</v>
      </c>
      <c r="K35" s="15">
        <f>AVERAGEIF(L35:AW35,"&gt;0")</f>
        <v>112.37604710210285</v>
      </c>
      <c r="L35" s="41">
        <f>IFERROR(('DCF Caylloma'!L32*'DCF Caylloma'!L33+'DCF San Jose'!L30*'DCF San Jose'!L31)/('DCF San Jose'!L30+'DCF Caylloma'!L32),0)</f>
        <v>145.92271607533107</v>
      </c>
      <c r="M35" s="41">
        <f>IFERROR(('DCF Caylloma'!M32*'DCF Caylloma'!M33+'DCF San Jose'!M30*'DCF San Jose'!M31)/('DCF San Jose'!M30+'DCF Caylloma'!M32),0)</f>
        <v>140.30388281467862</v>
      </c>
      <c r="N35" s="41">
        <f>IFERROR(('DCF Caylloma'!N32*'DCF Caylloma'!N33+'DCF San Jose'!N30*'DCF San Jose'!N31)/('DCF San Jose'!N30+'DCF Caylloma'!N32),0)</f>
        <v>140.30388281467862</v>
      </c>
      <c r="O35" s="41">
        <f>IFERROR(('DCF Caylloma'!O32*'DCF Caylloma'!O33+'DCF San Jose'!O30*'DCF San Jose'!O31)/('DCF San Jose'!O30+'DCF Caylloma'!O32),0)</f>
        <v>147.40335961312798</v>
      </c>
      <c r="P35" s="41">
        <f>IFERROR(('DCF Caylloma'!P32*'DCF Caylloma'!P33+'DCF San Jose'!P30*'DCF San Jose'!P31)/('DCF San Jose'!P30+'DCF Caylloma'!P32),0)</f>
        <v>147.40335961312798</v>
      </c>
      <c r="Q35" s="41">
        <f>IFERROR(('DCF Caylloma'!Q32*'DCF Caylloma'!Q33+'DCF San Jose'!Q30*'DCF San Jose'!Q31)/('DCF San Jose'!Q30+'DCF Caylloma'!Q32),0)</f>
        <v>139.17639463067778</v>
      </c>
      <c r="R35" s="41">
        <f>IFERROR(('DCF Caylloma'!R32*'DCF Caylloma'!R33+'DCF San Jose'!R30*'DCF San Jose'!R31)/('DCF San Jose'!R30+'DCF Caylloma'!R32),0)</f>
        <v>90.273942521194726</v>
      </c>
      <c r="S35" s="41">
        <f>IFERROR(('DCF Caylloma'!S32*'DCF Caylloma'!S33+'DCF San Jose'!S30*'DCF San Jose'!S31)/('DCF San Jose'!S30+'DCF Caylloma'!S32),0)</f>
        <v>83</v>
      </c>
      <c r="T35" s="41">
        <f>IFERROR(('DCF Caylloma'!T32*'DCF Caylloma'!T33+'DCF San Jose'!T30*'DCF San Jose'!T31)/('DCF San Jose'!T30+'DCF Caylloma'!T32),0)</f>
        <v>83.475656317128355</v>
      </c>
      <c r="U35" s="41">
        <f>IFERROR(('DCF Caylloma'!U32*'DCF Caylloma'!U33+'DCF San Jose'!U30*'DCF San Jose'!U31)/('DCF San Jose'!U30+'DCF Caylloma'!U32),0)</f>
        <v>97</v>
      </c>
      <c r="V35" s="41">
        <f>IFERROR(('DCF Caylloma'!V32*'DCF Caylloma'!V33+'DCF San Jose'!V30*'DCF San Jose'!V31)/('DCF San Jose'!V30+'DCF Caylloma'!V32),0)</f>
        <v>86.927746733787856</v>
      </c>
      <c r="W35" s="41">
        <f>IFERROR(('DCF Caylloma'!W32*'DCF Caylloma'!W33+'DCF San Jose'!W30*'DCF San Jose'!W31)/('DCF San Jose'!W30+'DCF Caylloma'!W32),0)</f>
        <v>82</v>
      </c>
      <c r="X35" s="41">
        <f>IFERROR(('DCF Caylloma'!X32*'DCF Caylloma'!X33+'DCF San Jose'!X30*'DCF San Jose'!X31)/('DCF San Jose'!X30+'DCF Caylloma'!X32),0)</f>
        <v>82</v>
      </c>
      <c r="Y35" s="41">
        <f>IFERROR(('DCF Caylloma'!Y32*'DCF Caylloma'!Y33+'DCF San Jose'!Y30*'DCF San Jose'!Y31)/('DCF San Jose'!Y30+'DCF Caylloma'!Y32),0)</f>
        <v>82</v>
      </c>
      <c r="Z35" s="41">
        <f>IFERROR(('DCF Caylloma'!Z32*'DCF Caylloma'!Z33+'DCF San Jose'!Z30*'DCF San Jose'!Z31)/('DCF San Jose'!Z30+'DCF Caylloma'!Z32),0)</f>
        <v>113.08209511252977</v>
      </c>
      <c r="AA35" s="41">
        <f>IFERROR(('DCF Caylloma'!AA32*'DCF Caylloma'!AA33+'DCF San Jose'!AA30*'DCF San Jose'!AA31)/('DCF San Jose'!AA30+'DCF Caylloma'!AA32),0)</f>
        <v>116</v>
      </c>
      <c r="AB35" s="41">
        <f>IFERROR(('DCF Caylloma'!AB32*'DCF Caylloma'!AB33+'DCF San Jose'!AB30*'DCF San Jose'!AB31)/('DCF San Jose'!AB30+'DCF Caylloma'!AB32),0)</f>
        <v>116</v>
      </c>
      <c r="AC35" s="41">
        <f>IFERROR(('DCF Caylloma'!AC32*'DCF Caylloma'!AC33+'DCF San Jose'!AC30*'DCF San Jose'!AC31)/('DCF San Jose'!AC30+'DCF Caylloma'!AC32),0)</f>
        <v>116</v>
      </c>
      <c r="AD35" s="41">
        <f>IFERROR(('DCF Caylloma'!AD32*'DCF Caylloma'!AD33+'DCF San Jose'!AD30*'DCF San Jose'!AD31)/('DCF San Jose'!AD30+'DCF Caylloma'!AD32),0)</f>
        <v>116</v>
      </c>
      <c r="AE35" s="41">
        <f>IFERROR(('DCF Caylloma'!AE32*'DCF Caylloma'!AE33+'DCF San Jose'!AE30*'DCF San Jose'!AE31)/('DCF San Jose'!AE30+'DCF Caylloma'!AE32),0)</f>
        <v>116</v>
      </c>
      <c r="AF35" s="41">
        <f>IFERROR(('DCF Caylloma'!AF32*'DCF Caylloma'!AF33+'DCF San Jose'!AF30*'DCF San Jose'!AF31)/('DCF San Jose'!AF30+'DCF Caylloma'!AF32),0)</f>
        <v>116</v>
      </c>
      <c r="AG35" s="41">
        <f>IFERROR(('DCF Caylloma'!AG32*'DCF Caylloma'!AG33+'DCF San Jose'!AG30*'DCF San Jose'!AG31)/('DCF San Jose'!AG30+'DCF Caylloma'!AG32),0)</f>
        <v>116</v>
      </c>
      <c r="AH35" s="41">
        <f>IFERROR(('DCF Caylloma'!AH32*'DCF Caylloma'!AH33+'DCF San Jose'!AH30*'DCF San Jose'!AH31)/('DCF San Jose'!AH30+'DCF Caylloma'!AH32),0)</f>
        <v>0</v>
      </c>
      <c r="AI35" s="41">
        <f>IFERROR(('DCF Caylloma'!AI32*'DCF Caylloma'!AI33+'DCF San Jose'!AI30*'DCF San Jose'!AI31)/('DCF San Jose'!AI30+'DCF Caylloma'!AI32),0)</f>
        <v>0</v>
      </c>
      <c r="AJ35" s="41">
        <f>IFERROR(('DCF Caylloma'!AJ32*'DCF Caylloma'!AJ33+'DCF San Jose'!AJ30*'DCF San Jose'!AJ31)/('DCF San Jose'!AJ30+'DCF Caylloma'!AJ32),0)</f>
        <v>0</v>
      </c>
      <c r="AK35" s="41">
        <f>IFERROR(('DCF Caylloma'!AK32*'DCF Caylloma'!AK33+'DCF San Jose'!AK30*'DCF San Jose'!AK31)/('DCF San Jose'!AK30+'DCF Caylloma'!AK32),0)</f>
        <v>0</v>
      </c>
      <c r="AL35" s="41">
        <f>IFERROR(('DCF Caylloma'!AL32*'DCF Caylloma'!AL33+'DCF San Jose'!AL30*'DCF San Jose'!AL31)/('DCF San Jose'!AL30+'DCF Caylloma'!AL32),0)</f>
        <v>0</v>
      </c>
      <c r="AM35" s="41">
        <f>IFERROR(('DCF Caylloma'!AM32*'DCF Caylloma'!AM33+'DCF San Jose'!AM30*'DCF San Jose'!AM31)/('DCF San Jose'!AM30+'DCF Caylloma'!AM32),0)</f>
        <v>0</v>
      </c>
      <c r="AN35" s="41">
        <f>IFERROR(('DCF Caylloma'!AN32*'DCF Caylloma'!AN33+'DCF San Jose'!AN30*'DCF San Jose'!AN31)/('DCF San Jose'!AN30+'DCF Caylloma'!AN32),0)</f>
        <v>0</v>
      </c>
      <c r="AO35" s="41">
        <f>IFERROR(('DCF Caylloma'!AO32*'DCF Caylloma'!AO33+'DCF San Jose'!AO30*'DCF San Jose'!AO31)/('DCF San Jose'!AO30+'DCF Caylloma'!AO32),0)</f>
        <v>0</v>
      </c>
      <c r="AP35" s="41">
        <f>IFERROR(('DCF Caylloma'!AP32*'DCF Caylloma'!AP33+'DCF San Jose'!AP30*'DCF San Jose'!AP31)/('DCF San Jose'!AP30+'DCF Caylloma'!AP32),0)</f>
        <v>0</v>
      </c>
      <c r="AQ35" s="41">
        <f>IFERROR(('DCF Caylloma'!AQ32*'DCF Caylloma'!AQ33+'DCF San Jose'!AQ30*'DCF San Jose'!AQ31)/('DCF San Jose'!AQ30+'DCF Caylloma'!AQ32),0)</f>
        <v>0</v>
      </c>
      <c r="AR35" s="41">
        <f>IFERROR(('DCF Caylloma'!AR32*'DCF Caylloma'!AR33+'DCF San Jose'!AR30*'DCF San Jose'!AR31)/('DCF San Jose'!AR30+'DCF Caylloma'!AR32),0)</f>
        <v>0</v>
      </c>
      <c r="AS35" s="41">
        <f>IFERROR(('DCF Caylloma'!AS32*'DCF Caylloma'!AS33+'DCF San Jose'!AS30*'DCF San Jose'!AS31)/('DCF San Jose'!AS30+'DCF Caylloma'!AS32),0)</f>
        <v>0</v>
      </c>
      <c r="AT35" s="41">
        <f>IFERROR(('DCF Caylloma'!AT32*'DCF Caylloma'!AT33+'DCF San Jose'!AT30*'DCF San Jose'!AT31)/('DCF San Jose'!AT30+'DCF Caylloma'!AT32),0)</f>
        <v>0</v>
      </c>
      <c r="AU35" s="41">
        <f>IFERROR(('DCF Caylloma'!AU32*'DCF Caylloma'!AU33+'DCF San Jose'!AU30*'DCF San Jose'!AU31)/('DCF San Jose'!AU30+'DCF Caylloma'!AU32),0)</f>
        <v>0</v>
      </c>
      <c r="AV35" s="41">
        <f>IFERROR(('DCF Caylloma'!AV32*'DCF Caylloma'!AV33+'DCF San Jose'!AV30*'DCF San Jose'!AV31)/('DCF San Jose'!AV30+'DCF Caylloma'!AV32),0)</f>
        <v>0</v>
      </c>
      <c r="AW35" s="41">
        <f>IFERROR(('DCF Caylloma'!AW32*'DCF Caylloma'!AW33+'DCF San Jose'!AW30*'DCF San Jose'!AW31)/('DCF San Jose'!AW30+'DCF Caylloma'!AW32),0)</f>
        <v>0</v>
      </c>
      <c r="AX35" s="13"/>
    </row>
    <row r="36" spans="2:50" x14ac:dyDescent="0.25">
      <c r="B36" t="s">
        <v>243</v>
      </c>
      <c r="C36" t="s">
        <v>66</v>
      </c>
      <c r="E36" s="11">
        <f>('DCF Caylloma'!E32*'DCF Caylloma'!E34+'DCF San Jose'!E30*'DCF San Jose'!E32+'DCF Lindero'!E29*'DCF Lindero'!E30+'DCF Yaramoko'!E29*'DCF Yaramoko'!E30)/('DCF Yaramoko'!E29+'DCF Lindero'!E29+'DCF San Jose'!E30+'DCF Caylloma'!E32)</f>
        <v>1.1841958170414886</v>
      </c>
      <c r="F36" s="11">
        <f>('DCF Caylloma'!F32*'DCF Caylloma'!F34+'DCF San Jose'!F30*'DCF San Jose'!F32+'DCF Lindero'!F29*'DCF Lindero'!F30+'DCF Yaramoko'!F29*'DCF Yaramoko'!F30)/('DCF Yaramoko'!F29+'DCF Lindero'!F29+'DCF San Jose'!F30+'DCF Caylloma'!F32)</f>
        <v>1.1559024561799993</v>
      </c>
      <c r="G36" s="11">
        <f>('DCF Caylloma'!G32*'DCF Caylloma'!G34+'DCF San Jose'!G30*'DCF San Jose'!G32+'DCF Lindero'!G29*'DCF Lindero'!G30+'DCF Yaramoko'!G29*'DCF Yaramoko'!G30)/('DCF Yaramoko'!G29+'DCF Lindero'!G29+'DCF San Jose'!G30+'DCF Caylloma'!G32)</f>
        <v>1.0486644554567448</v>
      </c>
      <c r="H36" s="11">
        <f>('DCF Caylloma'!H32*'DCF Caylloma'!H34+'DCF San Jose'!H30*'DCF San Jose'!H32+'DCF Lindero'!H29*'DCF Lindero'!H30+'DCF Yaramoko'!H29*'DCF Yaramoko'!H30)/('DCF Yaramoko'!H29+'DCF Lindero'!H29+'DCF San Jose'!H30+'DCF Caylloma'!H32)</f>
        <v>1.0177241205227296</v>
      </c>
      <c r="I36" s="11">
        <f>('DCF Caylloma'!I32*'DCF Caylloma'!I34+'DCF San Jose'!I30*'DCF San Jose'!I32+'DCF Lindero'!I29*'DCF Lindero'!I30+'DCF Yaramoko'!I29*'DCF Yaramoko'!I30)/('DCF Yaramoko'!I29+'DCF Lindero'!I29+'DCF San Jose'!I30+'DCF Caylloma'!I32)</f>
        <v>1.1634242352334603</v>
      </c>
      <c r="J36" s="11">
        <f>('DCF Caylloma'!J32*'DCF Caylloma'!J34+'DCF San Jose'!J30*'DCF San Jose'!J32+'DCF Lindero'!J29*'DCF Lindero'!J30+'DCF Yaramoko'!J29*'DCF Yaramoko'!J30)/('DCF Yaramoko'!J29+'DCF Lindero'!J29+'DCF San Jose'!J30+'DCF Caylloma'!J32)</f>
        <v>1.3306484071879612</v>
      </c>
      <c r="K36" s="25">
        <f t="shared" ref="K36:K38" si="9">AVERAGEIF(L36:AW36,"&gt;0")</f>
        <v>0.84763137993302251</v>
      </c>
      <c r="L36" s="24">
        <f>IFERROR(('DCF Caylloma'!L32*'DCF Caylloma'!L34+'DCF San Jose'!L30*'DCF San Jose'!L32+'DCF Lindero'!L29*'DCF Lindero'!L30+'DCF Yaramoko'!L29*'DCF Yaramoko'!L30+'DCF Seguela'!H19*'DCF Seguela'!H20)/('DCF Seguela'!H19+'DCF Yaramoko'!L29+'DCF Lindero'!L29+'DCF San Jose'!L30+'DCF Caylloma'!L32),0)</f>
        <v>1.1004580805698077</v>
      </c>
      <c r="M36" s="24">
        <f>IFERROR(('DCF Caylloma'!M32*'DCF Caylloma'!M34+'DCF San Jose'!M30*'DCF San Jose'!M32+'DCF Lindero'!M29*'DCF Lindero'!M30+'DCF Yaramoko'!M29*'DCF Yaramoko'!M30+'DCF Seguela'!I19*'DCF Seguela'!I20)/('DCF Seguela'!I19+'DCF Yaramoko'!M29+'DCF Lindero'!M29+'DCF San Jose'!M30+'DCF Caylloma'!M32),0)</f>
        <v>1.0954598688144626</v>
      </c>
      <c r="N36" s="24">
        <f>IFERROR(('DCF Caylloma'!N32*'DCF Caylloma'!N34+'DCF San Jose'!N30*'DCF San Jose'!N32+'DCF Lindero'!N29*'DCF Lindero'!N30+'DCF Yaramoko'!N29*'DCF Yaramoko'!N30+'DCF Seguela'!J19*'DCF Seguela'!J20)/('DCF Seguela'!J19+'DCF Yaramoko'!N29+'DCF Lindero'!N29+'DCF San Jose'!N30+'DCF Caylloma'!N32),0)</f>
        <v>1.1258934419813493</v>
      </c>
      <c r="O36" s="24">
        <f>IFERROR(('DCF Caylloma'!O32*'DCF Caylloma'!O34+'DCF San Jose'!O30*'DCF San Jose'!O32+'DCF Lindero'!O29*'DCF Lindero'!O30+'DCF Yaramoko'!O29*'DCF Yaramoko'!O30+'DCF Seguela'!K19*'DCF Seguela'!K20)/('DCF Seguela'!K19+'DCF Yaramoko'!O29+'DCF Lindero'!O29+'DCF San Jose'!O30+'DCF Caylloma'!O32),0)</f>
        <v>1.1000439524546928</v>
      </c>
      <c r="P36" s="24">
        <f>IFERROR(('DCF Caylloma'!P32*'DCF Caylloma'!P34+'DCF San Jose'!P30*'DCF San Jose'!P32+'DCF Lindero'!P29*'DCF Lindero'!P30+'DCF Yaramoko'!P29*'DCF Yaramoko'!P30+'DCF Seguela'!L19*'DCF Seguela'!L20)/('DCF Seguela'!L19+'DCF Yaramoko'!P29+'DCF Lindero'!P29+'DCF San Jose'!P30+'DCF Caylloma'!P32),0)</f>
        <v>1.100043952454693</v>
      </c>
      <c r="Q36" s="24">
        <f>IFERROR(('DCF Caylloma'!Q32*'DCF Caylloma'!Q34+'DCF San Jose'!Q30*'DCF San Jose'!Q32+'DCF Lindero'!Q29*'DCF Lindero'!Q30+'DCF Yaramoko'!Q29*'DCF Yaramoko'!Q30+'DCF Seguela'!M19*'DCF Seguela'!M20)/('DCF Seguela'!M19+'DCF Yaramoko'!Q29+'DCF Lindero'!Q29+'DCF San Jose'!Q30+'DCF Caylloma'!Q32),0)</f>
        <v>1.301763958722211</v>
      </c>
      <c r="R36" s="24">
        <f>IFERROR(('DCF Caylloma'!R32*'DCF Caylloma'!R34+'DCF San Jose'!R30*'DCF San Jose'!R32+'DCF Lindero'!R29*'DCF Lindero'!R30+'DCF Yaramoko'!R29*'DCF Yaramoko'!R30+'DCF Seguela'!N19*'DCF Seguela'!N20)/('DCF Seguela'!N19+'DCF Yaramoko'!R29+'DCF Lindero'!R29+'DCF San Jose'!R30+'DCF Caylloma'!R32),0)</f>
        <v>1.4441278394786448</v>
      </c>
      <c r="S36" s="24">
        <f>IFERROR(('DCF Caylloma'!S32*'DCF Caylloma'!S34+'DCF San Jose'!S30*'DCF San Jose'!S32+'DCF Lindero'!S29*'DCF Lindero'!S30+'DCF Yaramoko'!S29*'DCF Yaramoko'!S30+'DCF Seguela'!O19*'DCF Seguela'!O20)/('DCF Seguela'!O19+'DCF Yaramoko'!S29+'DCF Lindero'!S29+'DCF San Jose'!S30+'DCF Caylloma'!S32),0)</f>
        <v>1.2354291763427192</v>
      </c>
      <c r="T36" s="24">
        <f>IFERROR(('DCF Caylloma'!T32*'DCF Caylloma'!T34+'DCF San Jose'!T30*'DCF San Jose'!T32+'DCF Lindero'!T29*'DCF Lindero'!T30+'DCF Yaramoko'!T29*'DCF Yaramoko'!T30+'DCF Seguela'!P19*'DCF Seguela'!P20)/('DCF Seguela'!P19+'DCF Yaramoko'!T29+'DCF Lindero'!T29+'DCF San Jose'!T30+'DCF Caylloma'!T32),0)</f>
        <v>0.99889660689522963</v>
      </c>
      <c r="U36" s="24">
        <f>IFERROR(('DCF Caylloma'!U32*'DCF Caylloma'!U34+'DCF San Jose'!U30*'DCF San Jose'!U32+'DCF Lindero'!U29*'DCF Lindero'!U30+'DCF Yaramoko'!U29*'DCF Yaramoko'!U30+'DCF Seguela'!Q19*'DCF Seguela'!Q20)/('DCF Seguela'!Q19+'DCF Yaramoko'!U29+'DCF Lindero'!U29+'DCF San Jose'!U30+'DCF Caylloma'!U32),0)</f>
        <v>0.93350598022339704</v>
      </c>
      <c r="V36" s="24">
        <f>IFERROR(('DCF Caylloma'!V32*'DCF Caylloma'!V34+'DCF San Jose'!V30*'DCF San Jose'!V32+'DCF Lindero'!V29*'DCF Lindero'!V30+'DCF Yaramoko'!V29*'DCF Yaramoko'!V30+'DCF Seguela'!R19*'DCF Seguela'!R20)/('DCF Seguela'!R19+'DCF Yaramoko'!V29+'DCF Lindero'!V29+'DCF San Jose'!V30+'DCF Caylloma'!V32),0)</f>
        <v>1.0015830081765258</v>
      </c>
      <c r="W36" s="24">
        <f>IFERROR(('DCF Caylloma'!W32*'DCF Caylloma'!W34+'DCF San Jose'!W30*'DCF San Jose'!W32+'DCF Lindero'!W29*'DCF Lindero'!W30+'DCF Yaramoko'!W29*'DCF Yaramoko'!W30+'DCF Seguela'!S19*'DCF Seguela'!S20)/('DCF Seguela'!S19+'DCF Yaramoko'!W29+'DCF Lindero'!W29+'DCF San Jose'!W30+'DCF Caylloma'!W32),0)</f>
        <v>0.77257210957412836</v>
      </c>
      <c r="X36" s="24">
        <f>IFERROR(('DCF Caylloma'!X32*'DCF Caylloma'!X34+'DCF San Jose'!X30*'DCF San Jose'!X32+'DCF Lindero'!X29*'DCF Lindero'!X30+'DCF Yaramoko'!X29*'DCF Yaramoko'!X30+'DCF Seguela'!T19*'DCF Seguela'!T20)/('DCF Seguela'!T19+'DCF Yaramoko'!X29+'DCF Lindero'!X29+'DCF San Jose'!X30+'DCF Caylloma'!X32),0)</f>
        <v>0.76174209543797955</v>
      </c>
      <c r="Y36" s="24">
        <f>IFERROR(('DCF Caylloma'!Y32*'DCF Caylloma'!Y34+'DCF San Jose'!Y30*'DCF San Jose'!Y32+'DCF Lindero'!Y29*'DCF Lindero'!Y30+'DCF Yaramoko'!Y29*'DCF Yaramoko'!Y30+'DCF Seguela'!U19*'DCF Seguela'!U20)/('DCF Seguela'!U19+'DCF Yaramoko'!Y29+'DCF Lindero'!Y29+'DCF San Jose'!Y30+'DCF Caylloma'!Y32),0)</f>
        <v>0.67056561394468328</v>
      </c>
      <c r="Z36" s="24">
        <f>IFERROR(('DCF Caylloma'!Z32*'DCF Caylloma'!Z34+'DCF San Jose'!Z30*'DCF San Jose'!Z32+'DCF Lindero'!Z29*'DCF Lindero'!Z30+'DCF Yaramoko'!Z29*'DCF Yaramoko'!Z30+'DCF Seguela'!V19*'DCF Seguela'!V20)/('DCF Seguela'!V19+'DCF Yaramoko'!Z29+'DCF Lindero'!Z29+'DCF San Jose'!Z30+'DCF Caylloma'!Z32),0)</f>
        <v>0.53231721076425564</v>
      </c>
      <c r="AA36" s="24">
        <f>IFERROR(('DCF Caylloma'!AA32*'DCF Caylloma'!AA34+'DCF San Jose'!AA30*'DCF San Jose'!AA32+'DCF Lindero'!AA29*'DCF Lindero'!AA30+'DCF Yaramoko'!AA29*'DCF Yaramoko'!AA30+'DCF Seguela'!W19*'DCF Seguela'!W20)/('DCF Seguela'!W19+'DCF Yaramoko'!AA29+'DCF Lindero'!AA29+'DCF San Jose'!AA30+'DCF Caylloma'!AA32),0)</f>
        <v>0.53464018404849911</v>
      </c>
      <c r="AB36" s="24">
        <f>IFERROR(('DCF Caylloma'!AB32*'DCF Caylloma'!AB34+'DCF San Jose'!AB30*'DCF San Jose'!AB32+'DCF Lindero'!AB29*'DCF Lindero'!AB30+'DCF Yaramoko'!AB29*'DCF Yaramoko'!AB30+'DCF Seguela'!X19*'DCF Seguela'!X20)/('DCF Seguela'!X19+'DCF Yaramoko'!AB29+'DCF Lindero'!AB29+'DCF San Jose'!AB30+'DCF Caylloma'!AB32),0)</f>
        <v>0.53464018404849911</v>
      </c>
      <c r="AC36" s="24">
        <f>IFERROR(('DCF Caylloma'!AC32*'DCF Caylloma'!AC34+'DCF San Jose'!AC30*'DCF San Jose'!AC32+'DCF Lindero'!AC29*'DCF Lindero'!AC30+'DCF Yaramoko'!AC29*'DCF Yaramoko'!AC30+'DCF Seguela'!Y19*'DCF Seguela'!Y20)/('DCF Seguela'!Y19+'DCF Yaramoko'!AC29+'DCF Lindero'!AC29+'DCF San Jose'!AC30+'DCF Caylloma'!AC32),0)</f>
        <v>0.42764668991200611</v>
      </c>
      <c r="AD36" s="24">
        <f>IFERROR(('DCF Caylloma'!AD32*'DCF Caylloma'!AD34+'DCF San Jose'!AD30*'DCF San Jose'!AD32+'DCF Lindero'!AD29*'DCF Lindero'!AD30+'DCF Yaramoko'!AD29*'DCF Yaramoko'!AD30+'DCF Seguela'!Z19*'DCF Seguela'!Z20)/('DCF Seguela'!Z19+'DCF Yaramoko'!AD29+'DCF Lindero'!AD29+'DCF San Jose'!AD30+'DCF Caylloma'!AD32),0)</f>
        <v>0.39624064416974702</v>
      </c>
      <c r="AE36" s="24">
        <f>IFERROR(('DCF Caylloma'!AE32*'DCF Caylloma'!AE34+'DCF San Jose'!AE30*'DCF San Jose'!AE32+'DCF Lindero'!AE29*'DCF Lindero'!AE30+'DCF Yaramoko'!AE29*'DCF Yaramoko'!AE30+'DCF Seguela'!AA19*'DCF Seguela'!AA20)/('DCF Seguela'!AA19+'DCF Yaramoko'!AE29+'DCF Lindero'!AE29+'DCF San Jose'!AE30+'DCF Caylloma'!AE32),0)</f>
        <v>0.40031976051296525</v>
      </c>
      <c r="AF36" s="24">
        <f>IFERROR(('DCF Caylloma'!AF32*'DCF Caylloma'!AF34+'DCF San Jose'!AF30*'DCF San Jose'!AF32+'DCF Lindero'!AF29*'DCF Lindero'!AF30+'DCF Yaramoko'!AF29*'DCF Yaramoko'!AF30+'DCF Seguela'!AB19*'DCF Seguela'!AB20)/('DCF Seguela'!AB19+'DCF Yaramoko'!AF29+'DCF Lindero'!AF29+'DCF San Jose'!AF30+'DCF Caylloma'!AF32),0)</f>
        <v>0.59</v>
      </c>
      <c r="AG36" s="24">
        <f>IFERROR(('DCF Caylloma'!AG32*'DCF Caylloma'!AG34+'DCF San Jose'!AG30*'DCF San Jose'!AG32+'DCF Lindero'!AG29*'DCF Lindero'!AG30+'DCF Yaramoko'!AG29*'DCF Yaramoko'!AG30+'DCF Seguela'!AC19*'DCF Seguela'!AC20)/('DCF Seguela'!AC19+'DCF Yaramoko'!AG29+'DCF Lindero'!AG29+'DCF San Jose'!AG30+'DCF Caylloma'!AG32),0)</f>
        <v>0.59</v>
      </c>
      <c r="AH36" s="24">
        <f>IFERROR(('DCF Caylloma'!AH32*'DCF Caylloma'!AH34+'DCF San Jose'!AH30*'DCF San Jose'!AH32+'DCF Lindero'!AH29*'DCF Lindero'!AH30+'DCF Yaramoko'!AH29*'DCF Yaramoko'!AH30+'DCF Seguela'!AD19*'DCF Seguela'!AD20)/('DCF Seguela'!AD19+'DCF Yaramoko'!AH29+'DCF Lindero'!AH29+'DCF San Jose'!AH30+'DCF Caylloma'!AH32),0)</f>
        <v>0</v>
      </c>
      <c r="AI36" s="24">
        <f>IFERROR(('DCF Caylloma'!AI32*'DCF Caylloma'!AI34+'DCF San Jose'!AI30*'DCF San Jose'!AI32+'DCF Lindero'!AI29*'DCF Lindero'!AI30+'DCF Yaramoko'!AI29*'DCF Yaramoko'!AI30+'DCF Seguela'!AE19*'DCF Seguela'!AE20)/('DCF Seguela'!AE19+'DCF Yaramoko'!AI29+'DCF Lindero'!AI29+'DCF San Jose'!AI30+'DCF Caylloma'!AI32),0)</f>
        <v>0</v>
      </c>
      <c r="AJ36" s="24">
        <f>IFERROR(('DCF Caylloma'!AJ32*'DCF Caylloma'!AJ34+'DCF San Jose'!AJ30*'DCF San Jose'!AJ32+'DCF Lindero'!AJ29*'DCF Lindero'!AJ30+'DCF Yaramoko'!AJ29*'DCF Yaramoko'!AJ30+'DCF Seguela'!AF19*'DCF Seguela'!AF20)/('DCF Seguela'!AF19+'DCF Yaramoko'!AJ29+'DCF Lindero'!AJ29+'DCF San Jose'!AJ30+'DCF Caylloma'!AJ32),0)</f>
        <v>0</v>
      </c>
      <c r="AK36" s="24">
        <f>IFERROR(('DCF Caylloma'!AK32*'DCF Caylloma'!AK34+'DCF San Jose'!AK30*'DCF San Jose'!AK32+'DCF Lindero'!AK29*'DCF Lindero'!AK30+'DCF Yaramoko'!AK29*'DCF Yaramoko'!AK30+'DCF Seguela'!AG19*'DCF Seguela'!AG20)/('DCF Seguela'!AG19+'DCF Yaramoko'!AK29+'DCF Lindero'!AK29+'DCF San Jose'!AK30+'DCF Caylloma'!AK32),0)</f>
        <v>0</v>
      </c>
      <c r="AL36" s="24">
        <f>IFERROR(('DCF Caylloma'!AL32*'DCF Caylloma'!AL34+'DCF San Jose'!AL30*'DCF San Jose'!AL32+'DCF Lindero'!AL29*'DCF Lindero'!AL30+'DCF Yaramoko'!AL29*'DCF Yaramoko'!AL30+'DCF Seguela'!AH19*'DCF Seguela'!AH20)/('DCF Seguela'!AH19+'DCF Yaramoko'!AL29+'DCF Lindero'!AL29+'DCF San Jose'!AL30+'DCF Caylloma'!AL32),0)</f>
        <v>0</v>
      </c>
      <c r="AM36" s="24">
        <f>IFERROR(('DCF Caylloma'!AM32*'DCF Caylloma'!AM34+'DCF San Jose'!AM30*'DCF San Jose'!AM32+'DCF Lindero'!AM29*'DCF Lindero'!AM30+'DCF Yaramoko'!AM29*'DCF Yaramoko'!AM30+'DCF Seguela'!AI19*'DCF Seguela'!AI20)/('DCF Seguela'!AI19+'DCF Yaramoko'!AM29+'DCF Lindero'!AM29+'DCF San Jose'!AM30+'DCF Caylloma'!AM32),0)</f>
        <v>0</v>
      </c>
      <c r="AN36" s="24">
        <f>IFERROR(('DCF Caylloma'!AN32*'DCF Caylloma'!AN34+'DCF San Jose'!AN30*'DCF San Jose'!AN32+'DCF Lindero'!AN29*'DCF Lindero'!AN30+'DCF Yaramoko'!AN29*'DCF Yaramoko'!AN30+'DCF Seguela'!AJ19*'DCF Seguela'!AJ20)/('DCF Seguela'!AJ19+'DCF Yaramoko'!AN29+'DCF Lindero'!AN29+'DCF San Jose'!AN30+'DCF Caylloma'!AN32),0)</f>
        <v>0</v>
      </c>
      <c r="AO36" s="24">
        <f>IFERROR(('DCF Caylloma'!AO32*'DCF Caylloma'!AO34+'DCF San Jose'!AO30*'DCF San Jose'!AO32+'DCF Lindero'!AO29*'DCF Lindero'!AO30+'DCF Yaramoko'!AO29*'DCF Yaramoko'!AO30+'DCF Seguela'!AK19*'DCF Seguela'!AK20)/('DCF Seguela'!AK19+'DCF Yaramoko'!AO29+'DCF Lindero'!AO29+'DCF San Jose'!AO30+'DCF Caylloma'!AO32),0)</f>
        <v>0</v>
      </c>
      <c r="AP36" s="24">
        <f>IFERROR(('DCF Caylloma'!AP32*'DCF Caylloma'!AP34+'DCF San Jose'!AP30*'DCF San Jose'!AP32+'DCF Lindero'!AP29*'DCF Lindero'!AP30+'DCF Yaramoko'!AP29*'DCF Yaramoko'!AP30+'DCF Seguela'!AL19*'DCF Seguela'!AL20)/('DCF Seguela'!AL19+'DCF Yaramoko'!AP29+'DCF Lindero'!AP29+'DCF San Jose'!AP30+'DCF Caylloma'!AP32),0)</f>
        <v>0</v>
      </c>
      <c r="AQ36" s="24">
        <f>IFERROR(('DCF Caylloma'!AQ32*'DCF Caylloma'!AQ34+'DCF San Jose'!AQ30*'DCF San Jose'!AQ32+'DCF Lindero'!AQ29*'DCF Lindero'!AQ30+'DCF Yaramoko'!AQ29*'DCF Yaramoko'!AQ30+'DCF Seguela'!AM19*'DCF Seguela'!AM20)/('DCF Seguela'!AM19+'DCF Yaramoko'!AQ29+'DCF Lindero'!AQ29+'DCF San Jose'!AQ30+'DCF Caylloma'!AQ32),0)</f>
        <v>0</v>
      </c>
      <c r="AR36" s="24">
        <f>IFERROR(('DCF Caylloma'!AR32*'DCF Caylloma'!AR34+'DCF San Jose'!AR30*'DCF San Jose'!AR32+'DCF Lindero'!AR29*'DCF Lindero'!AR30+'DCF Yaramoko'!AR29*'DCF Yaramoko'!AR30+'DCF Seguela'!AN19*'DCF Seguela'!AN20)/('DCF Seguela'!AN19+'DCF Yaramoko'!AR29+'DCF Lindero'!AR29+'DCF San Jose'!AR30+'DCF Caylloma'!AR32),0)</f>
        <v>0</v>
      </c>
      <c r="AS36" s="24">
        <f>IFERROR(('DCF Caylloma'!AS32*'DCF Caylloma'!AS34+'DCF San Jose'!AS30*'DCF San Jose'!AS32+'DCF Lindero'!AS29*'DCF Lindero'!AS30+'DCF Yaramoko'!AS29*'DCF Yaramoko'!AS30+'DCF Seguela'!AO19*'DCF Seguela'!AO20)/('DCF Seguela'!AO19+'DCF Yaramoko'!AS29+'DCF Lindero'!AS29+'DCF San Jose'!AS30+'DCF Caylloma'!AS32),0)</f>
        <v>0</v>
      </c>
      <c r="AT36" s="24">
        <f>IFERROR(('DCF Caylloma'!AT32*'DCF Caylloma'!AT34+'DCF San Jose'!AT30*'DCF San Jose'!AT32+'DCF Lindero'!AT29*'DCF Lindero'!AT30+'DCF Yaramoko'!AT29*'DCF Yaramoko'!AT30+'DCF Seguela'!AP19*'DCF Seguela'!AP20)/('DCF Seguela'!AP19+'DCF Yaramoko'!AT29+'DCF Lindero'!AT29+'DCF San Jose'!AT30+'DCF Caylloma'!AT32),0)</f>
        <v>0</v>
      </c>
      <c r="AU36" s="24">
        <f>IFERROR(('DCF Caylloma'!AU32*'DCF Caylloma'!AU34+'DCF San Jose'!AU30*'DCF San Jose'!AU32+'DCF Lindero'!AU29*'DCF Lindero'!AU30+'DCF Yaramoko'!AU29*'DCF Yaramoko'!AU30+'DCF Seguela'!AQ19*'DCF Seguela'!AQ20)/('DCF Seguela'!AQ19+'DCF Yaramoko'!AU29+'DCF Lindero'!AU29+'DCF San Jose'!AU30+'DCF Caylloma'!AU32),0)</f>
        <v>0</v>
      </c>
      <c r="AV36" s="24">
        <f>IFERROR(('DCF Caylloma'!AV32*'DCF Caylloma'!AV34+'DCF San Jose'!AV30*'DCF San Jose'!AV32+'DCF Lindero'!AV29*'DCF Lindero'!AV30+'DCF Yaramoko'!AV29*'DCF Yaramoko'!AV30+'DCF Seguela'!AR19*'DCF Seguela'!AR20)/('DCF Seguela'!AR19+'DCF Yaramoko'!AV29+'DCF Lindero'!AV29+'DCF San Jose'!AV30+'DCF Caylloma'!AV32),0)</f>
        <v>0</v>
      </c>
      <c r="AW36" s="24">
        <f>IFERROR(('DCF Caylloma'!AW32*'DCF Caylloma'!AW34+'DCF San Jose'!AW30*'DCF San Jose'!AW32+'DCF Lindero'!AW29*'DCF Lindero'!AW30+'DCF Yaramoko'!AW29*'DCF Yaramoko'!AW30+'DCF Seguela'!AS19*'DCF Seguela'!AS20)/('DCF Seguela'!AS19+'DCF Yaramoko'!AW29+'DCF Lindero'!AW29+'DCF San Jose'!AW30+'DCF Caylloma'!AW32),0)</f>
        <v>0</v>
      </c>
      <c r="AX36" s="13"/>
    </row>
    <row r="37" spans="2:50" x14ac:dyDescent="0.25">
      <c r="B37" t="s">
        <v>250</v>
      </c>
      <c r="C37" t="s">
        <v>70</v>
      </c>
      <c r="E37" s="22">
        <f>'DCF Caylloma'!E35</f>
        <v>2.81E-2</v>
      </c>
      <c r="F37" s="22">
        <f>'DCF Caylloma'!F35</f>
        <v>2.6200000000000001E-2</v>
      </c>
      <c r="G37" s="22">
        <f>'DCF Caylloma'!G35</f>
        <v>2.7199999999999998E-2</v>
      </c>
      <c r="H37" s="22">
        <f>'DCF Caylloma'!H35</f>
        <v>0.03</v>
      </c>
      <c r="I37" s="22">
        <f>'DCF Caylloma'!I35</f>
        <v>3.1600000000000003E-2</v>
      </c>
      <c r="J37" s="22">
        <f>'DCF Caylloma'!J35</f>
        <v>3.5499999999999997E-2</v>
      </c>
      <c r="K37" s="29">
        <f t="shared" si="9"/>
        <v>2.20305758683828E-2</v>
      </c>
      <c r="L37" s="51">
        <f>'DCF Caylloma'!L35</f>
        <v>2.8000000000000001E-2</v>
      </c>
      <c r="M37" s="51">
        <f>'DCF Caylloma'!M35</f>
        <v>2.9499999999999998E-2</v>
      </c>
      <c r="N37" s="51">
        <f>'DCF Caylloma'!N35</f>
        <v>2.9499999999999998E-2</v>
      </c>
      <c r="O37" s="51">
        <f>'DCF Caylloma'!O35</f>
        <v>2.5499999999999998E-2</v>
      </c>
      <c r="P37" s="51">
        <f>'DCF Caylloma'!P35</f>
        <v>2.5499999999999998E-2</v>
      </c>
      <c r="Q37" s="51">
        <f>'DCF Caylloma'!Q35</f>
        <v>2.5499999999999998E-2</v>
      </c>
      <c r="R37" s="51">
        <f>'DCF Caylloma'!R35</f>
        <v>2.5499999999999998E-2</v>
      </c>
      <c r="S37" s="51">
        <f>'DCF Caylloma'!S35</f>
        <v>2.5499999999999998E-2</v>
      </c>
      <c r="T37" s="51">
        <f>'DCF Caylloma'!T35</f>
        <v>2.5241786570701755E-2</v>
      </c>
      <c r="U37" s="51">
        <f>'DCF Caylloma'!U35</f>
        <v>1.7899999999999999E-2</v>
      </c>
      <c r="V37" s="51">
        <f>'DCF Caylloma'!V35</f>
        <v>1.6691329608054542E-2</v>
      </c>
      <c r="W37" s="51">
        <f>'DCF Caylloma'!W35</f>
        <v>1.61E-2</v>
      </c>
      <c r="X37" s="51">
        <f>'DCF Caylloma'!X35</f>
        <v>1.61E-2</v>
      </c>
      <c r="Y37" s="51">
        <f>'DCF Caylloma'!Y35</f>
        <v>1.61E-2</v>
      </c>
      <c r="Z37" s="51">
        <f>'DCF Caylloma'!Z35</f>
        <v>1.9939552925665439E-2</v>
      </c>
      <c r="AA37" s="51">
        <f>'DCF Caylloma'!AA35</f>
        <v>2.0299999999999999E-2</v>
      </c>
      <c r="AB37" s="51">
        <f>'DCF Caylloma'!AB35</f>
        <v>2.0299999999999999E-2</v>
      </c>
      <c r="AC37" s="51">
        <f>'DCF Caylloma'!AC35</f>
        <v>2.0299999999999999E-2</v>
      </c>
      <c r="AD37" s="51">
        <f>'DCF Caylloma'!AD35</f>
        <v>2.0299999999999999E-2</v>
      </c>
      <c r="AE37" s="51">
        <f>'DCF Caylloma'!AE35</f>
        <v>2.0299999999999999E-2</v>
      </c>
      <c r="AF37" s="51">
        <f>'DCF Caylloma'!AF35</f>
        <v>2.0299999999999999E-2</v>
      </c>
      <c r="AG37" s="51">
        <f>'DCF Caylloma'!AG35</f>
        <v>2.0299999999999999E-2</v>
      </c>
      <c r="AH37" s="51">
        <f>'DCF Caylloma'!AH35</f>
        <v>0</v>
      </c>
      <c r="AI37" s="51">
        <f>'DCF Caylloma'!AI35</f>
        <v>0</v>
      </c>
      <c r="AJ37" s="51">
        <f>'DCF Caylloma'!AJ35</f>
        <v>0</v>
      </c>
      <c r="AK37" s="51">
        <f>'DCF Caylloma'!AK35</f>
        <v>0</v>
      </c>
      <c r="AL37" s="51">
        <f>'DCF Caylloma'!AL35</f>
        <v>0</v>
      </c>
      <c r="AM37" s="51">
        <f>'DCF Caylloma'!AM35</f>
        <v>0</v>
      </c>
      <c r="AN37" s="51">
        <f>'DCF Caylloma'!AN35</f>
        <v>0</v>
      </c>
      <c r="AO37" s="51">
        <f>'DCF Caylloma'!AO35</f>
        <v>0</v>
      </c>
      <c r="AP37" s="51">
        <f>'DCF Caylloma'!AP35</f>
        <v>0</v>
      </c>
      <c r="AQ37" s="51">
        <f>'DCF Caylloma'!AQ35</f>
        <v>0</v>
      </c>
      <c r="AR37" s="51">
        <f>'DCF Caylloma'!AR35</f>
        <v>0</v>
      </c>
      <c r="AS37" s="51">
        <f>'DCF Caylloma'!AS35</f>
        <v>0</v>
      </c>
      <c r="AT37" s="51">
        <f>'DCF Caylloma'!AT35</f>
        <v>0</v>
      </c>
      <c r="AU37" s="51">
        <f>'DCF Caylloma'!AU35</f>
        <v>0</v>
      </c>
      <c r="AV37" s="51">
        <f>'DCF Caylloma'!AV35</f>
        <v>0</v>
      </c>
      <c r="AW37" s="51">
        <f>'DCF Caylloma'!AW35</f>
        <v>0</v>
      </c>
      <c r="AX37" s="13"/>
    </row>
    <row r="38" spans="2:50" x14ac:dyDescent="0.25">
      <c r="B38" t="s">
        <v>251</v>
      </c>
      <c r="C38" t="s">
        <v>70</v>
      </c>
      <c r="E38" s="22">
        <f>'DCF Caylloma'!E36</f>
        <v>4.2099999999999999E-2</v>
      </c>
      <c r="F38" s="22">
        <f>'DCF Caylloma'!F36</f>
        <v>4.2799999999999998E-2</v>
      </c>
      <c r="G38" s="22">
        <f>'DCF Caylloma'!G36</f>
        <v>4.36E-2</v>
      </c>
      <c r="H38" s="22">
        <f>'DCF Caylloma'!H36</f>
        <v>4.6100000000000002E-2</v>
      </c>
      <c r="I38" s="22">
        <f>'DCF Caylloma'!I36</f>
        <v>4.5600000000000002E-2</v>
      </c>
      <c r="J38" s="22">
        <f>'DCF Caylloma'!J36</f>
        <v>4.1799999999999997E-2</v>
      </c>
      <c r="K38" s="29">
        <f t="shared" si="9"/>
        <v>3.5839283514812768E-2</v>
      </c>
      <c r="L38" s="51">
        <f>'DCF Caylloma'!L36</f>
        <v>4.2299999999999997E-2</v>
      </c>
      <c r="M38" s="51">
        <f>'DCF Caylloma'!M36</f>
        <v>4.2299999999999997E-2</v>
      </c>
      <c r="N38" s="51">
        <f>'DCF Caylloma'!N36</f>
        <v>4.2299999999999997E-2</v>
      </c>
      <c r="O38" s="51">
        <f>'DCF Caylloma'!O36</f>
        <v>3.7600000000000001E-2</v>
      </c>
      <c r="P38" s="51">
        <f>'DCF Caylloma'!P36</f>
        <v>3.7600000000000001E-2</v>
      </c>
      <c r="Q38" s="51">
        <f>'DCF Caylloma'!Q36</f>
        <v>3.7600000000000001E-2</v>
      </c>
      <c r="R38" s="51">
        <f>'DCF Caylloma'!R36</f>
        <v>3.7600000000000001E-2</v>
      </c>
      <c r="S38" s="51">
        <f>'DCF Caylloma'!S36</f>
        <v>3.7600000000000001E-2</v>
      </c>
      <c r="T38" s="51">
        <f>'DCF Caylloma'!T36</f>
        <v>3.7423327653638046E-2</v>
      </c>
      <c r="U38" s="51">
        <f>'DCF Caylloma'!U36</f>
        <v>3.2399999999999998E-2</v>
      </c>
      <c r="V38" s="51">
        <f>'DCF Caylloma'!V36</f>
        <v>3.1392774673378782E-2</v>
      </c>
      <c r="W38" s="51">
        <f>'DCF Caylloma'!W36</f>
        <v>3.09E-2</v>
      </c>
      <c r="X38" s="51">
        <f>'DCF Caylloma'!X36</f>
        <v>3.09E-2</v>
      </c>
      <c r="Y38" s="51">
        <f>'DCF Caylloma'!Y36</f>
        <v>3.09E-2</v>
      </c>
      <c r="Z38" s="51">
        <f>'DCF Caylloma'!Z36</f>
        <v>3.4648134998863878E-2</v>
      </c>
      <c r="AA38" s="51">
        <f>'DCF Caylloma'!AA36</f>
        <v>3.5000000000000003E-2</v>
      </c>
      <c r="AB38" s="51">
        <f>'DCF Caylloma'!AB36</f>
        <v>3.5000000000000003E-2</v>
      </c>
      <c r="AC38" s="51">
        <f>'DCF Caylloma'!AC36</f>
        <v>3.5000000000000003E-2</v>
      </c>
      <c r="AD38" s="51">
        <f>'DCF Caylloma'!AD36</f>
        <v>3.5000000000000003E-2</v>
      </c>
      <c r="AE38" s="51">
        <f>'DCF Caylloma'!AE36</f>
        <v>3.5000000000000003E-2</v>
      </c>
      <c r="AF38" s="51">
        <f>'DCF Caylloma'!AF36</f>
        <v>3.5000000000000003E-2</v>
      </c>
      <c r="AG38" s="51">
        <f>'DCF Caylloma'!AG36</f>
        <v>3.5000000000000003E-2</v>
      </c>
      <c r="AH38" s="51">
        <f>'DCF Caylloma'!AH36</f>
        <v>0</v>
      </c>
      <c r="AI38" s="51">
        <f>'DCF Caylloma'!AI36</f>
        <v>0</v>
      </c>
      <c r="AJ38" s="51">
        <f>'DCF Caylloma'!AJ36</f>
        <v>0</v>
      </c>
      <c r="AK38" s="51">
        <f>'DCF Caylloma'!AK36</f>
        <v>0</v>
      </c>
      <c r="AL38" s="51">
        <f>'DCF Caylloma'!AL36</f>
        <v>0</v>
      </c>
      <c r="AM38" s="51">
        <f>'DCF Caylloma'!AM36</f>
        <v>0</v>
      </c>
      <c r="AN38" s="51">
        <f>'DCF Caylloma'!AN36</f>
        <v>0</v>
      </c>
      <c r="AO38" s="51">
        <f>'DCF Caylloma'!AO36</f>
        <v>0</v>
      </c>
      <c r="AP38" s="51">
        <f>'DCF Caylloma'!AP36</f>
        <v>0</v>
      </c>
      <c r="AQ38" s="51">
        <f>'DCF Caylloma'!AQ36</f>
        <v>0</v>
      </c>
      <c r="AR38" s="51">
        <f>'DCF Caylloma'!AR36</f>
        <v>0</v>
      </c>
      <c r="AS38" s="51">
        <f>'DCF Caylloma'!AS36</f>
        <v>0</v>
      </c>
      <c r="AT38" s="51">
        <f>'DCF Caylloma'!AT36</f>
        <v>0</v>
      </c>
      <c r="AU38" s="51">
        <f>'DCF Caylloma'!AU36</f>
        <v>0</v>
      </c>
      <c r="AV38" s="51">
        <f>'DCF Caylloma'!AV36</f>
        <v>0</v>
      </c>
      <c r="AW38" s="51">
        <f>'DCF Caylloma'!AW36</f>
        <v>0</v>
      </c>
      <c r="AX38" s="13"/>
    </row>
    <row r="39" spans="2:50" x14ac:dyDescent="0.25">
      <c r="K39" s="26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2:50" ht="15.75" thickBot="1" x14ac:dyDescent="0.3">
      <c r="B40" s="14" t="s">
        <v>82</v>
      </c>
      <c r="K40" s="26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2:50" x14ac:dyDescent="0.25">
      <c r="B41" t="s">
        <v>83</v>
      </c>
      <c r="C41" t="s">
        <v>84</v>
      </c>
      <c r="E41" s="6">
        <f>'DCF Caylloma'!E39+'DCF San Jose'!E35</f>
        <v>9317559.1225222759</v>
      </c>
      <c r="F41" s="6">
        <f>'DCF Caylloma'!F39+'DCF San Jose'!F35</f>
        <v>9780738.6922094841</v>
      </c>
      <c r="G41" s="6">
        <f>'DCF Caylloma'!G39+'DCF San Jose'!G35</f>
        <v>9786179.4665990528</v>
      </c>
      <c r="H41" s="6">
        <f>'DCF Caylloma'!H39+'DCF San Jose'!H35</f>
        <v>7909878.6795436321</v>
      </c>
      <c r="I41" s="6">
        <f>'DCF Caylloma'!I39+'DCF San Jose'!I35</f>
        <v>8314967.2193560051</v>
      </c>
      <c r="J41" s="6">
        <f>'DCF Caylloma'!J39+'DCF San Jose'!J35</f>
        <v>1871954.1025715815</v>
      </c>
      <c r="K41" s="15">
        <f>SUM(L41:AW41)</f>
        <v>47574402.035980739</v>
      </c>
      <c r="L41" s="16">
        <f>'DCF Caylloma'!L39+'DCF San Jose'!L35</f>
        <v>1889869.5166665956</v>
      </c>
      <c r="M41" s="16">
        <f>'DCF Caylloma'!M39+'DCF San Jose'!M35</f>
        <v>1817099.066772711</v>
      </c>
      <c r="N41" s="16">
        <f>'DCF Caylloma'!N39+'DCF San Jose'!N35</f>
        <v>1817099.066772711</v>
      </c>
      <c r="O41" s="16">
        <f>'DCF Caylloma'!O39+'DCF San Jose'!O35</f>
        <v>1844077.6656966736</v>
      </c>
      <c r="P41" s="16">
        <f>'DCF Caylloma'!P39+'DCF San Jose'!P35</f>
        <v>5634681.7562953914</v>
      </c>
      <c r="Q41" s="16">
        <f>'DCF Caylloma'!Q39+'DCF San Jose'!Q35</f>
        <v>7080696.5675036758</v>
      </c>
      <c r="R41" s="16">
        <f>'DCF Caylloma'!R39+'DCF San Jose'!R35</f>
        <v>2988264.4066434596</v>
      </c>
      <c r="S41" s="16">
        <f>'DCF Caylloma'!S39+'DCF San Jose'!S35</f>
        <v>1415146.4306624269</v>
      </c>
      <c r="T41" s="16">
        <f>'DCF Caylloma'!T39+'DCF San Jose'!T35</f>
        <v>1423256.350414309</v>
      </c>
      <c r="U41" s="16">
        <f>'DCF Caylloma'!U39+'DCF San Jose'!U35</f>
        <v>1658376.9130674193</v>
      </c>
      <c r="V41" s="16">
        <f>'DCF Caylloma'!V39+'DCF San Jose'!V35</f>
        <v>1482114.3435644254</v>
      </c>
      <c r="W41" s="16">
        <f>'DCF Caylloma'!W39+'DCF San Jose'!W35</f>
        <v>1398096.4736664938</v>
      </c>
      <c r="X41" s="16">
        <f>'DCF Caylloma'!X39+'DCF San Jose'!X35</f>
        <v>1398096.4736664938</v>
      </c>
      <c r="Y41" s="16">
        <f>'DCF Caylloma'!Y39+'DCF San Jose'!Y35</f>
        <v>1401926.8749642102</v>
      </c>
      <c r="Z41" s="16">
        <f>'DCF Caylloma'!Z39+'DCF San Jose'!Z35</f>
        <v>1928044.8586786212</v>
      </c>
      <c r="AA41" s="16">
        <f>'DCF Caylloma'!AA39+'DCF San Jose'!AA35</f>
        <v>1977795.0115282109</v>
      </c>
      <c r="AB41" s="16">
        <f>'DCF Caylloma'!AB39+'DCF San Jose'!AB35</f>
        <v>1977795.0115282109</v>
      </c>
      <c r="AC41" s="16">
        <f>'DCF Caylloma'!AC39+'DCF San Jose'!AC35</f>
        <v>1983213.6279981509</v>
      </c>
      <c r="AD41" s="16">
        <f>'DCF Caylloma'!AD39+'DCF San Jose'!AD35</f>
        <v>1977795.0115282109</v>
      </c>
      <c r="AE41" s="16">
        <f>'DCF Caylloma'!AE39+'DCF San Jose'!AE35</f>
        <v>1977795.0115282109</v>
      </c>
      <c r="AF41" s="16">
        <f>'DCF Caylloma'!AF39+'DCF San Jose'!AF35</f>
        <v>1977795.0115282109</v>
      </c>
      <c r="AG41" s="16">
        <f>'DCF Caylloma'!AG39+'DCF San Jose'!AG35</f>
        <v>525366.58530592662</v>
      </c>
      <c r="AH41" s="16">
        <f>'DCF Caylloma'!AH39+'DCF San Jose'!AH35</f>
        <v>0</v>
      </c>
      <c r="AI41" s="16">
        <f>'DCF Caylloma'!AI39+'DCF San Jose'!AI35</f>
        <v>0</v>
      </c>
      <c r="AJ41" s="16">
        <f>'DCF Caylloma'!AJ39+'DCF San Jose'!AJ35</f>
        <v>0</v>
      </c>
      <c r="AK41" s="16">
        <f>'DCF Caylloma'!AK39+'DCF San Jose'!AK35</f>
        <v>0</v>
      </c>
      <c r="AL41" s="16">
        <f>'DCF Caylloma'!AL39+'DCF San Jose'!AL35</f>
        <v>0</v>
      </c>
      <c r="AM41" s="16">
        <f>'DCF Caylloma'!AM39+'DCF San Jose'!AM35</f>
        <v>0</v>
      </c>
      <c r="AN41" s="16">
        <f>'DCF Caylloma'!AN39+'DCF San Jose'!AN35</f>
        <v>0</v>
      </c>
      <c r="AO41" s="16">
        <f>'DCF Caylloma'!AO39+'DCF San Jose'!AO35</f>
        <v>0</v>
      </c>
      <c r="AP41" s="16">
        <f>'DCF Caylloma'!AP39+'DCF San Jose'!AP35</f>
        <v>0</v>
      </c>
      <c r="AQ41" s="16">
        <f>'DCF Caylloma'!AQ39+'DCF San Jose'!AQ35</f>
        <v>0</v>
      </c>
      <c r="AR41" s="16">
        <f>'DCF Caylloma'!AR39+'DCF San Jose'!AR35</f>
        <v>0</v>
      </c>
      <c r="AS41" s="16">
        <f>'DCF Caylloma'!AS39+'DCF San Jose'!AS35</f>
        <v>0</v>
      </c>
      <c r="AT41" s="16">
        <f>'DCF Caylloma'!AT39+'DCF San Jose'!AT35</f>
        <v>0</v>
      </c>
      <c r="AU41" s="16">
        <f>'DCF Caylloma'!AU39+'DCF San Jose'!AU35</f>
        <v>0</v>
      </c>
      <c r="AV41" s="16">
        <f>'DCF Caylloma'!AV39+'DCF San Jose'!AV35</f>
        <v>0</v>
      </c>
      <c r="AW41" s="16">
        <f>'DCF Caylloma'!AW39+'DCF San Jose'!AW35</f>
        <v>0</v>
      </c>
      <c r="AX41" s="13"/>
    </row>
    <row r="42" spans="2:50" x14ac:dyDescent="0.25">
      <c r="B42" t="s">
        <v>85</v>
      </c>
      <c r="C42" t="s">
        <v>84</v>
      </c>
      <c r="E42" s="6">
        <f>'DCF Caylloma'!E40+'DCF San Jose'!E36+'DCF Lindero'!E33+'DCF Yaramoko'!E33</f>
        <v>60935.255315251445</v>
      </c>
      <c r="F42" s="6">
        <f>'DCF Caylloma'!F40+'DCF San Jose'!F36+'DCF Lindero'!F33+'DCF Yaramoko'!F33</f>
        <v>58541.252854407583</v>
      </c>
      <c r="G42" s="6">
        <f>'DCF Caylloma'!G40+'DCF San Jose'!G36+'DCF Lindero'!G33+'DCF Yaramoko'!G33</f>
        <v>53945.529973678058</v>
      </c>
      <c r="H42" s="6">
        <f>'DCF Caylloma'!H40+'DCF San Jose'!H36+'DCF Lindero'!H33+'DCF Yaramoko'!H33</f>
        <v>99942.687114644359</v>
      </c>
      <c r="I42" s="6">
        <f>'DCF Caylloma'!I40+'DCF San Jose'!I36+'DCF Lindero'!I33+'DCF Yaramoko'!I33</f>
        <v>310215.99713894364</v>
      </c>
      <c r="J42" s="6">
        <f>'DCF Caylloma'!J40+'DCF San Jose'!J36+'DCF Lindero'!J33+'DCF Yaramoko'!J33</f>
        <v>77316.319505477266</v>
      </c>
      <c r="K42" s="15">
        <f t="shared" ref="K42:K44" si="10">SUM(L42:AW42)</f>
        <v>3686654.4057877962</v>
      </c>
      <c r="L42" s="16">
        <f>'DCF Caylloma'!L40+'DCF San Jose'!L36+'DCF Lindero'!L33+'DCF Yaramoko'!L33+'DCF Seguela'!H23</f>
        <v>78975.411537428794</v>
      </c>
      <c r="M42" s="16">
        <f>'DCF Caylloma'!M40+'DCF San Jose'!M36+'DCF Lindero'!M33+'DCF Yaramoko'!M33+'DCF Seguela'!I23</f>
        <v>78616.710159067123</v>
      </c>
      <c r="N42" s="16">
        <f>'DCF Caylloma'!N40+'DCF San Jose'!N36+'DCF Lindero'!N33+'DCF Yaramoko'!N33+'DCF Seguela'!J23</f>
        <v>73714.803129348657</v>
      </c>
      <c r="O42" s="16">
        <f>'DCF Caylloma'!O40+'DCF San Jose'!O36+'DCF Lindero'!O33+'DCF Yaramoko'!O33+'DCF Seguela'!K23</f>
        <v>73450.646394034527</v>
      </c>
      <c r="P42" s="16">
        <f>'DCF Caylloma'!P40+'DCF San Jose'!P36+'DCF Lindero'!P33+'DCF Yaramoko'!P33+'DCF Seguela'!L23</f>
        <v>224432.53064843884</v>
      </c>
      <c r="Q42" s="16">
        <f>'DCF Caylloma'!Q40+'DCF San Jose'!Q36+'DCF Lindero'!Q33+'DCF Yaramoko'!Q33+'DCF Seguela'!M23</f>
        <v>405788.98223143345</v>
      </c>
      <c r="R42" s="16">
        <f>'DCF Caylloma'!R40+'DCF San Jose'!R36+'DCF Lindero'!R33+'DCF Yaramoko'!R33+'DCF Seguela'!N23</f>
        <v>423629.10621941072</v>
      </c>
      <c r="S42" s="16">
        <f>'DCF Caylloma'!S40+'DCF San Jose'!S36+'DCF Lindero'!S33+'DCF Yaramoko'!S33+'DCF Seguela'!O23</f>
        <v>353343.82814995392</v>
      </c>
      <c r="T42" s="16">
        <f>'DCF Caylloma'!T40+'DCF San Jose'!T36+'DCF Lindero'!T33+'DCF Yaramoko'!T33+'DCF Seguela'!P23</f>
        <v>270642.55408828054</v>
      </c>
      <c r="U42" s="16">
        <f>'DCF Caylloma'!U40+'DCF San Jose'!U36+'DCF Lindero'!U33+'DCF Yaramoko'!U33+'DCF Seguela'!Q23</f>
        <v>243465.05566128175</v>
      </c>
      <c r="V42" s="16">
        <f>'DCF Caylloma'!V40+'DCF San Jose'!V36+'DCF Lindero'!V33+'DCF Yaramoko'!V33+'DCF Seguela'!R23</f>
        <v>262740.37179326091</v>
      </c>
      <c r="W42" s="16">
        <f>'DCF Caylloma'!W40+'DCF San Jose'!W36+'DCF Lindero'!W33+'DCF Yaramoko'!W33+'DCF Seguela'!S23</f>
        <v>209321.85324205813</v>
      </c>
      <c r="X42" s="16">
        <f>'DCF Caylloma'!X40+'DCF San Jose'!X36+'DCF Lindero'!X33+'DCF Yaramoko'!X33+'DCF Seguela'!T23</f>
        <v>202689.47573241586</v>
      </c>
      <c r="Y42" s="16">
        <f>'DCF Caylloma'!Y40+'DCF San Jose'!Y36+'DCF Lindero'!Y33+'DCF Yaramoko'!Y33+'DCF Seguela'!U23</f>
        <v>167579.75831718071</v>
      </c>
      <c r="Z42" s="16">
        <f>'DCF Caylloma'!Z40+'DCF San Jose'!Z36+'DCF Lindero'!Z33+'DCF Yaramoko'!Z33+'DCF Seguela'!V23</f>
        <v>117357.22708664213</v>
      </c>
      <c r="AA42" s="16">
        <f>'DCF Caylloma'!AA40+'DCF San Jose'!AA36+'DCF Lindero'!AA33+'DCF Yaramoko'!AA33+'DCF Seguela'!W23</f>
        <v>117869.36101303497</v>
      </c>
      <c r="AB42" s="16">
        <f>'DCF Caylloma'!AB40+'DCF San Jose'!AB36+'DCF Lindero'!AB33+'DCF Yaramoko'!AB33+'DCF Seguela'!X23</f>
        <v>117869.36101303497</v>
      </c>
      <c r="AC42" s="16">
        <f>'DCF Caylloma'!AC40+'DCF San Jose'!AC36+'DCF Lindero'!AC33+'DCF Yaramoko'!AC33+'DCF Seguela'!Y23</f>
        <v>94539.36203941537</v>
      </c>
      <c r="AD42" s="16">
        <f>'DCF Caylloma'!AD40+'DCF San Jose'!AD36+'DCF Lindero'!AD33+'DCF Yaramoko'!AD33+'DCF Seguela'!Z23</f>
        <v>87357.129017157247</v>
      </c>
      <c r="AE42" s="16">
        <f>'DCF Caylloma'!AE40+'DCF San Jose'!AE36+'DCF Lindero'!AE33+'DCF Yaramoko'!AE33+'DCF Seguela'!AA23</f>
        <v>70539.280537915853</v>
      </c>
      <c r="AF42" s="16">
        <f>'DCF Caylloma'!AF40+'DCF San Jose'!AF36+'DCF Lindero'!AF33+'DCF Yaramoko'!AF33+'DCF Seguela'!AB23</f>
        <v>10059.474627600383</v>
      </c>
      <c r="AG42" s="16">
        <f>'DCF Caylloma'!AG40+'DCF San Jose'!AG36+'DCF Lindero'!AG33+'DCF Yaramoko'!AG33+'DCF Seguela'!AC23</f>
        <v>2672.1231494008334</v>
      </c>
      <c r="AH42" s="16">
        <f>'DCF Caylloma'!AH40+'DCF San Jose'!AH36+'DCF Lindero'!AH33+'DCF Yaramoko'!AH33+'DCF Seguela'!AD23</f>
        <v>0</v>
      </c>
      <c r="AI42" s="16">
        <f>'DCF Caylloma'!AI40+'DCF San Jose'!AI36+'DCF Lindero'!AI33+'DCF Yaramoko'!AI33+'DCF Seguela'!AE23</f>
        <v>0</v>
      </c>
      <c r="AJ42" s="16">
        <f>'DCF Caylloma'!AJ40+'DCF San Jose'!AJ36+'DCF Lindero'!AJ33+'DCF Yaramoko'!AJ33+'DCF Seguela'!AF23</f>
        <v>0</v>
      </c>
      <c r="AK42" s="16">
        <f>'DCF Caylloma'!AK40+'DCF San Jose'!AK36+'DCF Lindero'!AK33+'DCF Yaramoko'!AK33+'DCF Seguela'!AG23</f>
        <v>0</v>
      </c>
      <c r="AL42" s="16">
        <f>'DCF Caylloma'!AL40+'DCF San Jose'!AL36+'DCF Lindero'!AL33+'DCF Yaramoko'!AL33+'DCF Seguela'!AH23</f>
        <v>0</v>
      </c>
      <c r="AM42" s="16">
        <f>'DCF Caylloma'!AM40+'DCF San Jose'!AM36+'DCF Lindero'!AM33+'DCF Yaramoko'!AM33+'DCF Seguela'!AI23</f>
        <v>0</v>
      </c>
      <c r="AN42" s="16">
        <f>'DCF Caylloma'!AN40+'DCF San Jose'!AN36+'DCF Lindero'!AN33+'DCF Yaramoko'!AN33+'DCF Seguela'!AJ23</f>
        <v>0</v>
      </c>
      <c r="AO42" s="16">
        <f>'DCF Caylloma'!AO40+'DCF San Jose'!AO36+'DCF Lindero'!AO33+'DCF Yaramoko'!AO33+'DCF Seguela'!AK23</f>
        <v>0</v>
      </c>
      <c r="AP42" s="16">
        <f>'DCF Caylloma'!AP40+'DCF San Jose'!AP36+'DCF Lindero'!AP33+'DCF Yaramoko'!AP33+'DCF Seguela'!AL23</f>
        <v>0</v>
      </c>
      <c r="AQ42" s="16">
        <f>'DCF Caylloma'!AQ40+'DCF San Jose'!AQ36+'DCF Lindero'!AQ33+'DCF Yaramoko'!AQ33+'DCF Seguela'!AM23</f>
        <v>0</v>
      </c>
      <c r="AR42" s="16">
        <f>'DCF Caylloma'!AR40+'DCF San Jose'!AR36+'DCF Lindero'!AR33+'DCF Yaramoko'!AR33+'DCF Seguela'!AN23</f>
        <v>0</v>
      </c>
      <c r="AS42" s="16">
        <f>'DCF Caylloma'!AS40+'DCF San Jose'!AS36+'DCF Lindero'!AS33+'DCF Yaramoko'!AS33+'DCF Seguela'!AO23</f>
        <v>0</v>
      </c>
      <c r="AT42" s="16">
        <f>'DCF Caylloma'!AT40+'DCF San Jose'!AT36+'DCF Lindero'!AT33+'DCF Yaramoko'!AT33+'DCF Seguela'!AP23</f>
        <v>0</v>
      </c>
      <c r="AU42" s="16">
        <f>'DCF Caylloma'!AU40+'DCF San Jose'!AU36+'DCF Lindero'!AU33+'DCF Yaramoko'!AU33+'DCF Seguela'!AQ23</f>
        <v>0</v>
      </c>
      <c r="AV42" s="16">
        <f>'DCF Caylloma'!AV40+'DCF San Jose'!AV36+'DCF Lindero'!AV33+'DCF Yaramoko'!AV33+'DCF Seguela'!AR23</f>
        <v>0</v>
      </c>
      <c r="AW42" s="16">
        <f>'DCF Caylloma'!AW40+'DCF San Jose'!AW36+'DCF Lindero'!AW33+'DCF Yaramoko'!AW33+'DCF Seguela'!AS23</f>
        <v>0</v>
      </c>
      <c r="AX42" s="13"/>
    </row>
    <row r="43" spans="2:50" x14ac:dyDescent="0.25">
      <c r="B43" t="s">
        <v>88</v>
      </c>
      <c r="C43" t="s">
        <v>89</v>
      </c>
      <c r="E43" s="6">
        <f>'DCF Caylloma'!E41</f>
        <v>32815107.510555889</v>
      </c>
      <c r="F43" s="6">
        <f>'DCF Caylloma'!F41</f>
        <v>30889083.491969816</v>
      </c>
      <c r="G43" s="6">
        <f>'DCF Caylloma'!G41</f>
        <v>31860214.905910049</v>
      </c>
      <c r="H43" s="6">
        <f>'DCF Caylloma'!H41</f>
        <v>33733834.603894204</v>
      </c>
      <c r="I43" s="6">
        <f>'DCF Caylloma'!I41</f>
        <v>37604284.185150973</v>
      </c>
      <c r="J43" s="6">
        <f>'DCF Caylloma'!J41</f>
        <v>10375785.192447739</v>
      </c>
      <c r="K43" s="15">
        <f t="shared" si="10"/>
        <v>443485312.22275144</v>
      </c>
      <c r="L43" s="16">
        <f>'DCF Caylloma'!L41</f>
        <v>8218780.2164171208</v>
      </c>
      <c r="M43" s="16">
        <f>'DCF Caylloma'!M41</f>
        <v>8659072.0137251802</v>
      </c>
      <c r="N43" s="16">
        <f>'DCF Caylloma'!N41</f>
        <v>8659072.0137251802</v>
      </c>
      <c r="O43" s="16">
        <f>'DCF Caylloma'!O41</f>
        <v>7351167.3624144914</v>
      </c>
      <c r="P43" s="16">
        <f>'DCF Caylloma'!P41</f>
        <v>22461900.274044279</v>
      </c>
      <c r="Q43" s="16">
        <f>'DCF Caylloma'!Q41</f>
        <v>29894747.273818932</v>
      </c>
      <c r="R43" s="16">
        <f>'DCF Caylloma'!R41</f>
        <v>29813067.636458773</v>
      </c>
      <c r="S43" s="16">
        <f>'DCF Caylloma'!S41</f>
        <v>29813067.636458773</v>
      </c>
      <c r="T43" s="16">
        <f>'DCF Caylloma'!T41</f>
        <v>29511180.011662282</v>
      </c>
      <c r="U43" s="16">
        <f>'DCF Caylloma'!U41</f>
        <v>20984940.243190542</v>
      </c>
      <c r="V43" s="16">
        <f>'DCF Caylloma'!V41</f>
        <v>19514499.550876744</v>
      </c>
      <c r="W43" s="16">
        <f>'DCF Caylloma'!W41</f>
        <v>18823152.507724952</v>
      </c>
      <c r="X43" s="16">
        <f>'DCF Caylloma'!X41</f>
        <v>18823152.507724952</v>
      </c>
      <c r="Y43" s="16">
        <f>'DCF Caylloma'!Y41</f>
        <v>18874722.788568031</v>
      </c>
      <c r="Z43" s="16">
        <f>'DCF Caylloma'!Z41</f>
        <v>23312127.059357379</v>
      </c>
      <c r="AA43" s="16">
        <f>'DCF Caylloma'!AA41</f>
        <v>23733540.118435804</v>
      </c>
      <c r="AB43" s="16">
        <f>'DCF Caylloma'!AB41</f>
        <v>23733540.118435804</v>
      </c>
      <c r="AC43" s="16">
        <f>'DCF Caylloma'!AC41</f>
        <v>23798563.516020559</v>
      </c>
      <c r="AD43" s="16">
        <f>'DCF Caylloma'!AD41</f>
        <v>23733540.118435804</v>
      </c>
      <c r="AE43" s="16">
        <f>'DCF Caylloma'!AE41</f>
        <v>23733540.118435804</v>
      </c>
      <c r="AF43" s="16">
        <f>'DCF Caylloma'!AF41</f>
        <v>23733540.118435804</v>
      </c>
      <c r="AG43" s="16">
        <f>'DCF Caylloma'!AG41</f>
        <v>6304399.0183843086</v>
      </c>
      <c r="AH43" s="16">
        <f>'DCF Caylloma'!AH41</f>
        <v>0</v>
      </c>
      <c r="AI43" s="16">
        <f>'DCF Caylloma'!AI41</f>
        <v>0</v>
      </c>
      <c r="AJ43" s="16">
        <f>'DCF Caylloma'!AJ41</f>
        <v>0</v>
      </c>
      <c r="AK43" s="16">
        <f>'DCF Caylloma'!AK41</f>
        <v>0</v>
      </c>
      <c r="AL43" s="16">
        <f>'DCF Caylloma'!AL41</f>
        <v>0</v>
      </c>
      <c r="AM43" s="16">
        <f>'DCF Caylloma'!AM41</f>
        <v>0</v>
      </c>
      <c r="AN43" s="16">
        <f>'DCF Caylloma'!AN41</f>
        <v>0</v>
      </c>
      <c r="AO43" s="16">
        <f>'DCF Caylloma'!AO41</f>
        <v>0</v>
      </c>
      <c r="AP43" s="16">
        <f>'DCF Caylloma'!AP41</f>
        <v>0</v>
      </c>
      <c r="AQ43" s="16">
        <f>'DCF Caylloma'!AQ41</f>
        <v>0</v>
      </c>
      <c r="AR43" s="16">
        <f>'DCF Caylloma'!AR41</f>
        <v>0</v>
      </c>
      <c r="AS43" s="16">
        <f>'DCF Caylloma'!AS41</f>
        <v>0</v>
      </c>
      <c r="AT43" s="16">
        <f>'DCF Caylloma'!AT41</f>
        <v>0</v>
      </c>
      <c r="AU43" s="16">
        <f>'DCF Caylloma'!AU41</f>
        <v>0</v>
      </c>
      <c r="AV43" s="16">
        <f>'DCF Caylloma'!AV41</f>
        <v>0</v>
      </c>
      <c r="AW43" s="16">
        <f>'DCF Caylloma'!AW41</f>
        <v>0</v>
      </c>
      <c r="AX43" s="13"/>
    </row>
    <row r="44" spans="2:50" x14ac:dyDescent="0.25">
      <c r="B44" t="s">
        <v>90</v>
      </c>
      <c r="C44" t="s">
        <v>89</v>
      </c>
      <c r="E44" s="6">
        <f>'DCF Caylloma'!E42</f>
        <v>49164271.394818604</v>
      </c>
      <c r="F44" s="6">
        <f>'DCF Caylloma'!F42</f>
        <v>50460029.521233134</v>
      </c>
      <c r="G44" s="6">
        <f>'DCF Caylloma'!G42</f>
        <v>51070050.363885224</v>
      </c>
      <c r="H44" s="6">
        <f>'DCF Caylloma'!H42</f>
        <v>51837659.174650759</v>
      </c>
      <c r="I44" s="6">
        <f>'DCF Caylloma'!I42</f>
        <v>54264410.089964688</v>
      </c>
      <c r="J44" s="6">
        <f>'DCF Caylloma'!J42</f>
        <v>12217121.719558183</v>
      </c>
      <c r="K44" s="15">
        <f t="shared" si="10"/>
        <v>737135237.7898463</v>
      </c>
      <c r="L44" s="16">
        <f>'DCF Caylloma'!L42</f>
        <v>12416228.684087291</v>
      </c>
      <c r="M44" s="16">
        <f>'DCF Caylloma'!M42</f>
        <v>12416228.684087291</v>
      </c>
      <c r="N44" s="16">
        <f>'DCF Caylloma'!N42</f>
        <v>12416228.684087291</v>
      </c>
      <c r="O44" s="16">
        <f>'DCF Caylloma'!O42</f>
        <v>10839368.346148428</v>
      </c>
      <c r="P44" s="16">
        <f>'DCF Caylloma'!P42</f>
        <v>33120292.168786861</v>
      </c>
      <c r="Q44" s="16">
        <f>'DCF Caylloma'!Q42</f>
        <v>44080097.941003606</v>
      </c>
      <c r="R44" s="16">
        <f>'DCF Caylloma'!R42</f>
        <v>43959660.514935292</v>
      </c>
      <c r="S44" s="16">
        <f>'DCF Caylloma'!S42</f>
        <v>43959660.514935292</v>
      </c>
      <c r="T44" s="16">
        <f>'DCF Caylloma'!T42</f>
        <v>43753105.824285068</v>
      </c>
      <c r="U44" s="16">
        <f>'DCF Caylloma'!U42</f>
        <v>37983914.183205232</v>
      </c>
      <c r="V44" s="16">
        <f>'DCF Caylloma'!V42</f>
        <v>36702545.671903983</v>
      </c>
      <c r="W44" s="16">
        <f>'DCF Caylloma'!W42</f>
        <v>36126423.135944165</v>
      </c>
      <c r="X44" s="16">
        <f>'DCF Caylloma'!X42</f>
        <v>36126423.135944165</v>
      </c>
      <c r="Y44" s="16">
        <f>'DCF Caylloma'!Y42</f>
        <v>36225399.637686469</v>
      </c>
      <c r="Z44" s="16">
        <f>'DCF Caylloma'!Z42</f>
        <v>40508517.341109142</v>
      </c>
      <c r="AA44" s="16">
        <f>'DCF Caylloma'!AA42</f>
        <v>40919896.755923815</v>
      </c>
      <c r="AB44" s="16">
        <f>'DCF Caylloma'!AB42</f>
        <v>40919896.755923815</v>
      </c>
      <c r="AC44" s="16">
        <f>'DCF Caylloma'!AC42</f>
        <v>41032006.062104426</v>
      </c>
      <c r="AD44" s="16">
        <f>'DCF Caylloma'!AD42</f>
        <v>40919896.755923815</v>
      </c>
      <c r="AE44" s="16">
        <f>'DCF Caylloma'!AE42</f>
        <v>40919896.755923815</v>
      </c>
      <c r="AF44" s="16">
        <f>'DCF Caylloma'!AF42</f>
        <v>40919896.755923815</v>
      </c>
      <c r="AG44" s="16">
        <f>'DCF Caylloma'!AG42</f>
        <v>10869653.479972949</v>
      </c>
      <c r="AH44" s="16">
        <f>'DCF Caylloma'!AH42</f>
        <v>0</v>
      </c>
      <c r="AI44" s="16">
        <f>'DCF Caylloma'!AI42</f>
        <v>0</v>
      </c>
      <c r="AJ44" s="16">
        <f>'DCF Caylloma'!AJ42</f>
        <v>0</v>
      </c>
      <c r="AK44" s="16">
        <f>'DCF Caylloma'!AK42</f>
        <v>0</v>
      </c>
      <c r="AL44" s="16">
        <f>'DCF Caylloma'!AL42</f>
        <v>0</v>
      </c>
      <c r="AM44" s="16">
        <f>'DCF Caylloma'!AM42</f>
        <v>0</v>
      </c>
      <c r="AN44" s="16">
        <f>'DCF Caylloma'!AN42</f>
        <v>0</v>
      </c>
      <c r="AO44" s="16">
        <f>'DCF Caylloma'!AO42</f>
        <v>0</v>
      </c>
      <c r="AP44" s="16">
        <f>'DCF Caylloma'!AP42</f>
        <v>0</v>
      </c>
      <c r="AQ44" s="16">
        <f>'DCF Caylloma'!AQ42</f>
        <v>0</v>
      </c>
      <c r="AR44" s="16">
        <f>'DCF Caylloma'!AR42</f>
        <v>0</v>
      </c>
      <c r="AS44" s="16">
        <f>'DCF Caylloma'!AS42</f>
        <v>0</v>
      </c>
      <c r="AT44" s="16">
        <f>'DCF Caylloma'!AT42</f>
        <v>0</v>
      </c>
      <c r="AU44" s="16">
        <f>'DCF Caylloma'!AU42</f>
        <v>0</v>
      </c>
      <c r="AV44" s="16">
        <f>'DCF Caylloma'!AV42</f>
        <v>0</v>
      </c>
      <c r="AW44" s="16">
        <f>'DCF Caylloma'!AW42</f>
        <v>0</v>
      </c>
      <c r="AX44" s="13"/>
    </row>
    <row r="45" spans="2:50" x14ac:dyDescent="0.25">
      <c r="K45" s="26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spans="2:50" ht="15.75" thickBot="1" x14ac:dyDescent="0.3">
      <c r="B46" s="14" t="s">
        <v>86</v>
      </c>
      <c r="K46" s="26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spans="2:50" x14ac:dyDescent="0.25">
      <c r="B47" t="s">
        <v>244</v>
      </c>
      <c r="C47" t="s">
        <v>70</v>
      </c>
      <c r="E47" s="18">
        <f>E53/E41</f>
        <v>0.90899278326309874</v>
      </c>
      <c r="F47" s="18">
        <f t="shared" ref="F47:J48" si="11">F53/F41</f>
        <v>0.9090257167469139</v>
      </c>
      <c r="G47" s="18">
        <f t="shared" si="11"/>
        <v>0.90022536681126475</v>
      </c>
      <c r="H47" s="18">
        <f t="shared" si="11"/>
        <v>0.90187438885113047</v>
      </c>
      <c r="I47" s="18">
        <f t="shared" si="11"/>
        <v>0.90183169724880463</v>
      </c>
      <c r="J47" s="18">
        <f t="shared" si="11"/>
        <v>0.89218426760873859</v>
      </c>
      <c r="K47" s="29">
        <f t="shared" ref="K47:K50" si="12">AVERAGEIF(L47:AW47,"&gt;0")</f>
        <v>0.85223274912131464</v>
      </c>
      <c r="L47" s="28">
        <f>IFERROR(L53/L41,0)</f>
        <v>0.90267250613682171</v>
      </c>
      <c r="M47" s="28">
        <f t="shared" ref="M47:AW48" si="13">IFERROR(M53/M41,0)</f>
        <v>0.9055828653259248</v>
      </c>
      <c r="N47" s="28">
        <f t="shared" si="13"/>
        <v>0.9055828653259248</v>
      </c>
      <c r="O47" s="28">
        <f t="shared" si="13"/>
        <v>0.90297001259525822</v>
      </c>
      <c r="P47" s="28">
        <f t="shared" si="13"/>
        <v>0.90297001259525822</v>
      </c>
      <c r="Q47" s="28">
        <f t="shared" si="13"/>
        <v>0.9019633396576372</v>
      </c>
      <c r="R47" s="28">
        <f t="shared" si="13"/>
        <v>0.87737887903210077</v>
      </c>
      <c r="S47" s="28">
        <f t="shared" si="13"/>
        <v>0.82999999999999985</v>
      </c>
      <c r="T47" s="28">
        <f t="shared" si="13"/>
        <v>0.82999999999999985</v>
      </c>
      <c r="U47" s="28">
        <f t="shared" si="13"/>
        <v>0.83000000000000007</v>
      </c>
      <c r="V47" s="28">
        <f t="shared" si="13"/>
        <v>0.83</v>
      </c>
      <c r="W47" s="28">
        <f t="shared" si="13"/>
        <v>0.83</v>
      </c>
      <c r="X47" s="28">
        <f t="shared" si="13"/>
        <v>0.83</v>
      </c>
      <c r="Y47" s="28">
        <f t="shared" si="13"/>
        <v>0.83</v>
      </c>
      <c r="Z47" s="28">
        <f t="shared" si="13"/>
        <v>0.83</v>
      </c>
      <c r="AA47" s="28">
        <f t="shared" si="13"/>
        <v>0.83</v>
      </c>
      <c r="AB47" s="28">
        <f t="shared" si="13"/>
        <v>0.83</v>
      </c>
      <c r="AC47" s="28">
        <f t="shared" si="13"/>
        <v>0.83</v>
      </c>
      <c r="AD47" s="28">
        <f t="shared" si="13"/>
        <v>0.83</v>
      </c>
      <c r="AE47" s="28">
        <f t="shared" si="13"/>
        <v>0.83</v>
      </c>
      <c r="AF47" s="28">
        <f t="shared" si="13"/>
        <v>0.83</v>
      </c>
      <c r="AG47" s="28">
        <f t="shared" si="13"/>
        <v>0.83</v>
      </c>
      <c r="AH47" s="28">
        <f t="shared" si="13"/>
        <v>0</v>
      </c>
      <c r="AI47" s="28">
        <f t="shared" si="13"/>
        <v>0</v>
      </c>
      <c r="AJ47" s="28">
        <f t="shared" si="13"/>
        <v>0</v>
      </c>
      <c r="AK47" s="28">
        <f t="shared" si="13"/>
        <v>0</v>
      </c>
      <c r="AL47" s="28">
        <f t="shared" si="13"/>
        <v>0</v>
      </c>
      <c r="AM47" s="28">
        <f t="shared" si="13"/>
        <v>0</v>
      </c>
      <c r="AN47" s="28">
        <f t="shared" si="13"/>
        <v>0</v>
      </c>
      <c r="AO47" s="28">
        <f t="shared" si="13"/>
        <v>0</v>
      </c>
      <c r="AP47" s="28">
        <f t="shared" si="13"/>
        <v>0</v>
      </c>
      <c r="AQ47" s="28">
        <f t="shared" si="13"/>
        <v>0</v>
      </c>
      <c r="AR47" s="28">
        <f t="shared" si="13"/>
        <v>0</v>
      </c>
      <c r="AS47" s="28">
        <f t="shared" si="13"/>
        <v>0</v>
      </c>
      <c r="AT47" s="28">
        <f t="shared" si="13"/>
        <v>0</v>
      </c>
      <c r="AU47" s="28">
        <f t="shared" si="13"/>
        <v>0</v>
      </c>
      <c r="AV47" s="28">
        <f t="shared" si="13"/>
        <v>0</v>
      </c>
      <c r="AW47" s="28">
        <f t="shared" si="13"/>
        <v>0</v>
      </c>
      <c r="AX47" s="13"/>
    </row>
    <row r="48" spans="2:50" x14ac:dyDescent="0.25">
      <c r="B48" t="s">
        <v>245</v>
      </c>
      <c r="C48" t="s">
        <v>70</v>
      </c>
      <c r="E48" s="18">
        <f>E54/E42</f>
        <v>0.91818766837916754</v>
      </c>
      <c r="F48" s="18">
        <f t="shared" si="11"/>
        <v>0.91417585703362159</v>
      </c>
      <c r="G48" s="18">
        <f t="shared" si="11"/>
        <v>0.9060991712167864</v>
      </c>
      <c r="H48" s="18">
        <f t="shared" si="11"/>
        <v>0.55320705892746236</v>
      </c>
      <c r="I48" s="18">
        <f t="shared" si="11"/>
        <v>0.66789270028263747</v>
      </c>
      <c r="J48" s="18">
        <f t="shared" si="11"/>
        <v>0.86398318527394125</v>
      </c>
      <c r="K48" s="29">
        <f t="shared" si="12"/>
        <v>0.78351587051689298</v>
      </c>
      <c r="L48" s="28">
        <f>IFERROR(L54/L42,0)</f>
        <v>0.85446871154672577</v>
      </c>
      <c r="M48" s="28">
        <f t="shared" si="13"/>
        <v>0.85677043114051199</v>
      </c>
      <c r="N48" s="28">
        <f t="shared" si="13"/>
        <v>0.8618755321528806</v>
      </c>
      <c r="O48" s="28">
        <f t="shared" si="13"/>
        <v>0.87374832028420435</v>
      </c>
      <c r="P48" s="28">
        <f t="shared" si="13"/>
        <v>0.87374832028420435</v>
      </c>
      <c r="Q48" s="28">
        <f t="shared" si="13"/>
        <v>0.89277837324679021</v>
      </c>
      <c r="R48" s="28">
        <f t="shared" si="13"/>
        <v>0.89729224674915076</v>
      </c>
      <c r="S48" s="28">
        <f t="shared" si="13"/>
        <v>0.89791082189651372</v>
      </c>
      <c r="T48" s="28">
        <f t="shared" si="13"/>
        <v>0.87195963982087943</v>
      </c>
      <c r="U48" s="28">
        <f t="shared" si="13"/>
        <v>0.85752944554057986</v>
      </c>
      <c r="V48" s="28">
        <f t="shared" si="13"/>
        <v>0.86676064966247546</v>
      </c>
      <c r="W48" s="28">
        <f t="shared" si="13"/>
        <v>0.84838626952041285</v>
      </c>
      <c r="X48" s="28">
        <f t="shared" si="13"/>
        <v>0.8452248881470581</v>
      </c>
      <c r="Y48" s="28">
        <f t="shared" si="13"/>
        <v>0.82399032797269833</v>
      </c>
      <c r="Z48" s="28">
        <f t="shared" si="13"/>
        <v>0.74501828985369301</v>
      </c>
      <c r="AA48" s="28">
        <f t="shared" si="13"/>
        <v>0.74330196369360302</v>
      </c>
      <c r="AB48" s="28">
        <f t="shared" si="13"/>
        <v>0.74330196369360302</v>
      </c>
      <c r="AC48" s="28">
        <f t="shared" si="13"/>
        <v>0.7341204331802319</v>
      </c>
      <c r="AD48" s="28">
        <f t="shared" si="13"/>
        <v>0.73048401729160983</v>
      </c>
      <c r="AE48" s="28">
        <f t="shared" si="13"/>
        <v>0.71867850569381542</v>
      </c>
      <c r="AF48" s="28">
        <f t="shared" si="13"/>
        <v>0.35</v>
      </c>
      <c r="AG48" s="28">
        <f t="shared" si="13"/>
        <v>0.35</v>
      </c>
      <c r="AH48" s="28">
        <f t="shared" si="13"/>
        <v>0</v>
      </c>
      <c r="AI48" s="28">
        <f t="shared" si="13"/>
        <v>0</v>
      </c>
      <c r="AJ48" s="28">
        <f t="shared" si="13"/>
        <v>0</v>
      </c>
      <c r="AK48" s="28">
        <f t="shared" si="13"/>
        <v>0</v>
      </c>
      <c r="AL48" s="28">
        <f t="shared" si="13"/>
        <v>0</v>
      </c>
      <c r="AM48" s="28">
        <f t="shared" si="13"/>
        <v>0</v>
      </c>
      <c r="AN48" s="28">
        <f t="shared" si="13"/>
        <v>0</v>
      </c>
      <c r="AO48" s="28">
        <f t="shared" si="13"/>
        <v>0</v>
      </c>
      <c r="AP48" s="28">
        <f t="shared" si="13"/>
        <v>0</v>
      </c>
      <c r="AQ48" s="28">
        <f t="shared" si="13"/>
        <v>0</v>
      </c>
      <c r="AR48" s="28">
        <f t="shared" si="13"/>
        <v>0</v>
      </c>
      <c r="AS48" s="28">
        <f t="shared" si="13"/>
        <v>0</v>
      </c>
      <c r="AT48" s="28">
        <f t="shared" si="13"/>
        <v>0</v>
      </c>
      <c r="AU48" s="28">
        <f t="shared" si="13"/>
        <v>0</v>
      </c>
      <c r="AV48" s="28">
        <f t="shared" si="13"/>
        <v>0</v>
      </c>
      <c r="AW48" s="28">
        <f t="shared" si="13"/>
        <v>0</v>
      </c>
      <c r="AX48" s="13"/>
    </row>
    <row r="49" spans="2:50" x14ac:dyDescent="0.25">
      <c r="B49" t="s">
        <v>252</v>
      </c>
      <c r="C49" t="s">
        <v>70</v>
      </c>
      <c r="E49" s="18">
        <f>'DCF Caylloma'!E47</f>
        <v>0.91</v>
      </c>
      <c r="F49" s="18">
        <f>'DCF Caylloma'!F47</f>
        <v>0.91</v>
      </c>
      <c r="G49" s="18">
        <f>'DCF Caylloma'!G47</f>
        <v>0.9</v>
      </c>
      <c r="H49" s="18">
        <f>'DCF Caylloma'!H47</f>
        <v>0.88</v>
      </c>
      <c r="I49" s="18">
        <f>'DCF Caylloma'!I47</f>
        <v>0.88</v>
      </c>
      <c r="J49" s="18">
        <f>'DCF Caylloma'!J47</f>
        <v>0.88</v>
      </c>
      <c r="K49" s="29">
        <f t="shared" si="12"/>
        <v>0.89333333333333353</v>
      </c>
      <c r="L49" s="28">
        <f>'DCF Caylloma'!L47</f>
        <v>0.89333333333333342</v>
      </c>
      <c r="M49" s="28">
        <f>'DCF Caylloma'!M47</f>
        <v>0.89333333333333342</v>
      </c>
      <c r="N49" s="28">
        <f>'DCF Caylloma'!N47</f>
        <v>0.89333333333333342</v>
      </c>
      <c r="O49" s="28">
        <f>'DCF Caylloma'!O47</f>
        <v>0.89333333333333342</v>
      </c>
      <c r="P49" s="28">
        <f>'DCF Caylloma'!P47</f>
        <v>0.89333333333333342</v>
      </c>
      <c r="Q49" s="28">
        <f>'DCF Caylloma'!Q47</f>
        <v>0.89333333333333342</v>
      </c>
      <c r="R49" s="28">
        <f>'DCF Caylloma'!R47</f>
        <v>0.89333333333333342</v>
      </c>
      <c r="S49" s="28">
        <f>'DCF Caylloma'!S47</f>
        <v>0.89333333333333342</v>
      </c>
      <c r="T49" s="28">
        <f>'DCF Caylloma'!T47</f>
        <v>0.89333333333333342</v>
      </c>
      <c r="U49" s="28">
        <f>'DCF Caylloma'!U47</f>
        <v>0.89333333333333342</v>
      </c>
      <c r="V49" s="28">
        <f>'DCF Caylloma'!V47</f>
        <v>0.89333333333333342</v>
      </c>
      <c r="W49" s="28">
        <f>'DCF Caylloma'!W47</f>
        <v>0.89333333333333342</v>
      </c>
      <c r="X49" s="28">
        <f>'DCF Caylloma'!X47</f>
        <v>0.89333333333333342</v>
      </c>
      <c r="Y49" s="28">
        <f>'DCF Caylloma'!Y47</f>
        <v>0.89333333333333342</v>
      </c>
      <c r="Z49" s="28">
        <f>'DCF Caylloma'!Z47</f>
        <v>0.89333333333333342</v>
      </c>
      <c r="AA49" s="28">
        <f>'DCF Caylloma'!AA47</f>
        <v>0.89333333333333342</v>
      </c>
      <c r="AB49" s="28">
        <f>'DCF Caylloma'!AB47</f>
        <v>0.89333333333333342</v>
      </c>
      <c r="AC49" s="28">
        <f>'DCF Caylloma'!AC47</f>
        <v>0.89333333333333342</v>
      </c>
      <c r="AD49" s="28">
        <f>'DCF Caylloma'!AD47</f>
        <v>0.89333333333333342</v>
      </c>
      <c r="AE49" s="28">
        <f>'DCF Caylloma'!AE47</f>
        <v>0.89333333333333342</v>
      </c>
      <c r="AF49" s="28">
        <f>'DCF Caylloma'!AF47</f>
        <v>0.89333333333333342</v>
      </c>
      <c r="AG49" s="28">
        <f>'DCF Caylloma'!AG47</f>
        <v>0.89333333333333342</v>
      </c>
      <c r="AH49" s="28">
        <f>'DCF Caylloma'!AH47</f>
        <v>0.89333333333333342</v>
      </c>
      <c r="AI49" s="28">
        <f>'DCF Caylloma'!AI47</f>
        <v>0.89333333333333342</v>
      </c>
      <c r="AJ49" s="28">
        <f>'DCF Caylloma'!AJ47</f>
        <v>0.89333333333333342</v>
      </c>
      <c r="AK49" s="28">
        <f>'DCF Caylloma'!AK47</f>
        <v>0.89333333333333342</v>
      </c>
      <c r="AL49" s="28">
        <f>'DCF Caylloma'!AL47</f>
        <v>0.89333333333333342</v>
      </c>
      <c r="AM49" s="28">
        <f>'DCF Caylloma'!AM47</f>
        <v>0</v>
      </c>
      <c r="AN49" s="28">
        <f>'DCF Caylloma'!AN47</f>
        <v>0</v>
      </c>
      <c r="AO49" s="28">
        <f>'DCF Caylloma'!AO47</f>
        <v>0</v>
      </c>
      <c r="AP49" s="28">
        <f>'DCF Caylloma'!AP47</f>
        <v>0</v>
      </c>
      <c r="AQ49" s="28">
        <f>'DCF Caylloma'!AQ47</f>
        <v>0</v>
      </c>
      <c r="AR49" s="28">
        <f>'DCF Caylloma'!AR47</f>
        <v>0</v>
      </c>
      <c r="AS49" s="28">
        <f>'DCF Caylloma'!AS47</f>
        <v>0</v>
      </c>
      <c r="AT49" s="28">
        <f>'DCF Caylloma'!AT47</f>
        <v>0</v>
      </c>
      <c r="AU49" s="28">
        <f>'DCF Caylloma'!AU47</f>
        <v>0</v>
      </c>
      <c r="AV49" s="28">
        <f>'DCF Caylloma'!AV47</f>
        <v>0</v>
      </c>
      <c r="AW49" s="28">
        <f>'DCF Caylloma'!AW47</f>
        <v>0</v>
      </c>
      <c r="AX49" s="13"/>
    </row>
    <row r="50" spans="2:50" x14ac:dyDescent="0.25">
      <c r="B50" t="s">
        <v>253</v>
      </c>
      <c r="C50" t="s">
        <v>70</v>
      </c>
      <c r="E50" s="18">
        <f>'DCF Caylloma'!E48</f>
        <v>0.9</v>
      </c>
      <c r="F50" s="18">
        <f>'DCF Caylloma'!F48</f>
        <v>0.9</v>
      </c>
      <c r="G50" s="18">
        <f>'DCF Caylloma'!G48</f>
        <v>0.89</v>
      </c>
      <c r="H50" s="18">
        <f>'DCF Caylloma'!H48</f>
        <v>0.88</v>
      </c>
      <c r="I50" s="18">
        <f>'DCF Caylloma'!I48</f>
        <v>0.88</v>
      </c>
      <c r="J50" s="18">
        <f>'DCF Caylloma'!J48</f>
        <v>0.89</v>
      </c>
      <c r="K50" s="29">
        <f t="shared" si="12"/>
        <v>0.89000000000000035</v>
      </c>
      <c r="L50" s="28">
        <f>'DCF Caylloma'!L48</f>
        <v>0.89</v>
      </c>
      <c r="M50" s="28">
        <f>'DCF Caylloma'!M48</f>
        <v>0.89</v>
      </c>
      <c r="N50" s="28">
        <f>'DCF Caylloma'!N48</f>
        <v>0.89</v>
      </c>
      <c r="O50" s="28">
        <f>'DCF Caylloma'!O48</f>
        <v>0.89</v>
      </c>
      <c r="P50" s="28">
        <f>'DCF Caylloma'!P48</f>
        <v>0.89</v>
      </c>
      <c r="Q50" s="28">
        <f>'DCF Caylloma'!Q48</f>
        <v>0.89</v>
      </c>
      <c r="R50" s="28">
        <f>'DCF Caylloma'!R48</f>
        <v>0.89</v>
      </c>
      <c r="S50" s="28">
        <f>'DCF Caylloma'!S48</f>
        <v>0.89</v>
      </c>
      <c r="T50" s="28">
        <f>'DCF Caylloma'!T48</f>
        <v>0.89</v>
      </c>
      <c r="U50" s="28">
        <f>'DCF Caylloma'!U48</f>
        <v>0.89</v>
      </c>
      <c r="V50" s="28">
        <f>'DCF Caylloma'!V48</f>
        <v>0.89</v>
      </c>
      <c r="W50" s="28">
        <f>'DCF Caylloma'!W48</f>
        <v>0.89</v>
      </c>
      <c r="X50" s="28">
        <f>'DCF Caylloma'!X48</f>
        <v>0.89</v>
      </c>
      <c r="Y50" s="28">
        <f>'DCF Caylloma'!Y48</f>
        <v>0.89</v>
      </c>
      <c r="Z50" s="28">
        <f>'DCF Caylloma'!Z48</f>
        <v>0.89</v>
      </c>
      <c r="AA50" s="28">
        <f>'DCF Caylloma'!AA48</f>
        <v>0.89</v>
      </c>
      <c r="AB50" s="28">
        <f>'DCF Caylloma'!AB48</f>
        <v>0.89</v>
      </c>
      <c r="AC50" s="28">
        <f>'DCF Caylloma'!AC48</f>
        <v>0.89</v>
      </c>
      <c r="AD50" s="28">
        <f>'DCF Caylloma'!AD48</f>
        <v>0.89</v>
      </c>
      <c r="AE50" s="28">
        <f>'DCF Caylloma'!AE48</f>
        <v>0.89</v>
      </c>
      <c r="AF50" s="28">
        <f>'DCF Caylloma'!AF48</f>
        <v>0.89</v>
      </c>
      <c r="AG50" s="28">
        <f>'DCF Caylloma'!AG48</f>
        <v>0.89</v>
      </c>
      <c r="AH50" s="28">
        <f>'DCF Caylloma'!AH48</f>
        <v>0.89</v>
      </c>
      <c r="AI50" s="28">
        <f>'DCF Caylloma'!AI48</f>
        <v>0.89</v>
      </c>
      <c r="AJ50" s="28">
        <f>'DCF Caylloma'!AJ48</f>
        <v>0.89</v>
      </c>
      <c r="AK50" s="28">
        <f>'DCF Caylloma'!AK48</f>
        <v>0.89</v>
      </c>
      <c r="AL50" s="28">
        <f>'DCF Caylloma'!AL48</f>
        <v>0.89</v>
      </c>
      <c r="AM50" s="28">
        <f>'DCF Caylloma'!AM48</f>
        <v>0</v>
      </c>
      <c r="AN50" s="28">
        <f>'DCF Caylloma'!AN48</f>
        <v>0</v>
      </c>
      <c r="AO50" s="28">
        <f>'DCF Caylloma'!AO48</f>
        <v>0</v>
      </c>
      <c r="AP50" s="28">
        <f>'DCF Caylloma'!AP48</f>
        <v>0</v>
      </c>
      <c r="AQ50" s="28">
        <f>'DCF Caylloma'!AQ48</f>
        <v>0</v>
      </c>
      <c r="AR50" s="28">
        <f>'DCF Caylloma'!AR48</f>
        <v>0</v>
      </c>
      <c r="AS50" s="28">
        <f>'DCF Caylloma'!AS48</f>
        <v>0</v>
      </c>
      <c r="AT50" s="28">
        <f>'DCF Caylloma'!AT48</f>
        <v>0</v>
      </c>
      <c r="AU50" s="28">
        <f>'DCF Caylloma'!AU48</f>
        <v>0</v>
      </c>
      <c r="AV50" s="28">
        <f>'DCF Caylloma'!AV48</f>
        <v>0</v>
      </c>
      <c r="AW50" s="28">
        <f>'DCF Caylloma'!AW48</f>
        <v>0</v>
      </c>
      <c r="AX50" s="13"/>
    </row>
    <row r="51" spans="2:50" x14ac:dyDescent="0.25">
      <c r="K51" s="26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2:50" ht="15.75" thickBot="1" x14ac:dyDescent="0.3">
      <c r="B52" s="14" t="s">
        <v>87</v>
      </c>
      <c r="K52" s="26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2:50" x14ac:dyDescent="0.25">
      <c r="B53" t="s">
        <v>254</v>
      </c>
      <c r="C53" t="s">
        <v>84</v>
      </c>
      <c r="E53" s="6">
        <f>'DCF Caylloma'!E51+'DCF San Jose'!E43</f>
        <v>8469594</v>
      </c>
      <c r="F53" s="6">
        <f>'DCF Caylloma'!F51+'DCF San Jose'!F43</f>
        <v>8890943</v>
      </c>
      <c r="G53" s="6">
        <f>'DCF Caylloma'!G51+'DCF San Jose'!G43</f>
        <v>8809767</v>
      </c>
      <c r="H53" s="6">
        <f>'DCF Caylloma'!H51+'DCF San Jose'!H43</f>
        <v>7133717</v>
      </c>
      <c r="I53" s="6">
        <f>'DCF Caylloma'!I51+'DCF San Jose'!I43</f>
        <v>7498701</v>
      </c>
      <c r="J53" s="6">
        <f>'DCF Caylloma'!J51+'DCF San Jose'!J43</f>
        <v>1670128</v>
      </c>
      <c r="K53" s="15">
        <f>SUM(L53:AW53)</f>
        <v>41095634.711165152</v>
      </c>
      <c r="L53" s="16">
        <f>'DCF Caylloma'!L51+'DCF San Jose'!L43</f>
        <v>1705933.2528810198</v>
      </c>
      <c r="M53" s="16">
        <f>'DCF Caylloma'!M51+'DCF San Jose'!M43</f>
        <v>1645533.7794690956</v>
      </c>
      <c r="N53" s="16">
        <f>'DCF Caylloma'!N51+'DCF San Jose'!N43</f>
        <v>1645533.7794690956</v>
      </c>
      <c r="O53" s="16">
        <f>'DCF Caylloma'!O51+'DCF San Jose'!O43</f>
        <v>1665146.8330207597</v>
      </c>
      <c r="P53" s="16">
        <f>'DCF Caylloma'!P51+'DCF San Jose'!P43</f>
        <v>5087948.6564523214</v>
      </c>
      <c r="Q53" s="16">
        <f>'DCF Caylloma'!Q51+'DCF San Jose'!Q43</f>
        <v>6386528.7231279835</v>
      </c>
      <c r="R53" s="16">
        <f>'DCF Caylloma'!R51+'DCF San Jose'!R43</f>
        <v>2621840.0753523642</v>
      </c>
      <c r="S53" s="16">
        <f>'DCF Caylloma'!S51+'DCF San Jose'!S43</f>
        <v>1174571.5374498141</v>
      </c>
      <c r="T53" s="16">
        <f>'DCF Caylloma'!T51+'DCF San Jose'!T43</f>
        <v>1181302.7708438763</v>
      </c>
      <c r="U53" s="16">
        <f>'DCF Caylloma'!U51+'DCF San Jose'!U43</f>
        <v>1376452.8378459581</v>
      </c>
      <c r="V53" s="16">
        <f>'DCF Caylloma'!V51+'DCF San Jose'!V43</f>
        <v>1230154.9051584729</v>
      </c>
      <c r="W53" s="16">
        <f>'DCF Caylloma'!W51+'DCF San Jose'!W43</f>
        <v>1160420.0731431898</v>
      </c>
      <c r="X53" s="16">
        <f>'DCF Caylloma'!X51+'DCF San Jose'!X43</f>
        <v>1160420.0731431898</v>
      </c>
      <c r="Y53" s="16">
        <f>'DCF Caylloma'!Y51+'DCF San Jose'!Y43</f>
        <v>1163599.3062202944</v>
      </c>
      <c r="Z53" s="16">
        <f>'DCF Caylloma'!Z51+'DCF San Jose'!Z43</f>
        <v>1600277.2327032555</v>
      </c>
      <c r="AA53" s="16">
        <f>'DCF Caylloma'!AA51+'DCF San Jose'!AA43</f>
        <v>1641569.859568415</v>
      </c>
      <c r="AB53" s="16">
        <f>'DCF Caylloma'!AB51+'DCF San Jose'!AB43</f>
        <v>1641569.859568415</v>
      </c>
      <c r="AC53" s="16">
        <f>'DCF Caylloma'!AC51+'DCF San Jose'!AC43</f>
        <v>1646067.3112384651</v>
      </c>
      <c r="AD53" s="16">
        <f>'DCF Caylloma'!AD51+'DCF San Jose'!AD43</f>
        <v>1641569.859568415</v>
      </c>
      <c r="AE53" s="16">
        <f>'DCF Caylloma'!AE51+'DCF San Jose'!AE43</f>
        <v>1641569.859568415</v>
      </c>
      <c r="AF53" s="16">
        <f>'DCF Caylloma'!AF51+'DCF San Jose'!AF43</f>
        <v>1641569.859568415</v>
      </c>
      <c r="AG53" s="16">
        <f>'DCF Caylloma'!AG51+'DCF San Jose'!AG43</f>
        <v>436054.26580391906</v>
      </c>
      <c r="AH53" s="16">
        <f>'DCF Caylloma'!AH51+'DCF San Jose'!AH43</f>
        <v>0</v>
      </c>
      <c r="AI53" s="16">
        <f>'DCF Caylloma'!AI51+'DCF San Jose'!AI43</f>
        <v>0</v>
      </c>
      <c r="AJ53" s="16">
        <f>'DCF Caylloma'!AJ51+'DCF San Jose'!AJ43</f>
        <v>0</v>
      </c>
      <c r="AK53" s="16">
        <f>'DCF Caylloma'!AK51+'DCF San Jose'!AK43</f>
        <v>0</v>
      </c>
      <c r="AL53" s="16">
        <f>'DCF Caylloma'!AL51+'DCF San Jose'!AL43</f>
        <v>0</v>
      </c>
      <c r="AM53" s="16">
        <f>'DCF Caylloma'!AM51+'DCF San Jose'!AM43</f>
        <v>0</v>
      </c>
      <c r="AN53" s="16">
        <f>'DCF Caylloma'!AN51+'DCF San Jose'!AN43</f>
        <v>0</v>
      </c>
      <c r="AO53" s="16">
        <f>'DCF Caylloma'!AO51+'DCF San Jose'!AO43</f>
        <v>0</v>
      </c>
      <c r="AP53" s="16">
        <f>'DCF Caylloma'!AP51+'DCF San Jose'!AP43</f>
        <v>0</v>
      </c>
      <c r="AQ53" s="16">
        <f>'DCF Caylloma'!AQ51+'DCF San Jose'!AQ43</f>
        <v>0</v>
      </c>
      <c r="AR53" s="16">
        <f>'DCF Caylloma'!AR51+'DCF San Jose'!AR43</f>
        <v>0</v>
      </c>
      <c r="AS53" s="16">
        <f>'DCF Caylloma'!AS51+'DCF San Jose'!AS43</f>
        <v>0</v>
      </c>
      <c r="AT53" s="16">
        <f>'DCF Caylloma'!AT51+'DCF San Jose'!AT43</f>
        <v>0</v>
      </c>
      <c r="AU53" s="16">
        <f>'DCF Caylloma'!AU51+'DCF San Jose'!AU43</f>
        <v>0</v>
      </c>
      <c r="AV53" s="16">
        <f>'DCF Caylloma'!AV51+'DCF San Jose'!AV43</f>
        <v>0</v>
      </c>
      <c r="AW53" s="16">
        <f>'DCF Caylloma'!AW51+'DCF San Jose'!AW43</f>
        <v>0</v>
      </c>
      <c r="AX53" s="13"/>
    </row>
    <row r="54" spans="2:50" x14ac:dyDescent="0.25">
      <c r="B54" t="s">
        <v>255</v>
      </c>
      <c r="C54" t="s">
        <v>84</v>
      </c>
      <c r="E54" s="6">
        <f>'DCF Caylloma'!E52+'DCF San Jose'!E44+'DCF Lindero'!E39+'DCF Yaramoko'!E39</f>
        <v>55950</v>
      </c>
      <c r="F54" s="6">
        <f>'DCF Caylloma'!F52+'DCF San Jose'!F44+'DCF Lindero'!F39+'DCF Yaramoko'!F39</f>
        <v>53517</v>
      </c>
      <c r="G54" s="6">
        <f>'DCF Caylloma'!G52+'DCF San Jose'!G44+'DCF Lindero'!G39+'DCF Yaramoko'!G39</f>
        <v>48880</v>
      </c>
      <c r="H54" s="6">
        <f>'DCF Caylloma'!H52+'DCF San Jose'!H44+'DCF Lindero'!H39+'DCF Yaramoko'!H39</f>
        <v>55289</v>
      </c>
      <c r="I54" s="6">
        <f>'DCF Caylloma'!I52+'DCF San Jose'!I44+'DCF Lindero'!I39+'DCF Yaramoko'!I39</f>
        <v>207191</v>
      </c>
      <c r="J54" s="6">
        <f>'DCF Caylloma'!J52+'DCF San Jose'!J44+'DCF Lindero'!J39+'DCF Yaramoko'!J39</f>
        <v>66800</v>
      </c>
      <c r="K54" s="15">
        <f t="shared" ref="K54:K56" si="14">SUM(L54:AW54)</f>
        <v>3128831.04137534</v>
      </c>
      <c r="L54" s="16">
        <f>'DCF Caylloma'!L52+'DCF San Jose'!L44+'DCF Lindero'!L39+'DCF Yaramoko'!L39+'DCF Seguela'!H29</f>
        <v>67482.018140259199</v>
      </c>
      <c r="M54" s="16">
        <f>'DCF Caylloma'!M52+'DCF San Jose'!M44+'DCF Lindero'!M39+'DCF Yaramoko'!M39+'DCF Seguela'!I29</f>
        <v>67356.472657832608</v>
      </c>
      <c r="N54" s="16">
        <f>'DCF Caylloma'!N52+'DCF San Jose'!N44+'DCF Lindero'!N39+'DCF Yaramoko'!N39+'DCF Seguela'!J29</f>
        <v>63532.985174652204</v>
      </c>
      <c r="O54" s="16">
        <f>'DCF Caylloma'!O52+'DCF San Jose'!O44+'DCF Lindero'!O39+'DCF Yaramoko'!O39+'DCF Seguela'!K29</f>
        <v>64177.378910576721</v>
      </c>
      <c r="P54" s="16">
        <f>'DCF Caylloma'!P52+'DCF San Jose'!P44+'DCF Lindero'!P39+'DCF Yaramoko'!P39+'DCF Seguela'!L29</f>
        <v>196097.54667120666</v>
      </c>
      <c r="Q54" s="16">
        <f>'DCF Caylloma'!Q52+'DCF San Jose'!Q44+'DCF Lindero'!Q39+'DCF Yaramoko'!Q39+'DCF Seguela'!M29</f>
        <v>362279.62743804982</v>
      </c>
      <c r="R54" s="16">
        <f>'DCF Caylloma'!R52+'DCF San Jose'!R44+'DCF Lindero'!R39+'DCF Yaramoko'!R39+'DCF Seguela'!N29</f>
        <v>380119.1125079497</v>
      </c>
      <c r="S54" s="16">
        <f>'DCF Caylloma'!S52+'DCF San Jose'!S44+'DCF Lindero'!S39+'DCF Yaramoko'!S39+'DCF Seguela'!O29</f>
        <v>317271.2471461856</v>
      </c>
      <c r="T54" s="16">
        <f>'DCF Caylloma'!T52+'DCF San Jose'!T44+'DCF Lindero'!T39+'DCF Yaramoko'!T39+'DCF Seguela'!P29</f>
        <v>235989.38398301997</v>
      </c>
      <c r="U54" s="16">
        <f>'DCF Caylloma'!U52+'DCF San Jose'!U44+'DCF Lindero'!U39+'DCF Yaramoko'!U39+'DCF Seguela'!Q29</f>
        <v>208778.45418972534</v>
      </c>
      <c r="V54" s="16">
        <f>'DCF Caylloma'!V52+'DCF San Jose'!V44+'DCF Lindero'!V39+'DCF Yaramoko'!V39+'DCF Seguela'!R29</f>
        <v>227733.01534808718</v>
      </c>
      <c r="W54" s="16">
        <f>'DCF Caylloma'!W52+'DCF San Jose'!W44+'DCF Lindero'!W39+'DCF Yaramoko'!W39+'DCF Seguela'!S29</f>
        <v>177585.78620112903</v>
      </c>
      <c r="X54" s="16">
        <f>'DCF Caylloma'!X52+'DCF San Jose'!X44+'DCF Lindero'!X39+'DCF Yaramoko'!X39+'DCF Seguela'!T29</f>
        <v>171318.18945451704</v>
      </c>
      <c r="Y54" s="16">
        <f>'DCF Caylloma'!Y52+'DCF San Jose'!Y44+'DCF Lindero'!Y39+'DCF Yaramoko'!Y39+'DCF Seguela'!U29</f>
        <v>138084.10001735925</v>
      </c>
      <c r="Z54" s="16">
        <f>'DCF Caylloma'!Z52+'DCF San Jose'!Z44+'DCF Lindero'!Z39+'DCF Yaramoko'!Z39+'DCF Seguela'!V29</f>
        <v>87433.28062606162</v>
      </c>
      <c r="AA54" s="16">
        <f>'DCF Caylloma'!AA52+'DCF San Jose'!AA44+'DCF Lindero'!AA39+'DCF Yaramoko'!AA39+'DCF Seguela'!W29</f>
        <v>87612.527500299111</v>
      </c>
      <c r="AB54" s="16">
        <f>'DCF Caylloma'!AB52+'DCF San Jose'!AB44+'DCF Lindero'!AB39+'DCF Yaramoko'!AB39+'DCF Seguela'!X29</f>
        <v>87612.527500299111</v>
      </c>
      <c r="AC54" s="16">
        <f>'DCF Caylloma'!AC52+'DCF San Jose'!AC44+'DCF Lindero'!AC39+'DCF Yaramoko'!AC39+'DCF Seguela'!Y29</f>
        <v>69403.277412958385</v>
      </c>
      <c r="AD54" s="16">
        <f>'DCF Caylloma'!AD52+'DCF San Jose'!AD44+'DCF Lindero'!AD39+'DCF Yaramoko'!AD39+'DCF Seguela'!Z29</f>
        <v>63812.986543514489</v>
      </c>
      <c r="AE54" s="16">
        <f>'DCF Caylloma'!AE52+'DCF San Jose'!AE44+'DCF Lindero'!AE39+'DCF Yaramoko'!AE39+'DCF Seguela'!AA29</f>
        <v>50695.064729706202</v>
      </c>
      <c r="AF54" s="16">
        <f>'DCF Caylloma'!AF52+'DCF San Jose'!AF44+'DCF Lindero'!AF39+'DCF Yaramoko'!AF39+'DCF Seguela'!AB29</f>
        <v>3520.8161196601336</v>
      </c>
      <c r="AG54" s="16">
        <f>'DCF Caylloma'!AG52+'DCF San Jose'!AG44+'DCF Lindero'!AG39+'DCF Yaramoko'!AG39+'DCF Seguela'!AC29</f>
        <v>935.24310229029163</v>
      </c>
      <c r="AH54" s="16">
        <f>'DCF Caylloma'!AH52+'DCF San Jose'!AH44+'DCF Lindero'!AH39+'DCF Yaramoko'!AH39+'DCF Seguela'!AD29</f>
        <v>0</v>
      </c>
      <c r="AI54" s="16">
        <f>'DCF Caylloma'!AI52+'DCF San Jose'!AI44+'DCF Lindero'!AI39+'DCF Yaramoko'!AI39+'DCF Seguela'!AE29</f>
        <v>0</v>
      </c>
      <c r="AJ54" s="16">
        <f>'DCF Caylloma'!AJ52+'DCF San Jose'!AJ44+'DCF Lindero'!AJ39+'DCF Yaramoko'!AJ39+'DCF Seguela'!AF29</f>
        <v>0</v>
      </c>
      <c r="AK54" s="16">
        <f>'DCF Caylloma'!AK52+'DCF San Jose'!AK44+'DCF Lindero'!AK39+'DCF Yaramoko'!AK39+'DCF Seguela'!AG29</f>
        <v>0</v>
      </c>
      <c r="AL54" s="16">
        <f>'DCF Caylloma'!AL52+'DCF San Jose'!AL44+'DCF Lindero'!AL39+'DCF Yaramoko'!AL39+'DCF Seguela'!AH29</f>
        <v>0</v>
      </c>
      <c r="AM54" s="16">
        <f>'DCF Caylloma'!AM52+'DCF San Jose'!AM44+'DCF Lindero'!AM39+'DCF Yaramoko'!AM39+'DCF Seguela'!AI29</f>
        <v>0</v>
      </c>
      <c r="AN54" s="16">
        <f>'DCF Caylloma'!AN52+'DCF San Jose'!AN44+'DCF Lindero'!AN39+'DCF Yaramoko'!AN39+'DCF Seguela'!AJ29</f>
        <v>0</v>
      </c>
      <c r="AO54" s="16">
        <f>'DCF Caylloma'!AO52+'DCF San Jose'!AO44+'DCF Lindero'!AO39+'DCF Yaramoko'!AO39+'DCF Seguela'!AK29</f>
        <v>0</v>
      </c>
      <c r="AP54" s="16">
        <f>'DCF Caylloma'!AP52+'DCF San Jose'!AP44+'DCF Lindero'!AP39+'DCF Yaramoko'!AP39+'DCF Seguela'!AL29</f>
        <v>0</v>
      </c>
      <c r="AQ54" s="16">
        <f>'DCF Caylloma'!AQ52+'DCF San Jose'!AQ44+'DCF Lindero'!AQ39+'DCF Yaramoko'!AQ39+'DCF Seguela'!AM29</f>
        <v>0</v>
      </c>
      <c r="AR54" s="16">
        <f>'DCF Caylloma'!AR52+'DCF San Jose'!AR44+'DCF Lindero'!AR39+'DCF Yaramoko'!AR39+'DCF Seguela'!AN29</f>
        <v>0</v>
      </c>
      <c r="AS54" s="16">
        <f>'DCF Caylloma'!AS52+'DCF San Jose'!AS44+'DCF Lindero'!AS39+'DCF Yaramoko'!AS39+'DCF Seguela'!AO29</f>
        <v>0</v>
      </c>
      <c r="AT54" s="16">
        <f>'DCF Caylloma'!AT52+'DCF San Jose'!AT44+'DCF Lindero'!AT39+'DCF Yaramoko'!AT39+'DCF Seguela'!AP29</f>
        <v>0</v>
      </c>
      <c r="AU54" s="16">
        <f>'DCF Caylloma'!AU52+'DCF San Jose'!AU44+'DCF Lindero'!AU39+'DCF Yaramoko'!AU39+'DCF Seguela'!AQ29</f>
        <v>0</v>
      </c>
      <c r="AV54" s="16">
        <f>'DCF Caylloma'!AV52+'DCF San Jose'!AV44+'DCF Lindero'!AV39+'DCF Yaramoko'!AV39+'DCF Seguela'!AR29</f>
        <v>0</v>
      </c>
      <c r="AW54" s="16">
        <f>'DCF Caylloma'!AW52+'DCF San Jose'!AW44+'DCF Lindero'!AW39+'DCF Yaramoko'!AW39+'DCF Seguela'!AS29</f>
        <v>0</v>
      </c>
      <c r="AX54" s="13"/>
    </row>
    <row r="55" spans="2:50" x14ac:dyDescent="0.25">
      <c r="B55" t="s">
        <v>256</v>
      </c>
      <c r="C55" t="s">
        <v>89</v>
      </c>
      <c r="E55" s="6">
        <f>'DCF Caylloma'!E53</f>
        <v>29878000</v>
      </c>
      <c r="F55" s="6">
        <f>'DCF Caylloma'!F53</f>
        <v>28255000</v>
      </c>
      <c r="G55" s="6">
        <f>'DCF Caylloma'!G53</f>
        <v>28746000</v>
      </c>
      <c r="H55" s="6">
        <f>'DCF Caylloma'!H53</f>
        <v>29628000</v>
      </c>
      <c r="I55" s="6">
        <f>'DCF Caylloma'!I53</f>
        <v>32990000</v>
      </c>
      <c r="J55" s="6">
        <f>'DCF Caylloma'!J53</f>
        <v>9134000</v>
      </c>
      <c r="K55" s="15">
        <f t="shared" si="14"/>
        <v>396180212.25232464</v>
      </c>
      <c r="L55" s="16">
        <f>'DCF Caylloma'!L53</f>
        <v>7342110.3266659621</v>
      </c>
      <c r="M55" s="16">
        <f>'DCF Caylloma'!M53</f>
        <v>7735437.6655944949</v>
      </c>
      <c r="N55" s="16">
        <f>'DCF Caylloma'!N53</f>
        <v>7735437.6655944949</v>
      </c>
      <c r="O55" s="16">
        <f>'DCF Caylloma'!O53</f>
        <v>6567042.8437569467</v>
      </c>
      <c r="P55" s="16">
        <f>'DCF Caylloma'!P53</f>
        <v>20065964.244812891</v>
      </c>
      <c r="Q55" s="16">
        <f>'DCF Caylloma'!Q53</f>
        <v>26705974.231278248</v>
      </c>
      <c r="R55" s="16">
        <f>'DCF Caylloma'!R53</f>
        <v>26633007.088569839</v>
      </c>
      <c r="S55" s="16">
        <f>'DCF Caylloma'!S53</f>
        <v>26633007.088569839</v>
      </c>
      <c r="T55" s="16">
        <f>'DCF Caylloma'!T53</f>
        <v>26363320.810418308</v>
      </c>
      <c r="U55" s="16">
        <f>'DCF Caylloma'!U53</f>
        <v>18746546.617250219</v>
      </c>
      <c r="V55" s="16">
        <f>'DCF Caylloma'!V53</f>
        <v>17432952.932116561</v>
      </c>
      <c r="W55" s="16">
        <f>'DCF Caylloma'!W53</f>
        <v>16815349.573567625</v>
      </c>
      <c r="X55" s="16">
        <f>'DCF Caylloma'!X53</f>
        <v>16815349.573567625</v>
      </c>
      <c r="Y55" s="16">
        <f>'DCF Caylloma'!Y53</f>
        <v>16861419.024454109</v>
      </c>
      <c r="Z55" s="16">
        <f>'DCF Caylloma'!Z53</f>
        <v>20825500.173025928</v>
      </c>
      <c r="AA55" s="16">
        <f>'DCF Caylloma'!AA53</f>
        <v>21201962.505802654</v>
      </c>
      <c r="AB55" s="16">
        <f>'DCF Caylloma'!AB53</f>
        <v>21201962.505802654</v>
      </c>
      <c r="AC55" s="16">
        <f>'DCF Caylloma'!AC53</f>
        <v>21260050.0743117</v>
      </c>
      <c r="AD55" s="16">
        <f>'DCF Caylloma'!AD53</f>
        <v>21201962.505802654</v>
      </c>
      <c r="AE55" s="16">
        <f>'DCF Caylloma'!AE53</f>
        <v>21201962.505802654</v>
      </c>
      <c r="AF55" s="16">
        <f>'DCF Caylloma'!AF53</f>
        <v>21201962.505802654</v>
      </c>
      <c r="AG55" s="16">
        <f>'DCF Caylloma'!AG53</f>
        <v>5631929.7897566492</v>
      </c>
      <c r="AH55" s="16">
        <f>'DCF Caylloma'!AH53</f>
        <v>0</v>
      </c>
      <c r="AI55" s="16">
        <f>'DCF Caylloma'!AI53</f>
        <v>0</v>
      </c>
      <c r="AJ55" s="16">
        <f>'DCF Caylloma'!AJ53</f>
        <v>0</v>
      </c>
      <c r="AK55" s="16">
        <f>'DCF Caylloma'!AK53</f>
        <v>0</v>
      </c>
      <c r="AL55" s="16">
        <f>'DCF Caylloma'!AL53</f>
        <v>0</v>
      </c>
      <c r="AM55" s="16">
        <f>'DCF Caylloma'!AM53</f>
        <v>0</v>
      </c>
      <c r="AN55" s="16">
        <f>'DCF Caylloma'!AN53</f>
        <v>0</v>
      </c>
      <c r="AO55" s="16">
        <f>'DCF Caylloma'!AO53</f>
        <v>0</v>
      </c>
      <c r="AP55" s="16">
        <f>'DCF Caylloma'!AP53</f>
        <v>0</v>
      </c>
      <c r="AQ55" s="16">
        <f>'DCF Caylloma'!AQ53</f>
        <v>0</v>
      </c>
      <c r="AR55" s="16">
        <f>'DCF Caylloma'!AR53</f>
        <v>0</v>
      </c>
      <c r="AS55" s="16">
        <f>'DCF Caylloma'!AS53</f>
        <v>0</v>
      </c>
      <c r="AT55" s="16">
        <f>'DCF Caylloma'!AT53</f>
        <v>0</v>
      </c>
      <c r="AU55" s="16">
        <f>'DCF Caylloma'!AU53</f>
        <v>0</v>
      </c>
      <c r="AV55" s="16">
        <f>'DCF Caylloma'!AV53</f>
        <v>0</v>
      </c>
      <c r="AW55" s="16">
        <f>'DCF Caylloma'!AW53</f>
        <v>0</v>
      </c>
      <c r="AX55" s="13"/>
    </row>
    <row r="56" spans="2:50" x14ac:dyDescent="0.25">
      <c r="B56" t="s">
        <v>257</v>
      </c>
      <c r="C56" t="s">
        <v>89</v>
      </c>
      <c r="E56" s="6">
        <f>'DCF Caylloma'!E54</f>
        <v>44347000</v>
      </c>
      <c r="F56" s="6">
        <f>'DCF Caylloma'!F54</f>
        <v>45485000</v>
      </c>
      <c r="G56" s="6">
        <f>'DCF Caylloma'!G54</f>
        <v>45600000</v>
      </c>
      <c r="H56" s="6">
        <f>'DCF Caylloma'!H54</f>
        <v>45545000</v>
      </c>
      <c r="I56" s="6">
        <f>'DCF Caylloma'!I54</f>
        <v>47549000</v>
      </c>
      <c r="J56" s="6">
        <f>'DCF Caylloma'!J54</f>
        <v>10827000</v>
      </c>
      <c r="K56" s="15">
        <f t="shared" si="14"/>
        <v>656050361.63296318</v>
      </c>
      <c r="L56" s="16">
        <f>'DCF Caylloma'!L54</f>
        <v>11050443.52883769</v>
      </c>
      <c r="M56" s="16">
        <f>'DCF Caylloma'!M54</f>
        <v>11050443.52883769</v>
      </c>
      <c r="N56" s="16">
        <f>'DCF Caylloma'!N54</f>
        <v>11050443.52883769</v>
      </c>
      <c r="O56" s="16">
        <f>'DCF Caylloma'!O54</f>
        <v>9647037.8280721009</v>
      </c>
      <c r="P56" s="16">
        <f>'DCF Caylloma'!P54</f>
        <v>29477060.030220307</v>
      </c>
      <c r="Q56" s="16">
        <f>'DCF Caylloma'!Q54</f>
        <v>39231287.167493209</v>
      </c>
      <c r="R56" s="16">
        <f>'DCF Caylloma'!R54</f>
        <v>39124097.858292408</v>
      </c>
      <c r="S56" s="16">
        <f>'DCF Caylloma'!S54</f>
        <v>39124097.858292408</v>
      </c>
      <c r="T56" s="16">
        <f>'DCF Caylloma'!T54</f>
        <v>38940264.18361371</v>
      </c>
      <c r="U56" s="16">
        <f>'DCF Caylloma'!U54</f>
        <v>33805683.623052657</v>
      </c>
      <c r="V56" s="16">
        <f>'DCF Caylloma'!V54</f>
        <v>32665265.647994544</v>
      </c>
      <c r="W56" s="16">
        <f>'DCF Caylloma'!W54</f>
        <v>32152516.590990309</v>
      </c>
      <c r="X56" s="16">
        <f>'DCF Caylloma'!X54</f>
        <v>32152516.590990309</v>
      </c>
      <c r="Y56" s="16">
        <f>'DCF Caylloma'!Y54</f>
        <v>32240605.677540958</v>
      </c>
      <c r="Z56" s="16">
        <f>'DCF Caylloma'!Z54</f>
        <v>36052580.433587134</v>
      </c>
      <c r="AA56" s="16">
        <f>'DCF Caylloma'!AA54</f>
        <v>36418708.112772197</v>
      </c>
      <c r="AB56" s="16">
        <f>'DCF Caylloma'!AB54</f>
        <v>36418708.112772197</v>
      </c>
      <c r="AC56" s="16">
        <f>'DCF Caylloma'!AC54</f>
        <v>36518485.39527294</v>
      </c>
      <c r="AD56" s="16">
        <f>'DCF Caylloma'!AD54</f>
        <v>36418708.112772197</v>
      </c>
      <c r="AE56" s="16">
        <f>'DCF Caylloma'!AE54</f>
        <v>36418708.112772197</v>
      </c>
      <c r="AF56" s="16">
        <f>'DCF Caylloma'!AF54</f>
        <v>36418708.112772197</v>
      </c>
      <c r="AG56" s="16">
        <f>'DCF Caylloma'!AG54</f>
        <v>9673991.5971759241</v>
      </c>
      <c r="AH56" s="16">
        <f>'DCF Caylloma'!AH54</f>
        <v>0</v>
      </c>
      <c r="AI56" s="16">
        <f>'DCF Caylloma'!AI54</f>
        <v>0</v>
      </c>
      <c r="AJ56" s="16">
        <f>'DCF Caylloma'!AJ54</f>
        <v>0</v>
      </c>
      <c r="AK56" s="16">
        <f>'DCF Caylloma'!AK54</f>
        <v>0</v>
      </c>
      <c r="AL56" s="16">
        <f>'DCF Caylloma'!AL54</f>
        <v>0</v>
      </c>
      <c r="AM56" s="16">
        <f>'DCF Caylloma'!AM54</f>
        <v>0</v>
      </c>
      <c r="AN56" s="16">
        <f>'DCF Caylloma'!AN54</f>
        <v>0</v>
      </c>
      <c r="AO56" s="16">
        <f>'DCF Caylloma'!AO54</f>
        <v>0</v>
      </c>
      <c r="AP56" s="16">
        <f>'DCF Caylloma'!AP54</f>
        <v>0</v>
      </c>
      <c r="AQ56" s="16">
        <f>'DCF Caylloma'!AQ54</f>
        <v>0</v>
      </c>
      <c r="AR56" s="16">
        <f>'DCF Caylloma'!AR54</f>
        <v>0</v>
      </c>
      <c r="AS56" s="16">
        <f>'DCF Caylloma'!AS54</f>
        <v>0</v>
      </c>
      <c r="AT56" s="16">
        <f>'DCF Caylloma'!AT54</f>
        <v>0</v>
      </c>
      <c r="AU56" s="16">
        <f>'DCF Caylloma'!AU54</f>
        <v>0</v>
      </c>
      <c r="AV56" s="16">
        <f>'DCF Caylloma'!AV54</f>
        <v>0</v>
      </c>
      <c r="AW56" s="16">
        <f>'DCF Caylloma'!AW54</f>
        <v>0</v>
      </c>
      <c r="AX56" s="13"/>
    </row>
    <row r="57" spans="2:50" x14ac:dyDescent="0.25">
      <c r="K57" s="26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2:50" ht="15.75" thickBot="1" x14ac:dyDescent="0.3">
      <c r="B58" s="14" t="s">
        <v>91</v>
      </c>
      <c r="K58" s="26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spans="2:50" x14ac:dyDescent="0.25">
      <c r="B59" t="s">
        <v>246</v>
      </c>
      <c r="C59" t="s">
        <v>70</v>
      </c>
      <c r="E59" s="18">
        <f>E65/E53</f>
        <v>0.94362611957961207</v>
      </c>
      <c r="F59" s="18">
        <f t="shared" ref="F59:J60" si="15">F65/F53</f>
        <v>0.92642868102839915</v>
      </c>
      <c r="G59" s="18">
        <f t="shared" si="15"/>
        <v>0.96347377434151771</v>
      </c>
      <c r="H59" s="18">
        <f t="shared" si="15"/>
        <v>0.96398706700986725</v>
      </c>
      <c r="I59" s="18">
        <f t="shared" si="15"/>
        <v>0.9403093259318509</v>
      </c>
      <c r="J59" s="18">
        <f t="shared" si="15"/>
        <v>0.97919791917139198</v>
      </c>
      <c r="K59" s="29">
        <f t="shared" ref="K59:K62" si="16">AVERAGEIF(L59:AW59,"&gt;0")</f>
        <v>0.92153188829627897</v>
      </c>
      <c r="L59" s="28">
        <f>IFERROR(L65/L53,0)</f>
        <v>0.95089303067465547</v>
      </c>
      <c r="M59" s="28">
        <f t="shared" ref="M59:AW60" si="17">IFERROR(M65/M53,0)</f>
        <v>0.95244700680160577</v>
      </c>
      <c r="N59" s="28">
        <f t="shared" si="17"/>
        <v>0.95244700680160577</v>
      </c>
      <c r="O59" s="28">
        <f t="shared" si="17"/>
        <v>0.95105234286832196</v>
      </c>
      <c r="P59" s="28">
        <f t="shared" si="17"/>
        <v>0.95105234286832185</v>
      </c>
      <c r="Q59" s="28">
        <f t="shared" si="17"/>
        <v>0.950512854181222</v>
      </c>
      <c r="R59" s="28">
        <f t="shared" si="17"/>
        <v>0.93695344442045492</v>
      </c>
      <c r="S59" s="28">
        <f t="shared" si="17"/>
        <v>0.90855623426013021</v>
      </c>
      <c r="T59" s="28">
        <f t="shared" si="17"/>
        <v>0.9085562342601301</v>
      </c>
      <c r="U59" s="28">
        <f t="shared" si="17"/>
        <v>0.9085562342601301</v>
      </c>
      <c r="V59" s="28">
        <f t="shared" si="17"/>
        <v>0.90855623426013021</v>
      </c>
      <c r="W59" s="28">
        <f t="shared" si="17"/>
        <v>0.90855623426013021</v>
      </c>
      <c r="X59" s="28">
        <f t="shared" si="17"/>
        <v>0.90855623426013021</v>
      </c>
      <c r="Y59" s="28">
        <f t="shared" si="17"/>
        <v>0.90855623426013021</v>
      </c>
      <c r="Z59" s="28">
        <f t="shared" si="17"/>
        <v>0.90855623426013021</v>
      </c>
      <c r="AA59" s="28">
        <f t="shared" si="17"/>
        <v>0.90855623426013021</v>
      </c>
      <c r="AB59" s="28">
        <f t="shared" si="17"/>
        <v>0.90855623426013021</v>
      </c>
      <c r="AC59" s="28">
        <f t="shared" si="17"/>
        <v>0.9085562342601301</v>
      </c>
      <c r="AD59" s="28">
        <f t="shared" si="17"/>
        <v>0.90855623426013021</v>
      </c>
      <c r="AE59" s="28">
        <f t="shared" si="17"/>
        <v>0.90855623426013021</v>
      </c>
      <c r="AF59" s="28">
        <f t="shared" si="17"/>
        <v>0.90855623426013021</v>
      </c>
      <c r="AG59" s="28">
        <f t="shared" si="17"/>
        <v>0.90855623426013021</v>
      </c>
      <c r="AH59" s="28">
        <f t="shared" si="17"/>
        <v>0</v>
      </c>
      <c r="AI59" s="28">
        <f t="shared" si="17"/>
        <v>0</v>
      </c>
      <c r="AJ59" s="28">
        <f t="shared" si="17"/>
        <v>0</v>
      </c>
      <c r="AK59" s="28">
        <f t="shared" si="17"/>
        <v>0</v>
      </c>
      <c r="AL59" s="28">
        <f t="shared" si="17"/>
        <v>0</v>
      </c>
      <c r="AM59" s="28">
        <f t="shared" si="17"/>
        <v>0</v>
      </c>
      <c r="AN59" s="28">
        <f t="shared" si="17"/>
        <v>0</v>
      </c>
      <c r="AO59" s="28">
        <f t="shared" si="17"/>
        <v>0</v>
      </c>
      <c r="AP59" s="28">
        <f t="shared" si="17"/>
        <v>0</v>
      </c>
      <c r="AQ59" s="28">
        <f t="shared" si="17"/>
        <v>0</v>
      </c>
      <c r="AR59" s="28">
        <f t="shared" si="17"/>
        <v>0</v>
      </c>
      <c r="AS59" s="28">
        <f t="shared" si="17"/>
        <v>0</v>
      </c>
      <c r="AT59" s="28">
        <f t="shared" si="17"/>
        <v>0</v>
      </c>
      <c r="AU59" s="28">
        <f t="shared" si="17"/>
        <v>0</v>
      </c>
      <c r="AV59" s="28">
        <f t="shared" si="17"/>
        <v>0</v>
      </c>
      <c r="AW59" s="28">
        <f t="shared" si="17"/>
        <v>0</v>
      </c>
      <c r="AX59" s="13"/>
    </row>
    <row r="60" spans="2:50" x14ac:dyDescent="0.25">
      <c r="B60" t="s">
        <v>247</v>
      </c>
      <c r="C60" t="s">
        <v>70</v>
      </c>
      <c r="E60" s="18">
        <f>E66/E54</f>
        <v>0.93824465757793329</v>
      </c>
      <c r="F60" s="18">
        <f t="shared" si="15"/>
        <v>0.93371842314382081</v>
      </c>
      <c r="G60" s="18">
        <f t="shared" si="15"/>
        <v>0.9627765572110093</v>
      </c>
      <c r="H60" s="18">
        <f t="shared" si="15"/>
        <v>0.97397560765318203</v>
      </c>
      <c r="I60" s="18">
        <f t="shared" si="15"/>
        <v>0.98584286131065546</v>
      </c>
      <c r="J60" s="18">
        <f t="shared" si="15"/>
        <v>0.99783606160322269</v>
      </c>
      <c r="K60" s="29">
        <f t="shared" si="16"/>
        <v>0.98532201526604157</v>
      </c>
      <c r="L60" s="28">
        <f>IFERROR(L66/L54,0)</f>
        <v>0.99105564726786233</v>
      </c>
      <c r="M60" s="28">
        <f t="shared" si="17"/>
        <v>0.991209417621286</v>
      </c>
      <c r="N60" s="28">
        <f t="shared" si="17"/>
        <v>0.99071649903546988</v>
      </c>
      <c r="O60" s="28">
        <f t="shared" si="17"/>
        <v>0.99020413740793067</v>
      </c>
      <c r="P60" s="28">
        <f t="shared" si="17"/>
        <v>0.99020413740793067</v>
      </c>
      <c r="Q60" s="28">
        <f t="shared" si="17"/>
        <v>0.99034485157988028</v>
      </c>
      <c r="R60" s="28">
        <f t="shared" si="17"/>
        <v>0.99222107551808281</v>
      </c>
      <c r="S60" s="28">
        <f t="shared" si="17"/>
        <v>0.9928719273743225</v>
      </c>
      <c r="T60" s="28">
        <f t="shared" si="17"/>
        <v>0.99294777013457458</v>
      </c>
      <c r="U60" s="28">
        <f t="shared" si="17"/>
        <v>0.99300284864867039</v>
      </c>
      <c r="V60" s="28">
        <f t="shared" si="17"/>
        <v>0.99288869949262026</v>
      </c>
      <c r="W60" s="28">
        <f t="shared" si="17"/>
        <v>0.99379432743071505</v>
      </c>
      <c r="X60" s="28">
        <f t="shared" si="17"/>
        <v>0.99393314114533615</v>
      </c>
      <c r="Y60" s="28">
        <f t="shared" si="17"/>
        <v>0.99489313902334731</v>
      </c>
      <c r="Z60" s="28">
        <f t="shared" si="17"/>
        <v>0.99592808711326963</v>
      </c>
      <c r="AA60" s="28">
        <f t="shared" si="17"/>
        <v>0.99574933263640331</v>
      </c>
      <c r="AB60" s="28">
        <f t="shared" si="17"/>
        <v>0.99574933263640331</v>
      </c>
      <c r="AC60" s="28">
        <f t="shared" si="17"/>
        <v>0.99477888566350536</v>
      </c>
      <c r="AD60" s="28">
        <f t="shared" si="17"/>
        <v>0.99438778834666408</v>
      </c>
      <c r="AE60" s="28">
        <f t="shared" si="17"/>
        <v>0.99309082184838116</v>
      </c>
      <c r="AF60" s="28">
        <f t="shared" si="17"/>
        <v>0.90855623426013021</v>
      </c>
      <c r="AG60" s="28">
        <f t="shared" si="17"/>
        <v>0.90855623426013021</v>
      </c>
      <c r="AH60" s="28">
        <f t="shared" si="17"/>
        <v>0</v>
      </c>
      <c r="AI60" s="28">
        <f t="shared" si="17"/>
        <v>0</v>
      </c>
      <c r="AJ60" s="28">
        <f t="shared" si="17"/>
        <v>0</v>
      </c>
      <c r="AK60" s="28">
        <f t="shared" si="17"/>
        <v>0</v>
      </c>
      <c r="AL60" s="28">
        <f t="shared" si="17"/>
        <v>0</v>
      </c>
      <c r="AM60" s="28">
        <f t="shared" si="17"/>
        <v>0</v>
      </c>
      <c r="AN60" s="28">
        <f t="shared" si="17"/>
        <v>0</v>
      </c>
      <c r="AO60" s="28">
        <f t="shared" si="17"/>
        <v>0</v>
      </c>
      <c r="AP60" s="28">
        <f t="shared" si="17"/>
        <v>0</v>
      </c>
      <c r="AQ60" s="28">
        <f t="shared" si="17"/>
        <v>0</v>
      </c>
      <c r="AR60" s="28">
        <f t="shared" si="17"/>
        <v>0</v>
      </c>
      <c r="AS60" s="28">
        <f t="shared" si="17"/>
        <v>0</v>
      </c>
      <c r="AT60" s="28">
        <f t="shared" si="17"/>
        <v>0</v>
      </c>
      <c r="AU60" s="28">
        <f t="shared" si="17"/>
        <v>0</v>
      </c>
      <c r="AV60" s="28">
        <f t="shared" si="17"/>
        <v>0</v>
      </c>
      <c r="AW60" s="28">
        <f t="shared" si="17"/>
        <v>0</v>
      </c>
      <c r="AX60" s="13"/>
    </row>
    <row r="61" spans="2:50" x14ac:dyDescent="0.25">
      <c r="B61" t="s">
        <v>258</v>
      </c>
      <c r="C61" t="s">
        <v>70</v>
      </c>
      <c r="E61" s="18">
        <f>'DCF Caylloma'!E59</f>
        <v>0.81844607461845886</v>
      </c>
      <c r="F61" s="18">
        <f>'DCF Caylloma'!F59</f>
        <v>0.84572462324679454</v>
      </c>
      <c r="G61" s="18">
        <f>'DCF Caylloma'!G59</f>
        <v>0.88028911299008705</v>
      </c>
      <c r="H61" s="18">
        <f>'DCF Caylloma'!H59</f>
        <v>0.8877577901338668</v>
      </c>
      <c r="I61" s="18">
        <f>'DCF Caylloma'!I59</f>
        <v>0.87891910810383189</v>
      </c>
      <c r="J61" s="18">
        <f>'DCF Caylloma'!J59</f>
        <v>0.90342981483518281</v>
      </c>
      <c r="K61" s="29">
        <f t="shared" si="16"/>
        <v>0.88759895651574194</v>
      </c>
      <c r="L61" s="28">
        <f>'DCF Caylloma'!L59</f>
        <v>0.88759895651574217</v>
      </c>
      <c r="M61" s="28">
        <f>'DCF Caylloma'!M59</f>
        <v>0.88759895651574217</v>
      </c>
      <c r="N61" s="28">
        <f>'DCF Caylloma'!N59</f>
        <v>0.88759895651574217</v>
      </c>
      <c r="O61" s="28">
        <f>'DCF Caylloma'!O59</f>
        <v>0.88759895651574217</v>
      </c>
      <c r="P61" s="28">
        <f>'DCF Caylloma'!P59</f>
        <v>0.88759895651574217</v>
      </c>
      <c r="Q61" s="28">
        <f>'DCF Caylloma'!Q59</f>
        <v>0.88759895651574217</v>
      </c>
      <c r="R61" s="28">
        <f>'DCF Caylloma'!R59</f>
        <v>0.88759895651574217</v>
      </c>
      <c r="S61" s="28">
        <f>'DCF Caylloma'!S59</f>
        <v>0.88759895651574217</v>
      </c>
      <c r="T61" s="28">
        <f>'DCF Caylloma'!T59</f>
        <v>0.88759895651574217</v>
      </c>
      <c r="U61" s="28">
        <f>'DCF Caylloma'!U59</f>
        <v>0.88759895651574217</v>
      </c>
      <c r="V61" s="28">
        <f>'DCF Caylloma'!V59</f>
        <v>0.88759895651574217</v>
      </c>
      <c r="W61" s="28">
        <f>'DCF Caylloma'!W59</f>
        <v>0.88759895651574217</v>
      </c>
      <c r="X61" s="28">
        <f>'DCF Caylloma'!X59</f>
        <v>0.88759895651574217</v>
      </c>
      <c r="Y61" s="28">
        <f>'DCF Caylloma'!Y59</f>
        <v>0.88759895651574217</v>
      </c>
      <c r="Z61" s="28">
        <f>'DCF Caylloma'!Z59</f>
        <v>0.88759895651574217</v>
      </c>
      <c r="AA61" s="28">
        <f>'DCF Caylloma'!AA59</f>
        <v>0.88759895651574217</v>
      </c>
      <c r="AB61" s="28">
        <f>'DCF Caylloma'!AB59</f>
        <v>0.88759895651574217</v>
      </c>
      <c r="AC61" s="28">
        <f>'DCF Caylloma'!AC59</f>
        <v>0.88759895651574217</v>
      </c>
      <c r="AD61" s="28">
        <f>'DCF Caylloma'!AD59</f>
        <v>0.88759895651574217</v>
      </c>
      <c r="AE61" s="28">
        <f>'DCF Caylloma'!AE59</f>
        <v>0.88759895651574217</v>
      </c>
      <c r="AF61" s="28">
        <f>'DCF Caylloma'!AF59</f>
        <v>0.88759895651574217</v>
      </c>
      <c r="AG61" s="28">
        <f>'DCF Caylloma'!AG59</f>
        <v>0.88759895651574217</v>
      </c>
      <c r="AH61" s="28">
        <f>'DCF Caylloma'!AH59</f>
        <v>0.88759895651574217</v>
      </c>
      <c r="AI61" s="28">
        <f>'DCF Caylloma'!AI59</f>
        <v>0.88759895651574217</v>
      </c>
      <c r="AJ61" s="28">
        <f>'DCF Caylloma'!AJ59</f>
        <v>0.88759895651574217</v>
      </c>
      <c r="AK61" s="28">
        <f>'DCF Caylloma'!AK59</f>
        <v>0.88759895651574217</v>
      </c>
      <c r="AL61" s="28">
        <f>'DCF Caylloma'!AL59</f>
        <v>0.88759895651574217</v>
      </c>
      <c r="AM61" s="28">
        <f>'DCF Caylloma'!AM59</f>
        <v>0</v>
      </c>
      <c r="AN61" s="28">
        <f>'DCF Caylloma'!AN59</f>
        <v>0</v>
      </c>
      <c r="AO61" s="28">
        <f>'DCF Caylloma'!AO59</f>
        <v>0</v>
      </c>
      <c r="AP61" s="28">
        <f>'DCF Caylloma'!AP59</f>
        <v>0</v>
      </c>
      <c r="AQ61" s="28">
        <f>'DCF Caylloma'!AQ59</f>
        <v>0</v>
      </c>
      <c r="AR61" s="28">
        <f>'DCF Caylloma'!AR59</f>
        <v>0</v>
      </c>
      <c r="AS61" s="28">
        <f>'DCF Caylloma'!AS59</f>
        <v>0</v>
      </c>
      <c r="AT61" s="28">
        <f>'DCF Caylloma'!AT59</f>
        <v>0</v>
      </c>
      <c r="AU61" s="28">
        <f>'DCF Caylloma'!AU59</f>
        <v>0</v>
      </c>
      <c r="AV61" s="28">
        <f>'DCF Caylloma'!AV59</f>
        <v>0</v>
      </c>
      <c r="AW61" s="28">
        <f>'DCF Caylloma'!AW59</f>
        <v>0</v>
      </c>
      <c r="AX61" s="13"/>
    </row>
    <row r="62" spans="2:50" x14ac:dyDescent="0.25">
      <c r="B62" t="s">
        <v>259</v>
      </c>
      <c r="C62" t="s">
        <v>70</v>
      </c>
      <c r="E62" s="18">
        <f>'DCF Caylloma'!E60</f>
        <v>0.81844607461845886</v>
      </c>
      <c r="F62" s="18">
        <f>'DCF Caylloma'!F60</f>
        <v>0.84572462324679454</v>
      </c>
      <c r="G62" s="18">
        <f>'DCF Caylloma'!G60</f>
        <v>0.88028911299008705</v>
      </c>
      <c r="H62" s="18">
        <f>'DCF Caylloma'!H60</f>
        <v>0.8877577901338668</v>
      </c>
      <c r="I62" s="18">
        <f>'DCF Caylloma'!I60</f>
        <v>0.87891910810383189</v>
      </c>
      <c r="J62" s="18">
        <f>'DCF Caylloma'!J60</f>
        <v>0.90342981483518281</v>
      </c>
      <c r="K62" s="29">
        <f t="shared" si="16"/>
        <v>0.88759895651574194</v>
      </c>
      <c r="L62" s="28">
        <f>'DCF Caylloma'!L60</f>
        <v>0.88759895651574217</v>
      </c>
      <c r="M62" s="28">
        <f>'DCF Caylloma'!M60</f>
        <v>0.88759895651574217</v>
      </c>
      <c r="N62" s="28">
        <f>'DCF Caylloma'!N60</f>
        <v>0.88759895651574217</v>
      </c>
      <c r="O62" s="28">
        <f>'DCF Caylloma'!O60</f>
        <v>0.88759895651574217</v>
      </c>
      <c r="P62" s="28">
        <f>'DCF Caylloma'!P60</f>
        <v>0.88759895651574217</v>
      </c>
      <c r="Q62" s="28">
        <f>'DCF Caylloma'!Q60</f>
        <v>0.88759895651574217</v>
      </c>
      <c r="R62" s="28">
        <f>'DCF Caylloma'!R60</f>
        <v>0.88759895651574217</v>
      </c>
      <c r="S62" s="28">
        <f>'DCF Caylloma'!S60</f>
        <v>0.88759895651574217</v>
      </c>
      <c r="T62" s="28">
        <f>'DCF Caylloma'!T60</f>
        <v>0.88759895651574217</v>
      </c>
      <c r="U62" s="28">
        <f>'DCF Caylloma'!U60</f>
        <v>0.88759895651574217</v>
      </c>
      <c r="V62" s="28">
        <f>'DCF Caylloma'!V60</f>
        <v>0.88759895651574217</v>
      </c>
      <c r="W62" s="28">
        <f>'DCF Caylloma'!W60</f>
        <v>0.88759895651574217</v>
      </c>
      <c r="X62" s="28">
        <f>'DCF Caylloma'!X60</f>
        <v>0.88759895651574217</v>
      </c>
      <c r="Y62" s="28">
        <f>'DCF Caylloma'!Y60</f>
        <v>0.88759895651574217</v>
      </c>
      <c r="Z62" s="28">
        <f>'DCF Caylloma'!Z60</f>
        <v>0.88759895651574217</v>
      </c>
      <c r="AA62" s="28">
        <f>'DCF Caylloma'!AA60</f>
        <v>0.88759895651574217</v>
      </c>
      <c r="AB62" s="28">
        <f>'DCF Caylloma'!AB60</f>
        <v>0.88759895651574217</v>
      </c>
      <c r="AC62" s="28">
        <f>'DCF Caylloma'!AC60</f>
        <v>0.88759895651574217</v>
      </c>
      <c r="AD62" s="28">
        <f>'DCF Caylloma'!AD60</f>
        <v>0.88759895651574217</v>
      </c>
      <c r="AE62" s="28">
        <f>'DCF Caylloma'!AE60</f>
        <v>0.88759895651574217</v>
      </c>
      <c r="AF62" s="28">
        <f>'DCF Caylloma'!AF60</f>
        <v>0.88759895651574217</v>
      </c>
      <c r="AG62" s="28">
        <f>'DCF Caylloma'!AG60</f>
        <v>0.88759895651574217</v>
      </c>
      <c r="AH62" s="28">
        <f>'DCF Caylloma'!AH60</f>
        <v>0.88759895651574217</v>
      </c>
      <c r="AI62" s="28">
        <f>'DCF Caylloma'!AI60</f>
        <v>0.88759895651574217</v>
      </c>
      <c r="AJ62" s="28">
        <f>'DCF Caylloma'!AJ60</f>
        <v>0.88759895651574217</v>
      </c>
      <c r="AK62" s="28">
        <f>'DCF Caylloma'!AK60</f>
        <v>0.88759895651574217</v>
      </c>
      <c r="AL62" s="28">
        <f>'DCF Caylloma'!AL60</f>
        <v>0.88759895651574217</v>
      </c>
      <c r="AM62" s="28">
        <f>'DCF Caylloma'!AM60</f>
        <v>0</v>
      </c>
      <c r="AN62" s="28">
        <f>'DCF Caylloma'!AN60</f>
        <v>0</v>
      </c>
      <c r="AO62" s="28">
        <f>'DCF Caylloma'!AO60</f>
        <v>0</v>
      </c>
      <c r="AP62" s="28">
        <f>'DCF Caylloma'!AP60</f>
        <v>0</v>
      </c>
      <c r="AQ62" s="28">
        <f>'DCF Caylloma'!AQ60</f>
        <v>0</v>
      </c>
      <c r="AR62" s="28">
        <f>'DCF Caylloma'!AR60</f>
        <v>0</v>
      </c>
      <c r="AS62" s="28">
        <f>'DCF Caylloma'!AS60</f>
        <v>0</v>
      </c>
      <c r="AT62" s="28">
        <f>'DCF Caylloma'!AT60</f>
        <v>0</v>
      </c>
      <c r="AU62" s="28">
        <f>'DCF Caylloma'!AU60</f>
        <v>0</v>
      </c>
      <c r="AV62" s="28">
        <f>'DCF Caylloma'!AV60</f>
        <v>0</v>
      </c>
      <c r="AW62" s="28">
        <f>'DCF Caylloma'!AW60</f>
        <v>0</v>
      </c>
      <c r="AX62" s="13"/>
    </row>
    <row r="63" spans="2:50" x14ac:dyDescent="0.25">
      <c r="K63" s="26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spans="2:50" ht="15.75" thickBot="1" x14ac:dyDescent="0.3">
      <c r="B64" s="14" t="s">
        <v>92</v>
      </c>
      <c r="K64" s="26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spans="2:50" x14ac:dyDescent="0.25">
      <c r="B65" t="s">
        <v>248</v>
      </c>
      <c r="C65" t="s">
        <v>84</v>
      </c>
      <c r="E65" s="6">
        <f>'DCF Caylloma'!E63+'DCF San Jose'!E51</f>
        <v>7992130.1206347644</v>
      </c>
      <c r="F65" s="6">
        <f>'DCF Caylloma'!F63+'DCF San Jose'!F51</f>
        <v>8236824.5965886787</v>
      </c>
      <c r="G65" s="6">
        <f>'DCF Caylloma'!G63+'DCF San Jose'!G51</f>
        <v>8487979.4625593498</v>
      </c>
      <c r="H65" s="6">
        <f>'DCF Caylloma'!H63+'DCF San Jose'!H51</f>
        <v>6876810.9277084293</v>
      </c>
      <c r="I65" s="6">
        <f>'DCF Caylloma'!I63+'DCF San Jose'!I51</f>
        <v>7051098.4826744962</v>
      </c>
      <c r="J65" s="6">
        <f>'DCF Caylloma'!J63+'DCF San Jose'!J51</f>
        <v>1635385.8623498785</v>
      </c>
      <c r="K65" s="15">
        <f>SUM(L65:AW65)</f>
        <v>38183756.745418184</v>
      </c>
      <c r="L65" s="16">
        <f>'DCF Caylloma'!L63+'DCF San Jose'!L51</f>
        <v>1622160.0409607063</v>
      </c>
      <c r="M65" s="16">
        <f>'DCF Caylloma'!M63+'DCF San Jose'!M51</f>
        <v>1567283.7228462738</v>
      </c>
      <c r="N65" s="16">
        <f>'DCF Caylloma'!N63+'DCF San Jose'!N51</f>
        <v>1567283.7228462738</v>
      </c>
      <c r="O65" s="16">
        <f>'DCF Caylloma'!O63+'DCF San Jose'!O51</f>
        <v>1583641.79676416</v>
      </c>
      <c r="P65" s="16">
        <f>'DCF Caylloma'!P63+'DCF San Jose'!P51</f>
        <v>4838905.4901127107</v>
      </c>
      <c r="Q65" s="16">
        <f>'DCF Caylloma'!Q63+'DCF San Jose'!Q51</f>
        <v>6070477.6449307352</v>
      </c>
      <c r="R65" s="16">
        <f>'DCF Caylloma'!R63+'DCF San Jose'!R51</f>
        <v>2456542.0893209828</v>
      </c>
      <c r="S65" s="16">
        <f>'DCF Caylloma'!S63+'DCF San Jose'!S51</f>
        <v>1067164.2929345346</v>
      </c>
      <c r="T65" s="16">
        <f>'DCF Caylloma'!T63+'DCF San Jose'!T51</f>
        <v>1073279.9969989697</v>
      </c>
      <c r="U65" s="16">
        <f>'DCF Caylloma'!U63+'DCF San Jose'!U51</f>
        <v>1250584.8069899932</v>
      </c>
      <c r="V65" s="16">
        <f>'DCF Caylloma'!V63+'DCF San Jose'!V51</f>
        <v>1117664.9081874099</v>
      </c>
      <c r="W65" s="16">
        <f>'DCF Caylloma'!W63+'DCF San Jose'!W51</f>
        <v>1054306.8918148414</v>
      </c>
      <c r="X65" s="16">
        <f>'DCF Caylloma'!X63+'DCF San Jose'!X51</f>
        <v>1054306.8918148414</v>
      </c>
      <c r="Y65" s="16">
        <f>'DCF Caylloma'!Y63+'DCF San Jose'!Y51</f>
        <v>1057195.4038472108</v>
      </c>
      <c r="Z65" s="16">
        <f>'DCF Caylloma'!Z63+'DCF San Jose'!Z51</f>
        <v>1453941.856317092</v>
      </c>
      <c r="AA65" s="16">
        <f>'DCF Caylloma'!AA63+'DCF San Jose'!AA51</f>
        <v>1491458.5298844099</v>
      </c>
      <c r="AB65" s="16">
        <f>'DCF Caylloma'!AB63+'DCF San Jose'!AB51</f>
        <v>1491458.5298844099</v>
      </c>
      <c r="AC65" s="16">
        <f>'DCF Caylloma'!AC63+'DCF San Jose'!AC51</f>
        <v>1495544.7176375175</v>
      </c>
      <c r="AD65" s="16">
        <f>'DCF Caylloma'!AD63+'DCF San Jose'!AD51</f>
        <v>1491458.5298844099</v>
      </c>
      <c r="AE65" s="16">
        <f>'DCF Caylloma'!AE63+'DCF San Jose'!AE51</f>
        <v>1491458.5298844099</v>
      </c>
      <c r="AF65" s="16">
        <f>'DCF Caylloma'!AF63+'DCF San Jose'!AF51</f>
        <v>1491458.5298844099</v>
      </c>
      <c r="AG65" s="16">
        <f>'DCF Caylloma'!AG63+'DCF San Jose'!AG51</f>
        <v>396179.82167187455</v>
      </c>
      <c r="AH65" s="16">
        <f>'DCF Caylloma'!AH63+'DCF San Jose'!AH51</f>
        <v>0</v>
      </c>
      <c r="AI65" s="16">
        <f>'DCF Caylloma'!AI63+'DCF San Jose'!AI51</f>
        <v>0</v>
      </c>
      <c r="AJ65" s="16">
        <f>'DCF Caylloma'!AJ63+'DCF San Jose'!AJ51</f>
        <v>0</v>
      </c>
      <c r="AK65" s="16">
        <f>'DCF Caylloma'!AK63+'DCF San Jose'!AK51</f>
        <v>0</v>
      </c>
      <c r="AL65" s="16">
        <f>'DCF Caylloma'!AL63+'DCF San Jose'!AL51</f>
        <v>0</v>
      </c>
      <c r="AM65" s="16">
        <f>'DCF Caylloma'!AM63+'DCF San Jose'!AM51</f>
        <v>0</v>
      </c>
      <c r="AN65" s="16">
        <f>'DCF Caylloma'!AN63+'DCF San Jose'!AN51</f>
        <v>0</v>
      </c>
      <c r="AO65" s="16">
        <f>'DCF Caylloma'!AO63+'DCF San Jose'!AO51</f>
        <v>0</v>
      </c>
      <c r="AP65" s="16">
        <f>'DCF Caylloma'!AP63+'DCF San Jose'!AP51</f>
        <v>0</v>
      </c>
      <c r="AQ65" s="16">
        <f>'DCF Caylloma'!AQ63+'DCF San Jose'!AQ51</f>
        <v>0</v>
      </c>
      <c r="AR65" s="16">
        <f>'DCF Caylloma'!AR63+'DCF San Jose'!AR51</f>
        <v>0</v>
      </c>
      <c r="AS65" s="16">
        <f>'DCF Caylloma'!AS63+'DCF San Jose'!AS51</f>
        <v>0</v>
      </c>
      <c r="AT65" s="16">
        <f>'DCF Caylloma'!AT63+'DCF San Jose'!AT51</f>
        <v>0</v>
      </c>
      <c r="AU65" s="16">
        <f>'DCF Caylloma'!AU63+'DCF San Jose'!AU51</f>
        <v>0</v>
      </c>
      <c r="AV65" s="16">
        <f>'DCF Caylloma'!AV63+'DCF San Jose'!AV51</f>
        <v>0</v>
      </c>
      <c r="AW65" s="16">
        <f>'DCF Caylloma'!AW63+'DCF San Jose'!AW51</f>
        <v>0</v>
      </c>
      <c r="AX65" s="13"/>
    </row>
    <row r="66" spans="2:50" x14ac:dyDescent="0.25">
      <c r="B66" t="s">
        <v>249</v>
      </c>
      <c r="C66" t="s">
        <v>84</v>
      </c>
      <c r="E66" s="6">
        <f>'DCF Caylloma'!E64+'DCF San Jose'!E52+'DCF Lindero'!E45+'DCF Yaramoko'!E45</f>
        <v>52494.788591485369</v>
      </c>
      <c r="F66" s="6">
        <f>'DCF Caylloma'!F64+'DCF San Jose'!F52+'DCF Lindero'!F45+'DCF Yaramoko'!F45</f>
        <v>49969.808851387861</v>
      </c>
      <c r="G66" s="6">
        <f>'DCF Caylloma'!G64+'DCF San Jose'!G52+'DCF Lindero'!G45+'DCF Yaramoko'!G45</f>
        <v>47060.518116474137</v>
      </c>
      <c r="H66" s="6">
        <f>'DCF Caylloma'!H64+'DCF San Jose'!H52+'DCF Lindero'!H45+'DCF Yaramoko'!H45</f>
        <v>53850.137371536781</v>
      </c>
      <c r="I66" s="6">
        <f>'DCF Caylloma'!I64+'DCF San Jose'!I52+'DCF Lindero'!I45+'DCF Yaramoko'!I45</f>
        <v>204257.76827781601</v>
      </c>
      <c r="J66" s="6">
        <f>'DCF Caylloma'!J64+'DCF San Jose'!J52+'DCF Lindero'!J45+'DCF Yaramoko'!J45</f>
        <v>66655.448915095272</v>
      </c>
      <c r="K66" s="15">
        <f t="shared" ref="K66:K68" si="18">SUM(L66:AW66)</f>
        <v>3105609.374731442</v>
      </c>
      <c r="L66" s="16">
        <f>'DCF Caylloma'!L64+'DCF San Jose'!L52+'DCF Lindero'!L45+'DCF Yaramoko'!L45+'DCF Seguela'!H35</f>
        <v>66878.435166936208</v>
      </c>
      <c r="M66" s="16">
        <f>'DCF Caylloma'!M64+'DCF San Jose'!M52+'DCF Lindero'!M45+'DCF Yaramoko'!M45+'DCF Seguela'!I35</f>
        <v>66764.370036194334</v>
      </c>
      <c r="N66" s="16">
        <f>'DCF Caylloma'!N64+'DCF San Jose'!N52+'DCF Lindero'!N45+'DCF Yaramoko'!N45+'DCF Seguela'!J35</f>
        <v>62943.176645503845</v>
      </c>
      <c r="O66" s="16">
        <f>'DCF Caylloma'!O64+'DCF San Jose'!O52+'DCF Lindero'!O45+'DCF Yaramoko'!O45+'DCF Seguela'!K35</f>
        <v>63548.70612524954</v>
      </c>
      <c r="P66" s="16">
        <f>'DCF Caylloma'!P64+'DCF San Jose'!P52+'DCF Lindero'!P45+'DCF Yaramoko'!P45+'DCF Seguela'!L35</f>
        <v>194176.60204937361</v>
      </c>
      <c r="Q66" s="16">
        <f>'DCF Caylloma'!Q64+'DCF San Jose'!Q52+'DCF Lindero'!Q45+'DCF Yaramoko'!Q45+'DCF Seguela'!M35</f>
        <v>358781.76386554976</v>
      </c>
      <c r="R66" s="16">
        <f>'DCF Caylloma'!R64+'DCF San Jose'!R52+'DCF Lindero'!R45+'DCF Yaramoko'!R45+'DCF Seguela'!N35</f>
        <v>377162.19463761698</v>
      </c>
      <c r="S66" s="16">
        <f>'DCF Caylloma'!S64+'DCF San Jose'!S52+'DCF Lindero'!S45+'DCF Yaramoko'!S45+'DCF Seguela'!O35</f>
        <v>315009.71465448831</v>
      </c>
      <c r="T66" s="16">
        <f>'DCF Caylloma'!T64+'DCF San Jose'!T52+'DCF Lindero'!T45+'DCF Yaramoko'!T45+'DCF Seguela'!P35</f>
        <v>234325.13260137156</v>
      </c>
      <c r="U66" s="16">
        <f>'DCF Caylloma'!U64+'DCF San Jose'!U52+'DCF Lindero'!U45+'DCF Yaramoko'!U45+'DCF Seguela'!Q35</f>
        <v>207317.59974686318</v>
      </c>
      <c r="V66" s="16">
        <f>'DCF Caylloma'!V64+'DCF San Jose'!V52+'DCF Lindero'!V45+'DCF Yaramoko'!V45+'DCF Seguela'!R35</f>
        <v>226113.53744049522</v>
      </c>
      <c r="W66" s="16">
        <f>'DCF Caylloma'!W64+'DCF San Jose'!W52+'DCF Lindero'!W45+'DCF Yaramoko'!W45+'DCF Seguela'!S35</f>
        <v>176483.74695900577</v>
      </c>
      <c r="X66" s="16">
        <f>'DCF Caylloma'!X64+'DCF San Jose'!X52+'DCF Lindero'!X45+'DCF Yaramoko'!X45+'DCF Seguela'!T35</f>
        <v>170278.82617985993</v>
      </c>
      <c r="Y66" s="16">
        <f>'DCF Caylloma'!Y64+'DCF San Jose'!Y52+'DCF Lindero'!Y45+'DCF Yaramoko'!Y45+'DCF Seguela'!U35</f>
        <v>137378.92371548439</v>
      </c>
      <c r="Z66" s="16">
        <f>'DCF Caylloma'!Z64+'DCF San Jose'!Z52+'DCF Lindero'!Z45+'DCF Yaramoko'!Z45+'DCF Seguela'!V35</f>
        <v>87077.259923951249</v>
      </c>
      <c r="AA66" s="16">
        <f>'DCF Caylloma'!AA64+'DCF San Jose'!AA52+'DCF Lindero'!AA45+'DCF Yaramoko'!AA45+'DCF Seguela'!W35</f>
        <v>87240.115789011368</v>
      </c>
      <c r="AB66" s="16">
        <f>'DCF Caylloma'!AB64+'DCF San Jose'!AB52+'DCF Lindero'!AB45+'DCF Yaramoko'!AB45+'DCF Seguela'!X35</f>
        <v>87240.115789011368</v>
      </c>
      <c r="AC66" s="16">
        <f>'DCF Caylloma'!AC64+'DCF San Jose'!AC52+'DCF Lindero'!AC45+'DCF Yaramoko'!AC45+'DCF Seguela'!Y35</f>
        <v>69040.914966257871</v>
      </c>
      <c r="AD66" s="16">
        <f>'DCF Caylloma'!AD64+'DCF San Jose'!AD52+'DCF Lindero'!AD45+'DCF Yaramoko'!AD45+'DCF Seguela'!Z35</f>
        <v>63454.854556800812</v>
      </c>
      <c r="AE66" s="16">
        <f>'DCF Caylloma'!AE64+'DCF San Jose'!AE52+'DCF Lindero'!AE45+'DCF Yaramoko'!AE45+'DCF Seguela'!AA35</f>
        <v>50344.803496080815</v>
      </c>
      <c r="AF66" s="16">
        <f>'DCF Caylloma'!AF64+'DCF San Jose'!AF52+'DCF Lindero'!AF45+'DCF Yaramoko'!AF45+'DCF Seguela'!AB35</f>
        <v>3198.8594352007749</v>
      </c>
      <c r="AG66" s="16">
        <f>'DCF Caylloma'!AG64+'DCF San Jose'!AG52+'DCF Lindero'!AG45+'DCF Yaramoko'!AG45+'DCF Seguela'!AC35</f>
        <v>849.7209511346291</v>
      </c>
      <c r="AH66" s="16">
        <f>'DCF Caylloma'!AH64+'DCF San Jose'!AH52+'DCF Lindero'!AH45+'DCF Yaramoko'!AH45+'DCF Seguela'!AD35</f>
        <v>0</v>
      </c>
      <c r="AI66" s="16">
        <f>'DCF Caylloma'!AI64+'DCF San Jose'!AI52+'DCF Lindero'!AI45+'DCF Yaramoko'!AI45+'DCF Seguela'!AE35</f>
        <v>0</v>
      </c>
      <c r="AJ66" s="16">
        <f>'DCF Caylloma'!AJ64+'DCF San Jose'!AJ52+'DCF Lindero'!AJ45+'DCF Yaramoko'!AJ45+'DCF Seguela'!AF35</f>
        <v>0</v>
      </c>
      <c r="AK66" s="16">
        <f>'DCF Caylloma'!AK64+'DCF San Jose'!AK52+'DCF Lindero'!AK45+'DCF Yaramoko'!AK45+'DCF Seguela'!AG35</f>
        <v>0</v>
      </c>
      <c r="AL66" s="16">
        <f>'DCF Caylloma'!AL64+'DCF San Jose'!AL52+'DCF Lindero'!AL45+'DCF Yaramoko'!AL45+'DCF Seguela'!AH35</f>
        <v>0</v>
      </c>
      <c r="AM66" s="16">
        <f>'DCF Caylloma'!AM64+'DCF San Jose'!AM52+'DCF Lindero'!AM45+'DCF Yaramoko'!AM45+'DCF Seguela'!AI35</f>
        <v>0</v>
      </c>
      <c r="AN66" s="16">
        <f>'DCF Caylloma'!AN64+'DCF San Jose'!AN52+'DCF Lindero'!AN45+'DCF Yaramoko'!AN45+'DCF Seguela'!AJ35</f>
        <v>0</v>
      </c>
      <c r="AO66" s="16">
        <f>'DCF Caylloma'!AO64+'DCF San Jose'!AO52+'DCF Lindero'!AO45+'DCF Yaramoko'!AO45+'DCF Seguela'!AK35</f>
        <v>0</v>
      </c>
      <c r="AP66" s="16">
        <f>'DCF Caylloma'!AP64+'DCF San Jose'!AP52+'DCF Lindero'!AP45+'DCF Yaramoko'!AP45+'DCF Seguela'!AL35</f>
        <v>0</v>
      </c>
      <c r="AQ66" s="16">
        <f>'DCF Caylloma'!AQ64+'DCF San Jose'!AQ52+'DCF Lindero'!AQ45+'DCF Yaramoko'!AQ45+'DCF Seguela'!AM35</f>
        <v>0</v>
      </c>
      <c r="AR66" s="16">
        <f>'DCF Caylloma'!AR64+'DCF San Jose'!AR52+'DCF Lindero'!AR45+'DCF Yaramoko'!AR45+'DCF Seguela'!AN35</f>
        <v>0</v>
      </c>
      <c r="AS66" s="16">
        <f>'DCF Caylloma'!AS64+'DCF San Jose'!AS52+'DCF Lindero'!AS45+'DCF Yaramoko'!AS45+'DCF Seguela'!AO35</f>
        <v>0</v>
      </c>
      <c r="AT66" s="16">
        <f>'DCF Caylloma'!AT64+'DCF San Jose'!AT52+'DCF Lindero'!AT45+'DCF Yaramoko'!AT45+'DCF Seguela'!AP35</f>
        <v>0</v>
      </c>
      <c r="AU66" s="16">
        <f>'DCF Caylloma'!AU64+'DCF San Jose'!AU52+'DCF Lindero'!AU45+'DCF Yaramoko'!AU45+'DCF Seguela'!AQ35</f>
        <v>0</v>
      </c>
      <c r="AV66" s="16">
        <f>'DCF Caylloma'!AV64+'DCF San Jose'!AV52+'DCF Lindero'!AV45+'DCF Yaramoko'!AV45+'DCF Seguela'!AR35</f>
        <v>0</v>
      </c>
      <c r="AW66" s="16">
        <f>'DCF Caylloma'!AW64+'DCF San Jose'!AW52+'DCF Lindero'!AW45+'DCF Yaramoko'!AW45+'DCF Seguela'!AS35</f>
        <v>0</v>
      </c>
      <c r="AX66" s="13"/>
    </row>
    <row r="67" spans="2:50" x14ac:dyDescent="0.25">
      <c r="B67" t="s">
        <v>261</v>
      </c>
      <c r="C67" t="s">
        <v>89</v>
      </c>
      <c r="E67" s="6">
        <f>'DCF Caylloma'!E65</f>
        <v>24453531.817450315</v>
      </c>
      <c r="F67" s="6">
        <f>'DCF Caylloma'!F65</f>
        <v>23895949.229838181</v>
      </c>
      <c r="G67" s="6">
        <f>'DCF Caylloma'!G65</f>
        <v>25304790.842013042</v>
      </c>
      <c r="H67" s="6">
        <f>'DCF Caylloma'!H65</f>
        <v>26302487.806086205</v>
      </c>
      <c r="I67" s="6">
        <f>'DCF Caylloma'!I65</f>
        <v>28995541.376345415</v>
      </c>
      <c r="J67" s="6">
        <f>'DCF Caylloma'!J65</f>
        <v>8251927.9287045598</v>
      </c>
      <c r="K67" s="15">
        <f t="shared" si="18"/>
        <v>351649142.98734868</v>
      </c>
      <c r="L67" s="16">
        <f>'DCF Caylloma'!L65</f>
        <v>6516849.4645721624</v>
      </c>
      <c r="M67" s="16">
        <f>'DCF Caylloma'!M65</f>
        <v>6865966.4001742424</v>
      </c>
      <c r="N67" s="16">
        <f>'DCF Caylloma'!N65</f>
        <v>6865966.4001742424</v>
      </c>
      <c r="O67" s="16">
        <f>'DCF Caylloma'!O65</f>
        <v>5828900.3755128384</v>
      </c>
      <c r="P67" s="16">
        <f>'DCF Caylloma'!P65</f>
        <v>17810528.925178114</v>
      </c>
      <c r="Q67" s="16">
        <f>'DCF Caylloma'!Q65</f>
        <v>23704194.860418871</v>
      </c>
      <c r="R67" s="16">
        <f>'DCF Caylloma'!R65</f>
        <v>23639429.300690953</v>
      </c>
      <c r="S67" s="16">
        <f>'DCF Caylloma'!S65</f>
        <v>23639429.300690953</v>
      </c>
      <c r="T67" s="16">
        <f>'DCF Caylloma'!T65</f>
        <v>23400056.04161704</v>
      </c>
      <c r="U67" s="16">
        <f>'DCF Caylloma'!U65</f>
        <v>16639415.215745011</v>
      </c>
      <c r="V67" s="16">
        <f>'DCF Caylloma'!V65</f>
        <v>15473470.831534708</v>
      </c>
      <c r="W67" s="16">
        <f>'DCF Caylloma'!W65</f>
        <v>14925286.734946053</v>
      </c>
      <c r="X67" s="16">
        <f>'DCF Caylloma'!X65</f>
        <v>14925286.734946053</v>
      </c>
      <c r="Y67" s="16">
        <f>'DCF Caylloma'!Y65</f>
        <v>14966177.931480151</v>
      </c>
      <c r="Z67" s="16">
        <f>'DCF Caylloma'!Z65</f>
        <v>18484692.222496223</v>
      </c>
      <c r="AA67" s="16">
        <f>'DCF Caylloma'!AA65</f>
        <v>18818839.796236325</v>
      </c>
      <c r="AB67" s="16">
        <f>'DCF Caylloma'!AB65</f>
        <v>18818839.796236325</v>
      </c>
      <c r="AC67" s="16">
        <f>'DCF Caylloma'!AC65</f>
        <v>18870398.261431493</v>
      </c>
      <c r="AD67" s="16">
        <f>'DCF Caylloma'!AD65</f>
        <v>18818839.796236325</v>
      </c>
      <c r="AE67" s="16">
        <f>'DCF Caylloma'!AE65</f>
        <v>18818839.796236325</v>
      </c>
      <c r="AF67" s="16">
        <f>'DCF Caylloma'!AF65</f>
        <v>18818839.796236325</v>
      </c>
      <c r="AG67" s="16">
        <f>'DCF Caylloma'!AG65</f>
        <v>4998895.0045579253</v>
      </c>
      <c r="AH67" s="16">
        <f>'DCF Caylloma'!AH65</f>
        <v>0</v>
      </c>
      <c r="AI67" s="16">
        <f>'DCF Caylloma'!AI65</f>
        <v>0</v>
      </c>
      <c r="AJ67" s="16">
        <f>'DCF Caylloma'!AJ65</f>
        <v>0</v>
      </c>
      <c r="AK67" s="16">
        <f>'DCF Caylloma'!AK65</f>
        <v>0</v>
      </c>
      <c r="AL67" s="16">
        <f>'DCF Caylloma'!AL65</f>
        <v>0</v>
      </c>
      <c r="AM67" s="16">
        <f>'DCF Caylloma'!AM65</f>
        <v>0</v>
      </c>
      <c r="AN67" s="16">
        <f>'DCF Caylloma'!AN65</f>
        <v>0</v>
      </c>
      <c r="AO67" s="16">
        <f>'DCF Caylloma'!AO65</f>
        <v>0</v>
      </c>
      <c r="AP67" s="16">
        <f>'DCF Caylloma'!AP65</f>
        <v>0</v>
      </c>
      <c r="AQ67" s="16">
        <f>'DCF Caylloma'!AQ65</f>
        <v>0</v>
      </c>
      <c r="AR67" s="16">
        <f>'DCF Caylloma'!AR65</f>
        <v>0</v>
      </c>
      <c r="AS67" s="16">
        <f>'DCF Caylloma'!AS65</f>
        <v>0</v>
      </c>
      <c r="AT67" s="16">
        <f>'DCF Caylloma'!AT65</f>
        <v>0</v>
      </c>
      <c r="AU67" s="16">
        <f>'DCF Caylloma'!AU65</f>
        <v>0</v>
      </c>
      <c r="AV67" s="16">
        <f>'DCF Caylloma'!AV65</f>
        <v>0</v>
      </c>
      <c r="AW67" s="16">
        <f>'DCF Caylloma'!AW65</f>
        <v>0</v>
      </c>
      <c r="AX67" s="13"/>
    </row>
    <row r="68" spans="2:50" x14ac:dyDescent="0.25">
      <c r="B68" t="s">
        <v>260</v>
      </c>
      <c r="C68" t="s">
        <v>89</v>
      </c>
      <c r="E68" s="6">
        <f>'DCF Caylloma'!E66</f>
        <v>36295628.071104795</v>
      </c>
      <c r="F68" s="6">
        <f>'DCF Caylloma'!F66</f>
        <v>38467784.488380447</v>
      </c>
      <c r="G68" s="6">
        <f>'DCF Caylloma'!G66</f>
        <v>40141183.552347973</v>
      </c>
      <c r="H68" s="6">
        <f>'DCF Caylloma'!H66</f>
        <v>40432928.551646963</v>
      </c>
      <c r="I68" s="6">
        <f>'DCF Caylloma'!I66</f>
        <v>41791724.671229102</v>
      </c>
      <c r="J68" s="6">
        <f>'DCF Caylloma'!J66</f>
        <v>9781434.6052205246</v>
      </c>
      <c r="K68" s="15">
        <f t="shared" si="18"/>
        <v>582309616.40719306</v>
      </c>
      <c r="L68" s="16">
        <f>'DCF Caylloma'!L66</f>
        <v>9808362.1452324688</v>
      </c>
      <c r="M68" s="16">
        <f>'DCF Caylloma'!M66</f>
        <v>9808362.1452324688</v>
      </c>
      <c r="N68" s="16">
        <f>'DCF Caylloma'!N66</f>
        <v>9808362.1452324688</v>
      </c>
      <c r="O68" s="16">
        <f>'DCF Caylloma'!O66</f>
        <v>8562700.7096646875</v>
      </c>
      <c r="P68" s="16">
        <f>'DCF Caylloma'!P66</f>
        <v>26163807.723975435</v>
      </c>
      <c r="Q68" s="16">
        <f>'DCF Caylloma'!Q66</f>
        <v>34821649.5526364</v>
      </c>
      <c r="R68" s="16">
        <f>'DCF Caylloma'!R66</f>
        <v>34726508.433640122</v>
      </c>
      <c r="S68" s="16">
        <f>'DCF Caylloma'!S66</f>
        <v>34726508.433640122</v>
      </c>
      <c r="T68" s="16">
        <f>'DCF Caylloma'!T66</f>
        <v>34563337.855822861</v>
      </c>
      <c r="U68" s="16">
        <f>'DCF Caylloma'!U66</f>
        <v>30005889.50812285</v>
      </c>
      <c r="V68" s="16">
        <f>'DCF Caylloma'!V66</f>
        <v>28993655.703469478</v>
      </c>
      <c r="W68" s="16">
        <f>'DCF Caylloma'!W66</f>
        <v>28538540.175518084</v>
      </c>
      <c r="X68" s="16">
        <f>'DCF Caylloma'!X66</f>
        <v>28538540.175518084</v>
      </c>
      <c r="Y68" s="16">
        <f>'DCF Caylloma'!Y66</f>
        <v>28616727.956820868</v>
      </c>
      <c r="Z68" s="16">
        <f>'DCF Caylloma'!Z66</f>
        <v>32000232.772551805</v>
      </c>
      <c r="AA68" s="16">
        <f>'DCF Caylloma'!AA66</f>
        <v>32325207.318547994</v>
      </c>
      <c r="AB68" s="16">
        <f>'DCF Caylloma'!AB66</f>
        <v>32325207.318547994</v>
      </c>
      <c r="AC68" s="16">
        <f>'DCF Caylloma'!AC66</f>
        <v>32413769.530379631</v>
      </c>
      <c r="AD68" s="16">
        <f>'DCF Caylloma'!AD66</f>
        <v>32325207.318547994</v>
      </c>
      <c r="AE68" s="16">
        <f>'DCF Caylloma'!AE66</f>
        <v>32325207.318547994</v>
      </c>
      <c r="AF68" s="16">
        <f>'DCF Caylloma'!AF66</f>
        <v>32325207.318547994</v>
      </c>
      <c r="AG68" s="16">
        <f>'DCF Caylloma'!AG66</f>
        <v>8586624.8469954077</v>
      </c>
      <c r="AH68" s="16">
        <f>'DCF Caylloma'!AH66</f>
        <v>0</v>
      </c>
      <c r="AI68" s="16">
        <f>'DCF Caylloma'!AI66</f>
        <v>0</v>
      </c>
      <c r="AJ68" s="16">
        <f>'DCF Caylloma'!AJ66</f>
        <v>0</v>
      </c>
      <c r="AK68" s="16">
        <f>'DCF Caylloma'!AK66</f>
        <v>0</v>
      </c>
      <c r="AL68" s="16">
        <f>'DCF Caylloma'!AL66</f>
        <v>0</v>
      </c>
      <c r="AM68" s="16">
        <f>'DCF Caylloma'!AM66</f>
        <v>0</v>
      </c>
      <c r="AN68" s="16">
        <f>'DCF Caylloma'!AN66</f>
        <v>0</v>
      </c>
      <c r="AO68" s="16">
        <f>'DCF Caylloma'!AO66</f>
        <v>0</v>
      </c>
      <c r="AP68" s="16">
        <f>'DCF Caylloma'!AP66</f>
        <v>0</v>
      </c>
      <c r="AQ68" s="16">
        <f>'DCF Caylloma'!AQ66</f>
        <v>0</v>
      </c>
      <c r="AR68" s="16">
        <f>'DCF Caylloma'!AR66</f>
        <v>0</v>
      </c>
      <c r="AS68" s="16">
        <f>'DCF Caylloma'!AS66</f>
        <v>0</v>
      </c>
      <c r="AT68" s="16">
        <f>'DCF Caylloma'!AT66</f>
        <v>0</v>
      </c>
      <c r="AU68" s="16">
        <f>'DCF Caylloma'!AU66</f>
        <v>0</v>
      </c>
      <c r="AV68" s="16">
        <f>'DCF Caylloma'!AV66</f>
        <v>0</v>
      </c>
      <c r="AW68" s="16">
        <f>'DCF Caylloma'!AW66</f>
        <v>0</v>
      </c>
      <c r="AX68" s="13"/>
    </row>
    <row r="69" spans="2:50" x14ac:dyDescent="0.25">
      <c r="K69" s="26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spans="2:50" ht="15.75" thickBot="1" x14ac:dyDescent="0.3">
      <c r="B70" s="14" t="s">
        <v>155</v>
      </c>
      <c r="K70" s="26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spans="2:50" x14ac:dyDescent="0.25">
      <c r="B71" t="s">
        <v>83</v>
      </c>
      <c r="C71" t="s">
        <v>93</v>
      </c>
      <c r="E71" s="6">
        <f>'DCF Caylloma'!E69+'DCF San Jose'!E55</f>
        <v>136133887.32932025</v>
      </c>
      <c r="F71" s="6">
        <f>'DCF Caylloma'!F69+'DCF San Jose'!F55</f>
        <v>129624036.3506805</v>
      </c>
      <c r="G71" s="6">
        <f>'DCF Caylloma'!G69+'DCF San Jose'!G55</f>
        <v>137532639.09255832</v>
      </c>
      <c r="H71" s="6">
        <f>'DCF Caylloma'!H69+'DCF San Jose'!H55</f>
        <v>145637774.99022588</v>
      </c>
      <c r="I71" s="6">
        <f>'DCF Caylloma'!I69+'DCF San Jose'!I55</f>
        <v>177432357.40676114</v>
      </c>
      <c r="J71" s="6">
        <f>'DCF Caylloma'!J69+'DCF San Jose'!J55</f>
        <v>39553765.952372253</v>
      </c>
      <c r="K71" s="15">
        <f>SUM(L71:AW71)</f>
        <v>941891019.89834094</v>
      </c>
      <c r="L71" s="16">
        <f>'DCF Caylloma'!L69+'DCF San Jose'!L55</f>
        <v>35687520.901135541</v>
      </c>
      <c r="M71" s="16">
        <f>'DCF Caylloma'!M69+'DCF San Jose'!M55</f>
        <v>34480241.902618021</v>
      </c>
      <c r="N71" s="16">
        <f>'DCF Caylloma'!N69+'DCF San Jose'!N55</f>
        <v>36047525.625464298</v>
      </c>
      <c r="O71" s="16">
        <f>'DCF Caylloma'!O69+'DCF San Jose'!O55</f>
        <v>39591044.919103995</v>
      </c>
      <c r="P71" s="16">
        <f>'DCF Caylloma'!P69+'DCF San Jose'!P55</f>
        <v>120972637.25281778</v>
      </c>
      <c r="Q71" s="16">
        <f>'DCF Caylloma'!Q69+'DCF San Jose'!Q55</f>
        <v>151761941.12326837</v>
      </c>
      <c r="R71" s="16">
        <f>'DCF Caylloma'!R69+'DCF San Jose'!R55</f>
        <v>61413552.233024567</v>
      </c>
      <c r="S71" s="16">
        <f>'DCF Caylloma'!S69+'DCF San Jose'!S55</f>
        <v>26679107.323363364</v>
      </c>
      <c r="T71" s="16">
        <f>'DCF Caylloma'!T69+'DCF San Jose'!T55</f>
        <v>26831999.924974244</v>
      </c>
      <c r="U71" s="16">
        <f>'DCF Caylloma'!U69+'DCF San Jose'!U55</f>
        <v>31264620.174749829</v>
      </c>
      <c r="V71" s="16">
        <f>'DCF Caylloma'!V69+'DCF San Jose'!V55</f>
        <v>27941622.704685248</v>
      </c>
      <c r="W71" s="16">
        <f>'DCF Caylloma'!W69+'DCF San Jose'!W55</f>
        <v>26357672.295371037</v>
      </c>
      <c r="X71" s="16">
        <f>'DCF Caylloma'!X69+'DCF San Jose'!X55</f>
        <v>26357672.295371037</v>
      </c>
      <c r="Y71" s="16">
        <f>'DCF Caylloma'!Y69+'DCF San Jose'!Y55</f>
        <v>26429885.096180271</v>
      </c>
      <c r="Z71" s="16">
        <f>'DCF Caylloma'!Z69+'DCF San Jose'!Z55</f>
        <v>36348546.407927297</v>
      </c>
      <c r="AA71" s="16">
        <f>'DCF Caylloma'!AA69+'DCF San Jose'!AA55</f>
        <v>37286463.247110248</v>
      </c>
      <c r="AB71" s="16">
        <f>'DCF Caylloma'!AB69+'DCF San Jose'!AB55</f>
        <v>37286463.247110248</v>
      </c>
      <c r="AC71" s="16">
        <f>'DCF Caylloma'!AC69+'DCF San Jose'!AC55</f>
        <v>37388617.940937936</v>
      </c>
      <c r="AD71" s="16">
        <f>'DCF Caylloma'!AD69+'DCF San Jose'!AD55</f>
        <v>37286463.247110248</v>
      </c>
      <c r="AE71" s="16">
        <f>'DCF Caylloma'!AE69+'DCF San Jose'!AE55</f>
        <v>37286463.247110248</v>
      </c>
      <c r="AF71" s="16">
        <f>'DCF Caylloma'!AF69+'DCF San Jose'!AF55</f>
        <v>37286463.247110248</v>
      </c>
      <c r="AG71" s="16">
        <f>'DCF Caylloma'!AG69+'DCF San Jose'!AG55</f>
        <v>9904495.5417968631</v>
      </c>
      <c r="AH71" s="16">
        <f>'DCF Caylloma'!AH69+'DCF San Jose'!AH55</f>
        <v>0</v>
      </c>
      <c r="AI71" s="16">
        <f>'DCF Caylloma'!AI69+'DCF San Jose'!AI55</f>
        <v>0</v>
      </c>
      <c r="AJ71" s="16">
        <f>'DCF Caylloma'!AJ69+'DCF San Jose'!AJ55</f>
        <v>0</v>
      </c>
      <c r="AK71" s="16">
        <f>'DCF Caylloma'!AK69+'DCF San Jose'!AK55</f>
        <v>0</v>
      </c>
      <c r="AL71" s="16">
        <f>'DCF Caylloma'!AL69+'DCF San Jose'!AL55</f>
        <v>0</v>
      </c>
      <c r="AM71" s="16">
        <f>'DCF Caylloma'!AM69+'DCF San Jose'!AM55</f>
        <v>0</v>
      </c>
      <c r="AN71" s="16">
        <f>'DCF Caylloma'!AN69+'DCF San Jose'!AN55</f>
        <v>0</v>
      </c>
      <c r="AO71" s="16">
        <f>'DCF Caylloma'!AO69+'DCF San Jose'!AO55</f>
        <v>0</v>
      </c>
      <c r="AP71" s="16">
        <f>'DCF Caylloma'!AP69+'DCF San Jose'!AP55</f>
        <v>0</v>
      </c>
      <c r="AQ71" s="16">
        <f>'DCF Caylloma'!AQ69+'DCF San Jose'!AQ55</f>
        <v>0</v>
      </c>
      <c r="AR71" s="16">
        <f>'DCF Caylloma'!AR69+'DCF San Jose'!AR55</f>
        <v>0</v>
      </c>
      <c r="AS71" s="16">
        <f>'DCF Caylloma'!AS69+'DCF San Jose'!AS55</f>
        <v>0</v>
      </c>
      <c r="AT71" s="16">
        <f>'DCF Caylloma'!AT69+'DCF San Jose'!AT55</f>
        <v>0</v>
      </c>
      <c r="AU71" s="16">
        <f>'DCF Caylloma'!AU69+'DCF San Jose'!AU55</f>
        <v>0</v>
      </c>
      <c r="AV71" s="16">
        <f>'DCF Caylloma'!AV69+'DCF San Jose'!AV55</f>
        <v>0</v>
      </c>
      <c r="AW71" s="16">
        <f>'DCF Caylloma'!AW69+'DCF San Jose'!AW55</f>
        <v>0</v>
      </c>
      <c r="AX71" s="13"/>
    </row>
    <row r="72" spans="2:50" x14ac:dyDescent="0.25">
      <c r="B72" t="s">
        <v>85</v>
      </c>
      <c r="C72" t="s">
        <v>93</v>
      </c>
      <c r="E72" s="6">
        <f>'DCF Caylloma'!E70+'DCF San Jose'!E56+'DCF Lindero'!E48+'DCF Yaramoko'!E48</f>
        <v>65985949.259497106</v>
      </c>
      <c r="F72" s="6">
        <f>'DCF Caylloma'!F70+'DCF San Jose'!F56+'DCF Lindero'!F48+'DCF Yaramoko'!F48</f>
        <v>63611566.667816751</v>
      </c>
      <c r="G72" s="6">
        <f>'DCF Caylloma'!G70+'DCF San Jose'!G56+'DCF Lindero'!G48+'DCF Yaramoko'!G48</f>
        <v>65555301.736248471</v>
      </c>
      <c r="H72" s="6">
        <f>'DCF Caylloma'!H70+'DCF San Jose'!H56+'DCF Lindero'!H48+'DCF Yaramoko'!H48</f>
        <v>97356380.932901889</v>
      </c>
      <c r="I72" s="6">
        <f>'DCF Caylloma'!I70+'DCF San Jose'!I56+'DCF Lindero'!I48+'DCF Yaramoko'!I48</f>
        <v>365352829.85323417</v>
      </c>
      <c r="J72" s="6">
        <f>'DCF Caylloma'!J70+'DCF San Jose'!J56+'DCF Lindero'!J48+'DCF Yaramoko'!J48</f>
        <v>125626652.52774149</v>
      </c>
      <c r="K72" s="15">
        <f t="shared" ref="K72:K75" si="19">SUM(L72:AW72)</f>
        <v>5452665413.8359499</v>
      </c>
      <c r="L72" s="16">
        <f>'DCF Caylloma'!L70+'DCF San Jose'!L56+'DCF Lindero'!L48+'DCF Yaramoko'!L48+'DCF Seguela'!H38</f>
        <v>125062673.7621707</v>
      </c>
      <c r="M72" s="16">
        <f>'DCF Caylloma'!M70+'DCF San Jose'!M56+'DCF Lindero'!M48+'DCF Yaramoko'!M48+'DCF Seguela'!I38</f>
        <v>123514084.56695953</v>
      </c>
      <c r="N72" s="16">
        <f>'DCF Caylloma'!N70+'DCF San Jose'!N56+'DCF Lindero'!N48+'DCF Yaramoko'!N48+'DCF Seguela'!J38</f>
        <v>113297717.96190691</v>
      </c>
      <c r="O72" s="16">
        <f>'DCF Caylloma'!O70+'DCF San Jose'!O56+'DCF Lindero'!O48+'DCF Yaramoko'!O48+'DCF Seguela'!K38</f>
        <v>111210235.71918669</v>
      </c>
      <c r="P72" s="16">
        <f>'DCF Caylloma'!P70+'DCF San Jose'!P56+'DCF Lindero'!P48+'DCF Yaramoko'!P48+'DCF Seguela'!L38</f>
        <v>339809053.58640379</v>
      </c>
      <c r="Q72" s="16">
        <f>'DCF Caylloma'!Q70+'DCF San Jose'!Q56+'DCF Lindero'!Q48+'DCF Yaramoko'!Q48+'DCF Seguela'!M38</f>
        <v>627868086.7647121</v>
      </c>
      <c r="R72" s="16">
        <f>'DCF Caylloma'!R70+'DCF San Jose'!R56+'DCF Lindero'!R48+'DCF Yaramoko'!R48+'DCF Seguela'!N38</f>
        <v>660033840.61582971</v>
      </c>
      <c r="S72" s="16">
        <f>'DCF Caylloma'!S70+'DCF San Jose'!S56+'DCF Lindero'!S48+'DCF Yaramoko'!S48+'DCF Seguela'!O38</f>
        <v>551267000.64535451</v>
      </c>
      <c r="T72" s="16">
        <f>'DCF Caylloma'!T70+'DCF San Jose'!T56+'DCF Lindero'!T48+'DCF Yaramoko'!T48+'DCF Seguela'!P38</f>
        <v>410068982.05240023</v>
      </c>
      <c r="U72" s="16">
        <f>'DCF Caylloma'!U70+'DCF San Jose'!U56+'DCF Lindero'!U48+'DCF Yaramoko'!U48+'DCF Seguela'!Q38</f>
        <v>362805799.55701059</v>
      </c>
      <c r="V72" s="16">
        <f>'DCF Caylloma'!V70+'DCF San Jose'!V56+'DCF Lindero'!V48+'DCF Yaramoko'!V48+'DCF Seguela'!R38</f>
        <v>395698690.52086663</v>
      </c>
      <c r="W72" s="16">
        <f>'DCF Caylloma'!W70+'DCF San Jose'!W56+'DCF Lindero'!W48+'DCF Yaramoko'!W48+'DCF Seguela'!S38</f>
        <v>308846557.17826009</v>
      </c>
      <c r="X72" s="16">
        <f>'DCF Caylloma'!X70+'DCF San Jose'!X56+'DCF Lindero'!X48+'DCF Yaramoko'!X48+'DCF Seguela'!T38</f>
        <v>297987945.8147549</v>
      </c>
      <c r="Y72" s="16">
        <f>'DCF Caylloma'!Y70+'DCF San Jose'!Y56+'DCF Lindero'!Y48+'DCF Yaramoko'!Y48+'DCF Seguela'!U38</f>
        <v>240413116.50209767</v>
      </c>
      <c r="Z72" s="16">
        <f>'DCF Caylloma'!Z70+'DCF San Jose'!Z56+'DCF Lindero'!Z48+'DCF Yaramoko'!Z48+'DCF Seguela'!V38</f>
        <v>152385204.86691469</v>
      </c>
      <c r="AA72" s="16">
        <f>'DCF Caylloma'!AA70+'DCF San Jose'!AA56+'DCF Lindero'!AA48+'DCF Yaramoko'!AA48+'DCF Seguela'!W38</f>
        <v>152670202.63076988</v>
      </c>
      <c r="AB72" s="16">
        <f>'DCF Caylloma'!AB70+'DCF San Jose'!AB56+'DCF Lindero'!AB48+'DCF Yaramoko'!AB48+'DCF Seguela'!X38</f>
        <v>152670202.63076988</v>
      </c>
      <c r="AC72" s="16">
        <f>'DCF Caylloma'!AC70+'DCF San Jose'!AC56+'DCF Lindero'!AC48+'DCF Yaramoko'!AC48+'DCF Seguela'!Y38</f>
        <v>120821601.19095127</v>
      </c>
      <c r="AD72" s="16">
        <f>'DCF Caylloma'!AD70+'DCF San Jose'!AD56+'DCF Lindero'!AD48+'DCF Yaramoko'!AD48+'DCF Seguela'!Z38</f>
        <v>111045995.47440143</v>
      </c>
      <c r="AE72" s="16">
        <f>'DCF Caylloma'!AE70+'DCF San Jose'!AE56+'DCF Lindero'!AE48+'DCF Yaramoko'!AE48+'DCF Seguela'!AA38</f>
        <v>88103406.118141428</v>
      </c>
      <c r="AF72" s="16">
        <f>'DCF Caylloma'!AF70+'DCF San Jose'!AF56+'DCF Lindero'!AF48+'DCF Yaramoko'!AF48+'DCF Seguela'!AB38</f>
        <v>5598004.0116013559</v>
      </c>
      <c r="AG72" s="16">
        <f>'DCF Caylloma'!AG70+'DCF San Jose'!AG56+'DCF Lindero'!AG48+'DCF Yaramoko'!AG48+'DCF Seguela'!AC38</f>
        <v>1487011.664485601</v>
      </c>
      <c r="AH72" s="16">
        <f>'DCF Caylloma'!AH70+'DCF San Jose'!AH56+'DCF Lindero'!AH48+'DCF Yaramoko'!AH48+'DCF Seguela'!AD38</f>
        <v>0</v>
      </c>
      <c r="AI72" s="16">
        <f>'DCF Caylloma'!AI70+'DCF San Jose'!AI56+'DCF Lindero'!AI48+'DCF Yaramoko'!AI48+'DCF Seguela'!AE38</f>
        <v>0</v>
      </c>
      <c r="AJ72" s="16">
        <f>'DCF Caylloma'!AJ70+'DCF San Jose'!AJ56+'DCF Lindero'!AJ48+'DCF Yaramoko'!AJ48+'DCF Seguela'!AF38</f>
        <v>0</v>
      </c>
      <c r="AK72" s="16">
        <f>'DCF Caylloma'!AK70+'DCF San Jose'!AK56+'DCF Lindero'!AK48+'DCF Yaramoko'!AK48+'DCF Seguela'!AG38</f>
        <v>0</v>
      </c>
      <c r="AL72" s="16">
        <f>'DCF Caylloma'!AL70+'DCF San Jose'!AL56+'DCF Lindero'!AL48+'DCF Yaramoko'!AL48+'DCF Seguela'!AH38</f>
        <v>0</v>
      </c>
      <c r="AM72" s="16">
        <f>'DCF Caylloma'!AM70+'DCF San Jose'!AM56+'DCF Lindero'!AM48+'DCF Yaramoko'!AM48+'DCF Seguela'!AI38</f>
        <v>0</v>
      </c>
      <c r="AN72" s="16">
        <f>'DCF Caylloma'!AN70+'DCF San Jose'!AN56+'DCF Lindero'!AN48+'DCF Yaramoko'!AN48+'DCF Seguela'!AJ38</f>
        <v>0</v>
      </c>
      <c r="AO72" s="16">
        <f>'DCF Caylloma'!AO70+'DCF San Jose'!AO56+'DCF Lindero'!AO48+'DCF Yaramoko'!AO48+'DCF Seguela'!AK38</f>
        <v>0</v>
      </c>
      <c r="AP72" s="16">
        <f>'DCF Caylloma'!AP70+'DCF San Jose'!AP56+'DCF Lindero'!AP48+'DCF Yaramoko'!AP48+'DCF Seguela'!AL38</f>
        <v>0</v>
      </c>
      <c r="AQ72" s="16">
        <f>'DCF Caylloma'!AQ70+'DCF San Jose'!AQ56+'DCF Lindero'!AQ48+'DCF Yaramoko'!AQ48+'DCF Seguela'!AM38</f>
        <v>0</v>
      </c>
      <c r="AR72" s="16">
        <f>'DCF Caylloma'!AR70+'DCF San Jose'!AR56+'DCF Lindero'!AR48+'DCF Yaramoko'!AR48+'DCF Seguela'!AN38</f>
        <v>0</v>
      </c>
      <c r="AS72" s="16">
        <f>'DCF Caylloma'!AS70+'DCF San Jose'!AS56+'DCF Lindero'!AS48+'DCF Yaramoko'!AS48+'DCF Seguela'!AO38</f>
        <v>0</v>
      </c>
      <c r="AT72" s="16">
        <f>'DCF Caylloma'!AT70+'DCF San Jose'!AT56+'DCF Lindero'!AT48+'DCF Yaramoko'!AT48+'DCF Seguela'!AP38</f>
        <v>0</v>
      </c>
      <c r="AU72" s="16">
        <f>'DCF Caylloma'!AU70+'DCF San Jose'!AU56+'DCF Lindero'!AU48+'DCF Yaramoko'!AU48+'DCF Seguela'!AQ38</f>
        <v>0</v>
      </c>
      <c r="AV72" s="16">
        <f>'DCF Caylloma'!AV70+'DCF San Jose'!AV56+'DCF Lindero'!AV48+'DCF Yaramoko'!AV48+'DCF Seguela'!AR38</f>
        <v>0</v>
      </c>
      <c r="AW72" s="16">
        <f>'DCF Caylloma'!AW70+'DCF San Jose'!AW56+'DCF Lindero'!AW48+'DCF Yaramoko'!AW48+'DCF Seguela'!AS38</f>
        <v>0</v>
      </c>
      <c r="AX72" s="13"/>
    </row>
    <row r="73" spans="2:50" x14ac:dyDescent="0.25">
      <c r="B73" t="s">
        <v>88</v>
      </c>
      <c r="C73" t="s">
        <v>93</v>
      </c>
      <c r="E73" s="6">
        <f>'DCF Caylloma'!E71</f>
        <v>25676208.40832283</v>
      </c>
      <c r="F73" s="6">
        <f>'DCF Caylloma'!F71</f>
        <v>24373868.214434944</v>
      </c>
      <c r="G73" s="6">
        <f>'DCF Caylloma'!G71</f>
        <v>23027359.666231871</v>
      </c>
      <c r="H73" s="6">
        <f>'DCF Caylloma'!H71</f>
        <v>21831064.879051547</v>
      </c>
      <c r="I73" s="6">
        <f>'DCF Caylloma'!I71</f>
        <v>28995541.376345415</v>
      </c>
      <c r="J73" s="6">
        <f>'DCF Caylloma'!J71</f>
        <v>8747043.6044268347</v>
      </c>
      <c r="K73" s="15">
        <f t="shared" si="19"/>
        <v>316810071.16184241</v>
      </c>
      <c r="L73" s="16">
        <f>'DCF Caylloma'!L71</f>
        <v>6191006.9913435541</v>
      </c>
      <c r="M73" s="16">
        <f>'DCF Caylloma'!M71</f>
        <v>6179369.7601568187</v>
      </c>
      <c r="N73" s="16">
        <f>'DCF Caylloma'!N71</f>
        <v>6179369.7601568187</v>
      </c>
      <c r="O73" s="16">
        <f>'DCF Caylloma'!O71</f>
        <v>5246010.3379615545</v>
      </c>
      <c r="P73" s="16">
        <f>'DCF Caylloma'!P71</f>
        <v>16029476.032660304</v>
      </c>
      <c r="Q73" s="16">
        <f>'DCF Caylloma'!Q71</f>
        <v>21333775.374376986</v>
      </c>
      <c r="R73" s="16">
        <f>'DCF Caylloma'!R71</f>
        <v>21275486.370621856</v>
      </c>
      <c r="S73" s="16">
        <f>'DCF Caylloma'!S71</f>
        <v>21275486.370621856</v>
      </c>
      <c r="T73" s="16">
        <f>'DCF Caylloma'!T71</f>
        <v>21060050.437455337</v>
      </c>
      <c r="U73" s="16">
        <f>'DCF Caylloma'!U71</f>
        <v>14975473.69417051</v>
      </c>
      <c r="V73" s="16">
        <f>'DCF Caylloma'!V71</f>
        <v>13926123.748381237</v>
      </c>
      <c r="W73" s="16">
        <f>'DCF Caylloma'!W71</f>
        <v>13432758.061451448</v>
      </c>
      <c r="X73" s="16">
        <f>'DCF Caylloma'!X71</f>
        <v>13432758.061451448</v>
      </c>
      <c r="Y73" s="16">
        <f>'DCF Caylloma'!Y71</f>
        <v>13469560.138332136</v>
      </c>
      <c r="Z73" s="16">
        <f>'DCF Caylloma'!Z71</f>
        <v>16636223.000246601</v>
      </c>
      <c r="AA73" s="16">
        <f>'DCF Caylloma'!AA71</f>
        <v>16936955.816612694</v>
      </c>
      <c r="AB73" s="16">
        <f>'DCF Caylloma'!AB71</f>
        <v>16936955.816612694</v>
      </c>
      <c r="AC73" s="16">
        <f>'DCF Caylloma'!AC71</f>
        <v>16983358.435288344</v>
      </c>
      <c r="AD73" s="16">
        <f>'DCF Caylloma'!AD71</f>
        <v>16936955.816612694</v>
      </c>
      <c r="AE73" s="16">
        <f>'DCF Caylloma'!AE71</f>
        <v>16936955.816612694</v>
      </c>
      <c r="AF73" s="16">
        <f>'DCF Caylloma'!AF71</f>
        <v>16936955.816612694</v>
      </c>
      <c r="AG73" s="16">
        <f>'DCF Caylloma'!AG71</f>
        <v>4499005.5041021332</v>
      </c>
      <c r="AH73" s="16">
        <f>'DCF Caylloma'!AH71</f>
        <v>0</v>
      </c>
      <c r="AI73" s="16">
        <f>'DCF Caylloma'!AI71</f>
        <v>0</v>
      </c>
      <c r="AJ73" s="16">
        <f>'DCF Caylloma'!AJ71</f>
        <v>0</v>
      </c>
      <c r="AK73" s="16">
        <f>'DCF Caylloma'!AK71</f>
        <v>0</v>
      </c>
      <c r="AL73" s="16">
        <f>'DCF Caylloma'!AL71</f>
        <v>0</v>
      </c>
      <c r="AM73" s="16">
        <f>'DCF Caylloma'!AM71</f>
        <v>0</v>
      </c>
      <c r="AN73" s="16">
        <f>'DCF Caylloma'!AN71</f>
        <v>0</v>
      </c>
      <c r="AO73" s="16">
        <f>'DCF Caylloma'!AO71</f>
        <v>0</v>
      </c>
      <c r="AP73" s="16">
        <f>'DCF Caylloma'!AP71</f>
        <v>0</v>
      </c>
      <c r="AQ73" s="16">
        <f>'DCF Caylloma'!AQ71</f>
        <v>0</v>
      </c>
      <c r="AR73" s="16">
        <f>'DCF Caylloma'!AR71</f>
        <v>0</v>
      </c>
      <c r="AS73" s="16">
        <f>'DCF Caylloma'!AS71</f>
        <v>0</v>
      </c>
      <c r="AT73" s="16">
        <f>'DCF Caylloma'!AT71</f>
        <v>0</v>
      </c>
      <c r="AU73" s="16">
        <f>'DCF Caylloma'!AU71</f>
        <v>0</v>
      </c>
      <c r="AV73" s="16">
        <f>'DCF Caylloma'!AV71</f>
        <v>0</v>
      </c>
      <c r="AW73" s="16">
        <f>'DCF Caylloma'!AW71</f>
        <v>0</v>
      </c>
      <c r="AX73" s="13"/>
    </row>
    <row r="74" spans="2:50" x14ac:dyDescent="0.25">
      <c r="B74" s="8" t="s">
        <v>90</v>
      </c>
      <c r="C74" t="s">
        <v>93</v>
      </c>
      <c r="E74" s="6">
        <f>'DCF Caylloma'!E72</f>
        <v>47910229.053858332</v>
      </c>
      <c r="F74" s="6">
        <f>'DCF Caylloma'!F72</f>
        <v>50777475.524662189</v>
      </c>
      <c r="G74" s="6">
        <f>'DCF Caylloma'!G72</f>
        <v>46162361.085200168</v>
      </c>
      <c r="H74" s="6">
        <f>'DCF Caylloma'!H72</f>
        <v>41645916.408196375</v>
      </c>
      <c r="I74" s="6">
        <f>'DCF Caylloma'!I72</f>
        <v>56836745.552871585</v>
      </c>
      <c r="J74" s="6">
        <f>'DCF Caylloma'!J72</f>
        <v>16530624.482822686</v>
      </c>
      <c r="K74" s="15">
        <f t="shared" si="19"/>
        <v>651329776.40766823</v>
      </c>
      <c r="L74" s="16">
        <f>'DCF Caylloma'!L72</f>
        <v>16674215.646895196</v>
      </c>
      <c r="M74" s="16">
        <f>'DCF Caylloma'!M72</f>
        <v>14222125.110587079</v>
      </c>
      <c r="N74" s="16">
        <f>'DCF Caylloma'!N72</f>
        <v>12260452.681540586</v>
      </c>
      <c r="O74" s="16">
        <f>'DCF Caylloma'!O72</f>
        <v>9418970.7806311566</v>
      </c>
      <c r="P74" s="16">
        <f>'DCF Caylloma'!P72</f>
        <v>28780188.496372979</v>
      </c>
      <c r="Q74" s="16">
        <f>'DCF Caylloma'!Q72</f>
        <v>38303814.507900044</v>
      </c>
      <c r="R74" s="16">
        <f>'DCF Caylloma'!R72</f>
        <v>38199159.277004138</v>
      </c>
      <c r="S74" s="16">
        <f>'DCF Caylloma'!S72</f>
        <v>38199159.277004138</v>
      </c>
      <c r="T74" s="16">
        <f>'DCF Caylloma'!T72</f>
        <v>38019671.64140515</v>
      </c>
      <c r="U74" s="16">
        <f>'DCF Caylloma'!U72</f>
        <v>33006478.458935138</v>
      </c>
      <c r="V74" s="16">
        <f>'DCF Caylloma'!V72</f>
        <v>31893021.273816429</v>
      </c>
      <c r="W74" s="16">
        <f>'DCF Caylloma'!W72</f>
        <v>31392394.193069894</v>
      </c>
      <c r="X74" s="16">
        <f>'DCF Caylloma'!X72</f>
        <v>31392394.193069894</v>
      </c>
      <c r="Y74" s="16">
        <f>'DCF Caylloma'!Y72</f>
        <v>31478400.752502955</v>
      </c>
      <c r="Z74" s="16">
        <f>'DCF Caylloma'!Z72</f>
        <v>35200256.04980699</v>
      </c>
      <c r="AA74" s="16">
        <f>'DCF Caylloma'!AA72</f>
        <v>35557728.050402798</v>
      </c>
      <c r="AB74" s="16">
        <f>'DCF Caylloma'!AB72</f>
        <v>35557728.050402798</v>
      </c>
      <c r="AC74" s="16">
        <f>'DCF Caylloma'!AC72</f>
        <v>35655146.483417593</v>
      </c>
      <c r="AD74" s="16">
        <f>'DCF Caylloma'!AD72</f>
        <v>35557728.050402798</v>
      </c>
      <c r="AE74" s="16">
        <f>'DCF Caylloma'!AE72</f>
        <v>35557728.050402798</v>
      </c>
      <c r="AF74" s="16">
        <f>'DCF Caylloma'!AF72</f>
        <v>35557728.050402798</v>
      </c>
      <c r="AG74" s="16">
        <f>'DCF Caylloma'!AG72</f>
        <v>9445287.3316949494</v>
      </c>
      <c r="AH74" s="16">
        <f>'DCF Caylloma'!AH72</f>
        <v>0</v>
      </c>
      <c r="AI74" s="16">
        <f>'DCF Caylloma'!AI72</f>
        <v>0</v>
      </c>
      <c r="AJ74" s="16">
        <f>'DCF Caylloma'!AJ72</f>
        <v>0</v>
      </c>
      <c r="AK74" s="16">
        <f>'DCF Caylloma'!AK72</f>
        <v>0</v>
      </c>
      <c r="AL74" s="16">
        <f>'DCF Caylloma'!AL72</f>
        <v>0</v>
      </c>
      <c r="AM74" s="16">
        <f>'DCF Caylloma'!AM72</f>
        <v>0</v>
      </c>
      <c r="AN74" s="16">
        <f>'DCF Caylloma'!AN72</f>
        <v>0</v>
      </c>
      <c r="AO74" s="16">
        <f>'DCF Caylloma'!AO72</f>
        <v>0</v>
      </c>
      <c r="AP74" s="16">
        <f>'DCF Caylloma'!AP72</f>
        <v>0</v>
      </c>
      <c r="AQ74" s="16">
        <f>'DCF Caylloma'!AQ72</f>
        <v>0</v>
      </c>
      <c r="AR74" s="16">
        <f>'DCF Caylloma'!AR72</f>
        <v>0</v>
      </c>
      <c r="AS74" s="16">
        <f>'DCF Caylloma'!AS72</f>
        <v>0</v>
      </c>
      <c r="AT74" s="16">
        <f>'DCF Caylloma'!AT72</f>
        <v>0</v>
      </c>
      <c r="AU74" s="16">
        <f>'DCF Caylloma'!AU72</f>
        <v>0</v>
      </c>
      <c r="AV74" s="16">
        <f>'DCF Caylloma'!AV72</f>
        <v>0</v>
      </c>
      <c r="AW74" s="16">
        <f>'DCF Caylloma'!AW72</f>
        <v>0</v>
      </c>
      <c r="AX74" s="13"/>
    </row>
    <row r="75" spans="2:50" x14ac:dyDescent="0.25">
      <c r="B75" s="32" t="s">
        <v>19</v>
      </c>
      <c r="C75" t="s">
        <v>93</v>
      </c>
      <c r="E75" s="6">
        <f>SUM(E71:E74)</f>
        <v>275706274.05099851</v>
      </c>
      <c r="F75" s="6">
        <f t="shared" ref="F75:J75" si="20">SUM(F71:F74)</f>
        <v>268386946.75759441</v>
      </c>
      <c r="G75" s="6">
        <f t="shared" si="20"/>
        <v>272277661.58023882</v>
      </c>
      <c r="H75" s="6">
        <f t="shared" si="20"/>
        <v>306471137.21037567</v>
      </c>
      <c r="I75" s="6">
        <f t="shared" si="20"/>
        <v>628617474.18921232</v>
      </c>
      <c r="J75" s="6">
        <f t="shared" si="20"/>
        <v>190458086.56736326</v>
      </c>
      <c r="K75" s="15">
        <f t="shared" si="19"/>
        <v>7362696281.3038006</v>
      </c>
      <c r="L75" s="16">
        <f>SUM(L71:L74)</f>
        <v>183615417.30154499</v>
      </c>
      <c r="M75" s="16">
        <f t="shared" ref="M75:AW75" si="21">SUM(M71:M74)</f>
        <v>178395821.34032145</v>
      </c>
      <c r="N75" s="16">
        <f t="shared" si="21"/>
        <v>167785066.02906859</v>
      </c>
      <c r="O75" s="16">
        <f t="shared" si="21"/>
        <v>165466261.75688341</v>
      </c>
      <c r="P75" s="16">
        <f t="shared" si="21"/>
        <v>505591355.3682549</v>
      </c>
      <c r="Q75" s="16">
        <f t="shared" si="21"/>
        <v>839267617.77025747</v>
      </c>
      <c r="R75" s="16">
        <f t="shared" si="21"/>
        <v>780922038.49648023</v>
      </c>
      <c r="S75" s="16">
        <f t="shared" si="21"/>
        <v>637420753.61634374</v>
      </c>
      <c r="T75" s="16">
        <f t="shared" si="21"/>
        <v>495980704.05623502</v>
      </c>
      <c r="U75" s="16">
        <f t="shared" si="21"/>
        <v>442052371.88486612</v>
      </c>
      <c r="V75" s="16">
        <f t="shared" si="21"/>
        <v>469459458.24774957</v>
      </c>
      <c r="W75" s="16">
        <f t="shared" si="21"/>
        <v>380029381.72815245</v>
      </c>
      <c r="X75" s="16">
        <f t="shared" si="21"/>
        <v>369170770.36464727</v>
      </c>
      <c r="Y75" s="16">
        <f t="shared" si="21"/>
        <v>311790962.48911303</v>
      </c>
      <c r="Z75" s="16">
        <f t="shared" si="21"/>
        <v>240570230.32489559</v>
      </c>
      <c r="AA75" s="16">
        <f t="shared" si="21"/>
        <v>242451349.74489561</v>
      </c>
      <c r="AB75" s="16">
        <f t="shared" si="21"/>
        <v>242451349.74489561</v>
      </c>
      <c r="AC75" s="16">
        <f t="shared" si="21"/>
        <v>210848724.05059516</v>
      </c>
      <c r="AD75" s="16">
        <f t="shared" si="21"/>
        <v>200827142.58852714</v>
      </c>
      <c r="AE75" s="16">
        <f t="shared" si="21"/>
        <v>177884553.23226717</v>
      </c>
      <c r="AF75" s="16">
        <f t="shared" si="21"/>
        <v>95379151.125727087</v>
      </c>
      <c r="AG75" s="16">
        <f t="shared" si="21"/>
        <v>25335800.042079546</v>
      </c>
      <c r="AH75" s="16">
        <f t="shared" si="21"/>
        <v>0</v>
      </c>
      <c r="AI75" s="16">
        <f t="shared" si="21"/>
        <v>0</v>
      </c>
      <c r="AJ75" s="16">
        <f t="shared" si="21"/>
        <v>0</v>
      </c>
      <c r="AK75" s="16">
        <f t="shared" si="21"/>
        <v>0</v>
      </c>
      <c r="AL75" s="16">
        <f t="shared" si="21"/>
        <v>0</v>
      </c>
      <c r="AM75" s="16">
        <f t="shared" si="21"/>
        <v>0</v>
      </c>
      <c r="AN75" s="16">
        <f t="shared" si="21"/>
        <v>0</v>
      </c>
      <c r="AO75" s="16">
        <f t="shared" si="21"/>
        <v>0</v>
      </c>
      <c r="AP75" s="16">
        <f t="shared" si="21"/>
        <v>0</v>
      </c>
      <c r="AQ75" s="16">
        <f t="shared" si="21"/>
        <v>0</v>
      </c>
      <c r="AR75" s="16">
        <f t="shared" si="21"/>
        <v>0</v>
      </c>
      <c r="AS75" s="16">
        <f t="shared" si="21"/>
        <v>0</v>
      </c>
      <c r="AT75" s="16">
        <f t="shared" si="21"/>
        <v>0</v>
      </c>
      <c r="AU75" s="16">
        <f t="shared" si="21"/>
        <v>0</v>
      </c>
      <c r="AV75" s="16">
        <f t="shared" si="21"/>
        <v>0</v>
      </c>
      <c r="AW75" s="16">
        <f t="shared" si="21"/>
        <v>0</v>
      </c>
      <c r="AX75" s="13"/>
    </row>
    <row r="76" spans="2:50" x14ac:dyDescent="0.25">
      <c r="B76" s="32"/>
      <c r="E76" s="6"/>
      <c r="F76" s="6"/>
      <c r="G76" s="6"/>
      <c r="H76" s="6"/>
      <c r="I76" s="6"/>
      <c r="J76" s="6"/>
      <c r="K76" s="2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3"/>
    </row>
    <row r="77" spans="2:50" x14ac:dyDescent="0.25">
      <c r="B77" s="32" t="s">
        <v>94</v>
      </c>
      <c r="C77" t="s">
        <v>70</v>
      </c>
      <c r="E77" s="44">
        <f>E71/E75</f>
        <v>0.49376419814131256</v>
      </c>
      <c r="F77" s="44">
        <f t="shared" ref="F77:J77" si="22">F71/F75</f>
        <v>0.48297444386427707</v>
      </c>
      <c r="G77" s="44">
        <f t="shared" si="22"/>
        <v>0.50511906960839004</v>
      </c>
      <c r="H77" s="44">
        <f t="shared" si="22"/>
        <v>0.47520877925366761</v>
      </c>
      <c r="I77" s="44">
        <f t="shared" si="22"/>
        <v>0.28225807377628581</v>
      </c>
      <c r="J77" s="44">
        <f t="shared" si="22"/>
        <v>0.20767701001964256</v>
      </c>
      <c r="K77" s="65">
        <f>AVERAGE(L77:AW77)</f>
        <v>0.16387912546489838</v>
      </c>
      <c r="L77" s="43">
        <f>IFERROR(L71/L75,"")</f>
        <v>0.19436015464064876</v>
      </c>
      <c r="M77" s="43">
        <f t="shared" ref="M77:AW77" si="23">IFERROR(M71/M75,"")</f>
        <v>0.1932794257374498</v>
      </c>
      <c r="N77" s="43">
        <f t="shared" si="23"/>
        <v>0.21484346896057543</v>
      </c>
      <c r="O77" s="43">
        <f t="shared" si="23"/>
        <v>0.23926959187169167</v>
      </c>
      <c r="P77" s="43">
        <f t="shared" si="23"/>
        <v>0.23926959187169167</v>
      </c>
      <c r="Q77" s="43">
        <f t="shared" si="23"/>
        <v>0.180826637308449</v>
      </c>
      <c r="R77" s="43">
        <f t="shared" si="23"/>
        <v>7.8642360191633093E-2</v>
      </c>
      <c r="S77" s="43">
        <f t="shared" si="23"/>
        <v>4.1854783001654843E-2</v>
      </c>
      <c r="T77" s="43">
        <f t="shared" si="23"/>
        <v>5.4098878657045484E-2</v>
      </c>
      <c r="U77" s="43">
        <f t="shared" si="23"/>
        <v>7.0726054565527344E-2</v>
      </c>
      <c r="V77" s="43">
        <f t="shared" si="23"/>
        <v>5.9518712880931059E-2</v>
      </c>
      <c r="W77" s="43">
        <f t="shared" si="23"/>
        <v>6.9356932812699071E-2</v>
      </c>
      <c r="X77" s="43">
        <f t="shared" si="23"/>
        <v>7.139696425406683E-2</v>
      </c>
      <c r="Y77" s="43">
        <f t="shared" si="23"/>
        <v>8.4767964039698995E-2</v>
      </c>
      <c r="Z77" s="43">
        <f t="shared" si="23"/>
        <v>0.15109328514520584</v>
      </c>
      <c r="AA77" s="43">
        <f t="shared" si="23"/>
        <v>0.15378946451047856</v>
      </c>
      <c r="AB77" s="43">
        <f t="shared" si="23"/>
        <v>0.15378946451047856</v>
      </c>
      <c r="AC77" s="43">
        <f t="shared" si="23"/>
        <v>0.1773243737152812</v>
      </c>
      <c r="AD77" s="43">
        <f t="shared" si="23"/>
        <v>0.18566446131988312</v>
      </c>
      <c r="AE77" s="43">
        <f t="shared" si="23"/>
        <v>0.20961046122101798</v>
      </c>
      <c r="AF77" s="43">
        <f t="shared" si="23"/>
        <v>0.39092886450582792</v>
      </c>
      <c r="AG77" s="43">
        <f t="shared" si="23"/>
        <v>0.39092886450582787</v>
      </c>
      <c r="AH77" s="43" t="str">
        <f t="shared" si="23"/>
        <v/>
      </c>
      <c r="AI77" s="43" t="str">
        <f t="shared" si="23"/>
        <v/>
      </c>
      <c r="AJ77" s="43" t="str">
        <f t="shared" si="23"/>
        <v/>
      </c>
      <c r="AK77" s="43" t="str">
        <f t="shared" si="23"/>
        <v/>
      </c>
      <c r="AL77" s="43" t="str">
        <f t="shared" si="23"/>
        <v/>
      </c>
      <c r="AM77" s="43" t="str">
        <f t="shared" si="23"/>
        <v/>
      </c>
      <c r="AN77" s="43" t="str">
        <f t="shared" si="23"/>
        <v/>
      </c>
      <c r="AO77" s="43" t="str">
        <f t="shared" si="23"/>
        <v/>
      </c>
      <c r="AP77" s="43" t="str">
        <f t="shared" si="23"/>
        <v/>
      </c>
      <c r="AQ77" s="43" t="str">
        <f t="shared" si="23"/>
        <v/>
      </c>
      <c r="AR77" s="43" t="str">
        <f t="shared" si="23"/>
        <v/>
      </c>
      <c r="AS77" s="43" t="str">
        <f t="shared" si="23"/>
        <v/>
      </c>
      <c r="AT77" s="43" t="str">
        <f t="shared" si="23"/>
        <v/>
      </c>
      <c r="AU77" s="43" t="str">
        <f t="shared" si="23"/>
        <v/>
      </c>
      <c r="AV77" s="43" t="str">
        <f t="shared" si="23"/>
        <v/>
      </c>
      <c r="AW77" s="43" t="str">
        <f t="shared" si="23"/>
        <v/>
      </c>
      <c r="AX77" s="13"/>
    </row>
    <row r="78" spans="2:50" x14ac:dyDescent="0.25">
      <c r="B78" s="32" t="s">
        <v>262</v>
      </c>
      <c r="C78" t="s">
        <v>70</v>
      </c>
      <c r="E78" s="44">
        <f>E72/E75</f>
        <v>0.23933423164425854</v>
      </c>
      <c r="F78" s="44">
        <f t="shared" ref="F78:J78" si="24">F72/F75</f>
        <v>0.23701438328619745</v>
      </c>
      <c r="G78" s="44">
        <f t="shared" si="24"/>
        <v>0.24076636091179909</v>
      </c>
      <c r="H78" s="44">
        <f t="shared" si="24"/>
        <v>0.3176690040670031</v>
      </c>
      <c r="I78" s="44">
        <f t="shared" si="24"/>
        <v>0.58120056290904798</v>
      </c>
      <c r="J78" s="44">
        <f t="shared" si="24"/>
        <v>0.65960261804535403</v>
      </c>
      <c r="K78" s="65">
        <f t="shared" ref="K78:K80" si="25">AVERAGE(L78:AW78)</f>
        <v>0.65290375418207036</v>
      </c>
      <c r="L78" s="43">
        <f>IFERROR(L72/L75,"")</f>
        <v>0.68111205257227814</v>
      </c>
      <c r="M78" s="43">
        <f t="shared" ref="M78:AW78" si="26">IFERROR(M72/M75,"")</f>
        <v>0.6923597404859313</v>
      </c>
      <c r="N78" s="43">
        <f t="shared" si="26"/>
        <v>0.67525507867475043</v>
      </c>
      <c r="O78" s="43">
        <f t="shared" si="26"/>
        <v>0.67210218287632484</v>
      </c>
      <c r="P78" s="43">
        <f t="shared" si="26"/>
        <v>0.67210218287632484</v>
      </c>
      <c r="Q78" s="43">
        <f t="shared" si="26"/>
        <v>0.74811427662706009</v>
      </c>
      <c r="R78" s="43">
        <f t="shared" si="26"/>
        <v>0.84519812232038138</v>
      </c>
      <c r="S78" s="43">
        <f t="shared" si="26"/>
        <v>0.86484005661534491</v>
      </c>
      <c r="T78" s="43">
        <f t="shared" si="26"/>
        <v>0.82678414442088055</v>
      </c>
      <c r="U78" s="43">
        <f t="shared" si="26"/>
        <v>0.82073035375886294</v>
      </c>
      <c r="V78" s="43">
        <f t="shared" si="26"/>
        <v>0.84288149608872742</v>
      </c>
      <c r="W78" s="43">
        <f t="shared" si="26"/>
        <v>0.81269126027520744</v>
      </c>
      <c r="X78" s="43">
        <f t="shared" si="26"/>
        <v>0.80718185115364971</v>
      </c>
      <c r="Y78" s="43">
        <f t="shared" si="26"/>
        <v>0.77107147231854833</v>
      </c>
      <c r="Z78" s="43">
        <f t="shared" si="26"/>
        <v>0.63343334152823061</v>
      </c>
      <c r="AA78" s="43">
        <f t="shared" si="26"/>
        <v>0.62969417489903701</v>
      </c>
      <c r="AB78" s="43">
        <f t="shared" si="26"/>
        <v>0.62969417489903701</v>
      </c>
      <c r="AC78" s="43">
        <f t="shared" si="26"/>
        <v>0.57302505260576764</v>
      </c>
      <c r="AD78" s="43">
        <f t="shared" si="26"/>
        <v>0.55294316317552017</v>
      </c>
      <c r="AE78" s="43">
        <f t="shared" si="26"/>
        <v>0.49528418582305556</v>
      </c>
      <c r="AF78" s="43">
        <f t="shared" si="26"/>
        <v>5.8692114005315141E-2</v>
      </c>
      <c r="AG78" s="43">
        <f t="shared" si="26"/>
        <v>5.8692114005315148E-2</v>
      </c>
      <c r="AH78" s="43" t="str">
        <f t="shared" si="26"/>
        <v/>
      </c>
      <c r="AI78" s="43" t="str">
        <f t="shared" si="26"/>
        <v/>
      </c>
      <c r="AJ78" s="43" t="str">
        <f t="shared" si="26"/>
        <v/>
      </c>
      <c r="AK78" s="43" t="str">
        <f t="shared" si="26"/>
        <v/>
      </c>
      <c r="AL78" s="43" t="str">
        <f t="shared" si="26"/>
        <v/>
      </c>
      <c r="AM78" s="43" t="str">
        <f t="shared" si="26"/>
        <v/>
      </c>
      <c r="AN78" s="43" t="str">
        <f t="shared" si="26"/>
        <v/>
      </c>
      <c r="AO78" s="43" t="str">
        <f t="shared" si="26"/>
        <v/>
      </c>
      <c r="AP78" s="43" t="str">
        <f t="shared" si="26"/>
        <v/>
      </c>
      <c r="AQ78" s="43" t="str">
        <f t="shared" si="26"/>
        <v/>
      </c>
      <c r="AR78" s="43" t="str">
        <f t="shared" si="26"/>
        <v/>
      </c>
      <c r="AS78" s="43" t="str">
        <f t="shared" si="26"/>
        <v/>
      </c>
      <c r="AT78" s="43" t="str">
        <f t="shared" si="26"/>
        <v/>
      </c>
      <c r="AU78" s="43" t="str">
        <f t="shared" si="26"/>
        <v/>
      </c>
      <c r="AV78" s="43" t="str">
        <f t="shared" si="26"/>
        <v/>
      </c>
      <c r="AW78" s="43" t="str">
        <f t="shared" si="26"/>
        <v/>
      </c>
      <c r="AX78" s="13"/>
    </row>
    <row r="79" spans="2:50" x14ac:dyDescent="0.25">
      <c r="B79" s="32" t="s">
        <v>263</v>
      </c>
      <c r="C79" t="s">
        <v>70</v>
      </c>
      <c r="E79" s="44">
        <f>E73/E75</f>
        <v>9.312885060995528E-2</v>
      </c>
      <c r="F79" s="44">
        <f t="shared" ref="F79:J79" si="27">F73/F75</f>
        <v>9.0816146272751808E-2</v>
      </c>
      <c r="G79" s="44">
        <f t="shared" si="27"/>
        <v>8.4573077102933131E-2</v>
      </c>
      <c r="H79" s="44">
        <f t="shared" si="27"/>
        <v>7.1233673349362481E-2</v>
      </c>
      <c r="I79" s="44">
        <f t="shared" si="27"/>
        <v>4.6125891447328468E-2</v>
      </c>
      <c r="J79" s="44">
        <f t="shared" si="27"/>
        <v>4.592634401655131E-2</v>
      </c>
      <c r="K79" s="65">
        <f t="shared" si="25"/>
        <v>5.9076609306145486E-2</v>
      </c>
      <c r="L79" s="43">
        <f>IFERROR(L73/L75,"")</f>
        <v>3.3717250339476049E-2</v>
      </c>
      <c r="M79" s="43">
        <f t="shared" ref="M79:AW79" si="28">IFERROR(M73/M75,"")</f>
        <v>3.4638534208537221E-2</v>
      </c>
      <c r="N79" s="43">
        <f t="shared" si="28"/>
        <v>3.6829080837779977E-2</v>
      </c>
      <c r="O79" s="43">
        <f t="shared" si="28"/>
        <v>3.170441081015913E-2</v>
      </c>
      <c r="P79" s="43">
        <f t="shared" si="28"/>
        <v>3.1704410810159123E-2</v>
      </c>
      <c r="Q79" s="43">
        <f t="shared" si="28"/>
        <v>2.5419514494144261E-2</v>
      </c>
      <c r="R79" s="43">
        <f t="shared" si="28"/>
        <v>2.7244059357812257E-2</v>
      </c>
      <c r="S79" s="43">
        <f t="shared" si="28"/>
        <v>3.3377461041105873E-2</v>
      </c>
      <c r="T79" s="43">
        <f t="shared" si="28"/>
        <v>4.2461430989596559E-2</v>
      </c>
      <c r="U79" s="43">
        <f t="shared" si="28"/>
        <v>3.3877148153999538E-2</v>
      </c>
      <c r="V79" s="43">
        <f t="shared" si="28"/>
        <v>2.9664166955673418E-2</v>
      </c>
      <c r="W79" s="43">
        <f t="shared" si="28"/>
        <v>3.5346630306233383E-2</v>
      </c>
      <c r="X79" s="43">
        <f t="shared" si="28"/>
        <v>3.6386299078291828E-2</v>
      </c>
      <c r="Y79" s="43">
        <f t="shared" si="28"/>
        <v>4.3200611174874767E-2</v>
      </c>
      <c r="Z79" s="43">
        <f t="shared" si="28"/>
        <v>6.915329040413272E-2</v>
      </c>
      <c r="AA79" s="43">
        <f t="shared" si="28"/>
        <v>6.9857131479917747E-2</v>
      </c>
      <c r="AB79" s="43">
        <f t="shared" si="28"/>
        <v>6.9857131479917747E-2</v>
      </c>
      <c r="AC79" s="43">
        <f t="shared" si="28"/>
        <v>8.0547598814081633E-2</v>
      </c>
      <c r="AD79" s="43">
        <f t="shared" si="28"/>
        <v>8.4335989639182707E-2</v>
      </c>
      <c r="AE79" s="43">
        <f t="shared" si="28"/>
        <v>9.5213190290321589E-2</v>
      </c>
      <c r="AF79" s="43">
        <f t="shared" si="28"/>
        <v>0.17757503203490146</v>
      </c>
      <c r="AG79" s="43">
        <f t="shared" si="28"/>
        <v>0.17757503203490146</v>
      </c>
      <c r="AH79" s="43" t="str">
        <f t="shared" si="28"/>
        <v/>
      </c>
      <c r="AI79" s="43" t="str">
        <f t="shared" si="28"/>
        <v/>
      </c>
      <c r="AJ79" s="43" t="str">
        <f t="shared" si="28"/>
        <v/>
      </c>
      <c r="AK79" s="43" t="str">
        <f t="shared" si="28"/>
        <v/>
      </c>
      <c r="AL79" s="43" t="str">
        <f t="shared" si="28"/>
        <v/>
      </c>
      <c r="AM79" s="43" t="str">
        <f t="shared" si="28"/>
        <v/>
      </c>
      <c r="AN79" s="43" t="str">
        <f t="shared" si="28"/>
        <v/>
      </c>
      <c r="AO79" s="43" t="str">
        <f t="shared" si="28"/>
        <v/>
      </c>
      <c r="AP79" s="43" t="str">
        <f t="shared" si="28"/>
        <v/>
      </c>
      <c r="AQ79" s="43" t="str">
        <f t="shared" si="28"/>
        <v/>
      </c>
      <c r="AR79" s="43" t="str">
        <f t="shared" si="28"/>
        <v/>
      </c>
      <c r="AS79" s="43" t="str">
        <f t="shared" si="28"/>
        <v/>
      </c>
      <c r="AT79" s="43" t="str">
        <f t="shared" si="28"/>
        <v/>
      </c>
      <c r="AU79" s="43" t="str">
        <f t="shared" si="28"/>
        <v/>
      </c>
      <c r="AV79" s="43" t="str">
        <f t="shared" si="28"/>
        <v/>
      </c>
      <c r="AW79" s="43" t="str">
        <f t="shared" si="28"/>
        <v/>
      </c>
      <c r="AX79" s="13"/>
    </row>
    <row r="80" spans="2:50" x14ac:dyDescent="0.25">
      <c r="B80" s="32" t="s">
        <v>264</v>
      </c>
      <c r="C80" t="s">
        <v>70</v>
      </c>
      <c r="E80" s="44">
        <f>E74/E75</f>
        <v>0.17377271960447366</v>
      </c>
      <c r="F80" s="44">
        <f t="shared" ref="F80:J80" si="29">F74/F75</f>
        <v>0.18919502657677359</v>
      </c>
      <c r="G80" s="44">
        <f t="shared" si="29"/>
        <v>0.16954149237687779</v>
      </c>
      <c r="H80" s="44">
        <f t="shared" si="29"/>
        <v>0.13588854332996694</v>
      </c>
      <c r="I80" s="44">
        <f t="shared" si="29"/>
        <v>9.0415471867337657E-2</v>
      </c>
      <c r="J80" s="44">
        <f t="shared" si="29"/>
        <v>8.679402791845206E-2</v>
      </c>
      <c r="K80" s="65">
        <f t="shared" si="25"/>
        <v>0.1241405110468857</v>
      </c>
      <c r="L80" s="43">
        <f>IFERROR(L74/L75,"")</f>
        <v>9.0810542447597037E-2</v>
      </c>
      <c r="M80" s="43">
        <f t="shared" ref="M80:AW80" si="30">IFERROR(M74/M75,"")</f>
        <v>7.9722299568081648E-2</v>
      </c>
      <c r="N80" s="43">
        <f t="shared" si="30"/>
        <v>7.3072371526894261E-2</v>
      </c>
      <c r="O80" s="43">
        <f t="shared" si="30"/>
        <v>5.6923814441824282E-2</v>
      </c>
      <c r="P80" s="43">
        <f t="shared" si="30"/>
        <v>5.6923814441824282E-2</v>
      </c>
      <c r="Q80" s="43">
        <f t="shared" si="30"/>
        <v>4.5639571570346697E-2</v>
      </c>
      <c r="R80" s="43">
        <f t="shared" si="30"/>
        <v>4.891545813017327E-2</v>
      </c>
      <c r="S80" s="43">
        <f t="shared" si="30"/>
        <v>5.9927699341894625E-2</v>
      </c>
      <c r="T80" s="43">
        <f t="shared" si="30"/>
        <v>7.6655545932477295E-2</v>
      </c>
      <c r="U80" s="43">
        <f t="shared" si="30"/>
        <v>7.4666443521610087E-2</v>
      </c>
      <c r="V80" s="43">
        <f t="shared" si="30"/>
        <v>6.7935624074668036E-2</v>
      </c>
      <c r="W80" s="43">
        <f t="shared" si="30"/>
        <v>8.2605176605860198E-2</v>
      </c>
      <c r="X80" s="43">
        <f t="shared" si="30"/>
        <v>8.5034885513991687E-2</v>
      </c>
      <c r="Y80" s="43">
        <f t="shared" si="30"/>
        <v>0.10095995246687788</v>
      </c>
      <c r="Z80" s="43">
        <f t="shared" si="30"/>
        <v>0.14632008292243076</v>
      </c>
      <c r="AA80" s="43">
        <f t="shared" si="30"/>
        <v>0.14665922911056675</v>
      </c>
      <c r="AB80" s="43">
        <f t="shared" si="30"/>
        <v>0.14665922911056675</v>
      </c>
      <c r="AC80" s="43">
        <f t="shared" si="30"/>
        <v>0.16910297486486947</v>
      </c>
      <c r="AD80" s="43">
        <f t="shared" si="30"/>
        <v>0.17705638586541408</v>
      </c>
      <c r="AE80" s="43">
        <f t="shared" si="30"/>
        <v>0.19989216266560486</v>
      </c>
      <c r="AF80" s="43">
        <f t="shared" si="30"/>
        <v>0.3728039894539556</v>
      </c>
      <c r="AG80" s="43">
        <f t="shared" si="30"/>
        <v>0.37280398945395554</v>
      </c>
      <c r="AH80" s="43" t="str">
        <f t="shared" si="30"/>
        <v/>
      </c>
      <c r="AI80" s="43" t="str">
        <f t="shared" si="30"/>
        <v/>
      </c>
      <c r="AJ80" s="43" t="str">
        <f t="shared" si="30"/>
        <v/>
      </c>
      <c r="AK80" s="43" t="str">
        <f t="shared" si="30"/>
        <v/>
      </c>
      <c r="AL80" s="43" t="str">
        <f t="shared" si="30"/>
        <v/>
      </c>
      <c r="AM80" s="43" t="str">
        <f t="shared" si="30"/>
        <v/>
      </c>
      <c r="AN80" s="43" t="str">
        <f t="shared" si="30"/>
        <v/>
      </c>
      <c r="AO80" s="43" t="str">
        <f t="shared" si="30"/>
        <v/>
      </c>
      <c r="AP80" s="43" t="str">
        <f t="shared" si="30"/>
        <v/>
      </c>
      <c r="AQ80" s="43" t="str">
        <f t="shared" si="30"/>
        <v/>
      </c>
      <c r="AR80" s="43" t="str">
        <f t="shared" si="30"/>
        <v/>
      </c>
      <c r="AS80" s="43" t="str">
        <f t="shared" si="30"/>
        <v/>
      </c>
      <c r="AT80" s="43" t="str">
        <f t="shared" si="30"/>
        <v/>
      </c>
      <c r="AU80" s="43" t="str">
        <f t="shared" si="30"/>
        <v/>
      </c>
      <c r="AV80" s="43" t="str">
        <f t="shared" si="30"/>
        <v/>
      </c>
      <c r="AW80" s="43" t="str">
        <f t="shared" si="30"/>
        <v/>
      </c>
      <c r="AX80" s="13"/>
    </row>
    <row r="81" spans="2:50" x14ac:dyDescent="0.25">
      <c r="K81" s="26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spans="2:50" ht="15.75" thickBot="1" x14ac:dyDescent="0.3">
      <c r="B82" s="14" t="s">
        <v>95</v>
      </c>
      <c r="K82" s="26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spans="2:50" x14ac:dyDescent="0.25">
      <c r="B83" t="s">
        <v>96</v>
      </c>
      <c r="C83" t="s">
        <v>93</v>
      </c>
      <c r="E83" s="6">
        <f>'DCF Caylloma'!E78+'DCF San Jose'!E62</f>
        <v>0</v>
      </c>
      <c r="F83" s="6">
        <f>'DCF Caylloma'!F78+'DCF San Jose'!F62</f>
        <v>0</v>
      </c>
      <c r="G83" s="6">
        <f>'DCF Caylloma'!G78+'DCF San Jose'!G62</f>
        <v>10060000</v>
      </c>
      <c r="H83" s="6">
        <f>'DCF Caylloma'!H78+'DCF San Jose'!H62</f>
        <v>19740000</v>
      </c>
      <c r="I83" s="6">
        <f>'DCF Caylloma'!I78+'DCF San Jose'!I62</f>
        <v>15503000</v>
      </c>
      <c r="J83" s="6">
        <f>'DCF Caylloma'!J78+'DCF San Jose'!J62</f>
        <v>4786000</v>
      </c>
      <c r="K83" s="15">
        <f>SUM(L83:AW83)</f>
        <v>283815478.438169</v>
      </c>
      <c r="L83" s="16">
        <f>'DCF Caylloma'!L78+'DCF San Jose'!L62</f>
        <v>4097516.8</v>
      </c>
      <c r="M83" s="16">
        <f>'DCF Caylloma'!M78+'DCF San Jose'!M62</f>
        <v>4443686</v>
      </c>
      <c r="N83" s="16">
        <f>'DCF Caylloma'!N78+'DCF San Jose'!N62</f>
        <v>4709970</v>
      </c>
      <c r="O83" s="16">
        <f>'DCF Caylloma'!O78+'DCF San Jose'!O62</f>
        <v>4495911.2386406166</v>
      </c>
      <c r="P83" s="16">
        <f>'DCF Caylloma'!P78+'DCF San Jose'!P62</f>
        <v>11896794.890329866</v>
      </c>
      <c r="Q83" s="16">
        <f>'DCF Caylloma'!Q78+'DCF San Jose'!Q62</f>
        <v>15833916.108584473</v>
      </c>
      <c r="R83" s="16">
        <f>'DCF Caylloma'!R78+'DCF San Jose'!R62</f>
        <v>15791200.490801457</v>
      </c>
      <c r="S83" s="16">
        <f>'DCF Caylloma'!S78+'DCF San Jose'!S62</f>
        <v>15591200.490801457</v>
      </c>
      <c r="T83" s="16">
        <f>'DCF Caylloma'!T78+'DCF San Jose'!T62</f>
        <v>15591200.490801457</v>
      </c>
      <c r="U83" s="16">
        <f>'DCF Caylloma'!U78+'DCF San Jose'!U62</f>
        <v>15633916.108584473</v>
      </c>
      <c r="V83" s="16">
        <f>'DCF Caylloma'!V78+'DCF San Jose'!V62</f>
        <v>15591200.490801457</v>
      </c>
      <c r="W83" s="16">
        <f>'DCF Caylloma'!W78+'DCF San Jose'!W62</f>
        <v>15591200.490801457</v>
      </c>
      <c r="X83" s="16">
        <f>'DCF Caylloma'!X78+'DCF San Jose'!X62</f>
        <v>15591200.490801457</v>
      </c>
      <c r="Y83" s="16">
        <f>'DCF Caylloma'!Y78+'DCF San Jose'!Y62</f>
        <v>15633916.108584473</v>
      </c>
      <c r="Z83" s="16">
        <f>'DCF Caylloma'!Z78+'DCF San Jose'!Z62</f>
        <v>15591200.490801457</v>
      </c>
      <c r="AA83" s="16">
        <f>'DCF Caylloma'!AA78+'DCF San Jose'!AA62</f>
        <v>15591200.490801457</v>
      </c>
      <c r="AB83" s="16">
        <f>'DCF Caylloma'!AB78+'DCF San Jose'!AB62</f>
        <v>15591200.490801457</v>
      </c>
      <c r="AC83" s="16">
        <f>'DCF Caylloma'!AC78+'DCF San Jose'!AC62</f>
        <v>15633916.108584473</v>
      </c>
      <c r="AD83" s="16">
        <f>'DCF Caylloma'!AD78+'DCF San Jose'!AD62</f>
        <v>15591200.490801457</v>
      </c>
      <c r="AE83" s="16">
        <f>'DCF Caylloma'!AE78+'DCF San Jose'!AE62</f>
        <v>15591200.490801457</v>
      </c>
      <c r="AF83" s="16">
        <f>'DCF Caylloma'!AF78+'DCF San Jose'!AF62</f>
        <v>15591200.490801457</v>
      </c>
      <c r="AG83" s="16">
        <f>'DCF Caylloma'!AG78+'DCF San Jose'!AG62</f>
        <v>4141529.1852431758</v>
      </c>
      <c r="AH83" s="16">
        <f>'DCF Caylloma'!AH78+'DCF San Jose'!AH62</f>
        <v>0</v>
      </c>
      <c r="AI83" s="16">
        <f>'DCF Caylloma'!AI78+'DCF San Jose'!AI62</f>
        <v>0</v>
      </c>
      <c r="AJ83" s="16">
        <f>'DCF Caylloma'!AJ78+'DCF San Jose'!AJ62</f>
        <v>0</v>
      </c>
      <c r="AK83" s="16">
        <f>'DCF Caylloma'!AK78+'DCF San Jose'!AK62</f>
        <v>0</v>
      </c>
      <c r="AL83" s="16">
        <f>'DCF Caylloma'!AL78+'DCF San Jose'!AL62</f>
        <v>0</v>
      </c>
      <c r="AM83" s="16">
        <f>'DCF Caylloma'!AM78+'DCF San Jose'!AM62</f>
        <v>0</v>
      </c>
      <c r="AN83" s="16">
        <f>'DCF Caylloma'!AN78+'DCF San Jose'!AN62</f>
        <v>0</v>
      </c>
      <c r="AO83" s="16">
        <f>'DCF Caylloma'!AO78+'DCF San Jose'!AO62</f>
        <v>0</v>
      </c>
      <c r="AP83" s="16">
        <f>'DCF Caylloma'!AP78+'DCF San Jose'!AP62</f>
        <v>0</v>
      </c>
      <c r="AQ83" s="16">
        <f>'DCF Caylloma'!AQ78+'DCF San Jose'!AQ62</f>
        <v>0</v>
      </c>
      <c r="AR83" s="16">
        <f>'DCF Caylloma'!AR78+'DCF San Jose'!AR62</f>
        <v>0</v>
      </c>
      <c r="AS83" s="16">
        <f>'DCF Caylloma'!AS78+'DCF San Jose'!AS62</f>
        <v>0</v>
      </c>
      <c r="AT83" s="16">
        <f>'DCF Caylloma'!AT78+'DCF San Jose'!AT62</f>
        <v>0</v>
      </c>
      <c r="AU83" s="16">
        <f>'DCF Caylloma'!AU78+'DCF San Jose'!AU62</f>
        <v>0</v>
      </c>
      <c r="AV83" s="16">
        <f>'DCF Caylloma'!AV78+'DCF San Jose'!AV62</f>
        <v>0</v>
      </c>
      <c r="AW83" s="16">
        <f>'DCF Caylloma'!AW78+'DCF San Jose'!AW62</f>
        <v>0</v>
      </c>
      <c r="AX83" s="13"/>
    </row>
    <row r="84" spans="2:50" x14ac:dyDescent="0.25">
      <c r="B84" s="8" t="s">
        <v>97</v>
      </c>
      <c r="C84" t="s">
        <v>93</v>
      </c>
      <c r="E84" s="6">
        <f>'DCF Caylloma'!E79+'DCF San Jose'!E63+'DCF Yaramoko'!E51</f>
        <v>5750000</v>
      </c>
      <c r="F84" s="6">
        <f>'DCF Caylloma'!F79+'DCF San Jose'!F63+'DCF Yaramoko'!F51</f>
        <v>4435000</v>
      </c>
      <c r="G84" s="6">
        <f>'DCF Caylloma'!G79+'DCF San Jose'!G63+'DCF Yaramoko'!G51</f>
        <v>5011000</v>
      </c>
      <c r="H84" s="6">
        <f>'DCF Caylloma'!H79+'DCF San Jose'!H63+'DCF Yaramoko'!H51</f>
        <v>5023000</v>
      </c>
      <c r="I84" s="6">
        <f>'DCF Caylloma'!I79+'DCF San Jose'!I63+'DCF Yaramoko'!I51</f>
        <v>6259000</v>
      </c>
      <c r="J84" s="6">
        <f>'DCF Caylloma'!J79+'DCF San Jose'!J63+'DCF Yaramoko'!J51</f>
        <v>638000</v>
      </c>
      <c r="K84" s="15">
        <f>SUM(L84:AW84)</f>
        <v>53146807.464514337</v>
      </c>
      <c r="L84" s="16">
        <f>'DCF Caylloma'!L79+'DCF San Jose'!L63+'DCF Yaramoko'!L51+'DCF Seguela'!H41</f>
        <v>1393660.997708295</v>
      </c>
      <c r="M84" s="16">
        <f>'DCF Caylloma'!M79+'DCF San Jose'!M63+'DCF Yaramoko'!M51+'DCF Seguela'!I41</f>
        <v>1300041.8139198124</v>
      </c>
      <c r="N84" s="16">
        <f>'DCF Caylloma'!N79+'DCF San Jose'!N63+'DCF Yaramoko'!N51+'DCF Seguela'!J41</f>
        <v>1300041.8139198124</v>
      </c>
      <c r="O84" s="16">
        <f>'DCF Caylloma'!O79+'DCF San Jose'!O63+'DCF Yaramoko'!O51+'DCF Seguela'!K41</f>
        <v>1384410.7005458241</v>
      </c>
      <c r="P84" s="16">
        <f>'DCF Caylloma'!P79+'DCF San Jose'!P63+'DCF Yaramoko'!P51+'DCF Seguela'!L41</f>
        <v>4230143.8072233517</v>
      </c>
      <c r="Q84" s="16">
        <f>'DCF Caylloma'!Q79+'DCF San Jose'!Q63+'DCF Yaramoko'!Q51+'DCF Seguela'!M41</f>
        <v>5740709.4804044571</v>
      </c>
      <c r="R84" s="16">
        <f>'DCF Caylloma'!R79+'DCF San Jose'!R63+'DCF Yaramoko'!R51+'DCF Seguela'!N41</f>
        <v>3691804.0340684326</v>
      </c>
      <c r="S84" s="16">
        <f>'DCF Caylloma'!S79+'DCF San Jose'!S63+'DCF Yaramoko'!S51+'DCF Seguela'!O41</f>
        <v>2643967.8021131745</v>
      </c>
      <c r="T84" s="16">
        <f>'DCF Caylloma'!T79+'DCF San Jose'!T63+'DCF Yaramoko'!T51+'DCF Seguela'!P41</f>
        <v>2271019.2948080082</v>
      </c>
      <c r="U84" s="16">
        <f>'DCF Caylloma'!U79+'DCF San Jose'!U63+'DCF Yaramoko'!U51+'DCF Seguela'!Q41</f>
        <v>2463501.8986612349</v>
      </c>
      <c r="V84" s="16">
        <f>'DCF Caylloma'!V79+'DCF San Jose'!V63+'DCF Yaramoko'!V51+'DCF Seguela'!R41</f>
        <v>2346740.1029956331</v>
      </c>
      <c r="W84" s="16">
        <f>'DCF Caylloma'!W79+'DCF San Jose'!W63+'DCF Yaramoko'!W51+'DCF Seguela'!S41</f>
        <v>2018651.1133719443</v>
      </c>
      <c r="X84" s="16">
        <f>'DCF Caylloma'!X79+'DCF San Jose'!X63+'DCF Yaramoko'!X51+'DCF Seguela'!T41</f>
        <v>2018651.1133719443</v>
      </c>
      <c r="Y84" s="16">
        <f>'DCF Caylloma'!Y79+'DCF San Jose'!Y63+'DCF Yaramoko'!Y51+'DCF Seguela'!U41</f>
        <v>1913578.9246414565</v>
      </c>
      <c r="Z84" s="16">
        <f>'DCF Caylloma'!Z79+'DCF San Jose'!Z63+'DCF Yaramoko'!Z51+'DCF Seguela'!V41</f>
        <v>2480429.7106900462</v>
      </c>
      <c r="AA84" s="16">
        <f>'DCF Caylloma'!AA79+'DCF San Jose'!AA63+'DCF Yaramoko'!AA51+'DCF Seguela'!W41</f>
        <v>2544433.2823310434</v>
      </c>
      <c r="AB84" s="16">
        <f>'DCF Caylloma'!AB79+'DCF San Jose'!AB63+'DCF Yaramoko'!AB51+'DCF Seguela'!X41</f>
        <v>2544433.2823310434</v>
      </c>
      <c r="AC84" s="16">
        <f>'DCF Caylloma'!AC79+'DCF San Jose'!AC63+'DCF Yaramoko'!AC51+'DCF Seguela'!Y41</f>
        <v>2551404.3324196208</v>
      </c>
      <c r="AD84" s="16">
        <f>'DCF Caylloma'!AD79+'DCF San Jose'!AD63+'DCF Yaramoko'!AD51+'DCF Seguela'!Z41</f>
        <v>2544433.2823310434</v>
      </c>
      <c r="AE84" s="16">
        <f>'DCF Caylloma'!AE79+'DCF San Jose'!AE63+'DCF Yaramoko'!AE51+'DCF Seguela'!AA41</f>
        <v>2544433.2823310434</v>
      </c>
      <c r="AF84" s="16">
        <f>'DCF Caylloma'!AF79+'DCF San Jose'!AF63+'DCF Yaramoko'!AF51+'DCF Seguela'!AB41</f>
        <v>2544433.2823310434</v>
      </c>
      <c r="AG84" s="16">
        <f>'DCF Caylloma'!AG79+'DCF San Jose'!AG63+'DCF Yaramoko'!AG51+'DCF Seguela'!AC41</f>
        <v>675884.11199607456</v>
      </c>
      <c r="AH84" s="16">
        <f>'DCF Caylloma'!AH79+'DCF San Jose'!AH63+'DCF Yaramoko'!AH51+'DCF Seguela'!AD41</f>
        <v>0</v>
      </c>
      <c r="AI84" s="16">
        <f>'DCF Caylloma'!AI79+'DCF San Jose'!AI63+'DCF Yaramoko'!AI51+'DCF Seguela'!AE41</f>
        <v>0</v>
      </c>
      <c r="AJ84" s="16">
        <f>'DCF Caylloma'!AJ79+'DCF San Jose'!AJ63+'DCF Yaramoko'!AJ51+'DCF Seguela'!AF41</f>
        <v>0</v>
      </c>
      <c r="AK84" s="16">
        <f>'DCF Caylloma'!AK79+'DCF San Jose'!AK63+'DCF Yaramoko'!AK51+'DCF Seguela'!AG41</f>
        <v>0</v>
      </c>
      <c r="AL84" s="16">
        <f>'DCF Caylloma'!AL79+'DCF San Jose'!AL63+'DCF Yaramoko'!AL51+'DCF Seguela'!AH41</f>
        <v>0</v>
      </c>
      <c r="AM84" s="16">
        <f>'DCF Caylloma'!AM79+'DCF San Jose'!AM63+'DCF Yaramoko'!AM51+'DCF Seguela'!AI41</f>
        <v>0</v>
      </c>
      <c r="AN84" s="16">
        <f>'DCF Caylloma'!AN79+'DCF San Jose'!AN63+'DCF Yaramoko'!AN51+'DCF Seguela'!AJ41</f>
        <v>0</v>
      </c>
      <c r="AO84" s="16">
        <f>'DCF Caylloma'!AO79+'DCF San Jose'!AO63+'DCF Yaramoko'!AO51+'DCF Seguela'!AK41</f>
        <v>0</v>
      </c>
      <c r="AP84" s="16">
        <f>'DCF Caylloma'!AP79+'DCF San Jose'!AP63+'DCF Yaramoko'!AP51+'DCF Seguela'!AL41</f>
        <v>0</v>
      </c>
      <c r="AQ84" s="16">
        <f>'DCF Caylloma'!AQ79+'DCF San Jose'!AQ63+'DCF Yaramoko'!AQ51+'DCF Seguela'!AM41</f>
        <v>0</v>
      </c>
      <c r="AR84" s="16">
        <f>'DCF Caylloma'!AR79+'DCF San Jose'!AR63+'DCF Yaramoko'!AR51+'DCF Seguela'!AN41</f>
        <v>0</v>
      </c>
      <c r="AS84" s="16">
        <f>'DCF Caylloma'!AS79+'DCF San Jose'!AS63+'DCF Yaramoko'!AS51+'DCF Seguela'!AO41</f>
        <v>0</v>
      </c>
      <c r="AT84" s="16">
        <f>'DCF Caylloma'!AT79+'DCF San Jose'!AT63+'DCF Yaramoko'!AT51+'DCF Seguela'!AP41</f>
        <v>0</v>
      </c>
      <c r="AU84" s="16">
        <f>'DCF Caylloma'!AU79+'DCF San Jose'!AU63+'DCF Yaramoko'!AU51+'DCF Seguela'!AQ41</f>
        <v>0</v>
      </c>
      <c r="AV84" s="16">
        <f>'DCF Caylloma'!AV79+'DCF San Jose'!AV63+'DCF Yaramoko'!AV51+'DCF Seguela'!AR41</f>
        <v>0</v>
      </c>
      <c r="AW84" s="16">
        <f>'DCF Caylloma'!AW79+'DCF San Jose'!AW63+'DCF Yaramoko'!AW51+'DCF Seguela'!AS41</f>
        <v>0</v>
      </c>
      <c r="AX84" s="13"/>
    </row>
    <row r="85" spans="2:50" x14ac:dyDescent="0.25">
      <c r="B85" s="32" t="s">
        <v>95</v>
      </c>
      <c r="C85" t="s">
        <v>93</v>
      </c>
      <c r="E85" s="6">
        <v>268111000</v>
      </c>
      <c r="F85" s="6">
        <v>263296000</v>
      </c>
      <c r="G85" s="6">
        <v>257187000</v>
      </c>
      <c r="H85" s="6">
        <v>278966000</v>
      </c>
      <c r="I85" s="6">
        <v>599853000</v>
      </c>
      <c r="J85" s="6">
        <v>182329000</v>
      </c>
      <c r="K85" s="15">
        <f>SUM(L85:AW85)</f>
        <v>7025733995.4011173</v>
      </c>
      <c r="L85" s="16">
        <f>L75-SUM(L83:L84)</f>
        <v>178124239.50383669</v>
      </c>
      <c r="M85" s="16">
        <f t="shared" ref="M85:AW85" si="31">M75-SUM(M83:M84)</f>
        <v>172652093.52640164</v>
      </c>
      <c r="N85" s="16">
        <f t="shared" si="31"/>
        <v>161775054.21514878</v>
      </c>
      <c r="O85" s="16">
        <f t="shared" si="31"/>
        <v>159585939.81769696</v>
      </c>
      <c r="P85" s="16">
        <f t="shared" si="31"/>
        <v>489464416.67070168</v>
      </c>
      <c r="Q85" s="16">
        <f t="shared" si="31"/>
        <v>817692992.18126857</v>
      </c>
      <c r="R85" s="16">
        <f t="shared" si="31"/>
        <v>761439033.97161031</v>
      </c>
      <c r="S85" s="16">
        <f t="shared" si="31"/>
        <v>619185585.32342911</v>
      </c>
      <c r="T85" s="16">
        <f t="shared" si="31"/>
        <v>478118484.27062553</v>
      </c>
      <c r="U85" s="16">
        <f t="shared" si="31"/>
        <v>423954953.8776204</v>
      </c>
      <c r="V85" s="16">
        <f t="shared" si="31"/>
        <v>451521517.65395248</v>
      </c>
      <c r="W85" s="16">
        <f t="shared" si="31"/>
        <v>362419530.12397903</v>
      </c>
      <c r="X85" s="16">
        <f t="shared" si="31"/>
        <v>351560918.76047385</v>
      </c>
      <c r="Y85" s="16">
        <f t="shared" si="31"/>
        <v>294243467.45588708</v>
      </c>
      <c r="Z85" s="16">
        <f t="shared" si="31"/>
        <v>222498600.12340409</v>
      </c>
      <c r="AA85" s="16">
        <f t="shared" si="31"/>
        <v>224315715.9717631</v>
      </c>
      <c r="AB85" s="16">
        <f t="shared" si="31"/>
        <v>224315715.9717631</v>
      </c>
      <c r="AC85" s="16">
        <f t="shared" si="31"/>
        <v>192663403.60959107</v>
      </c>
      <c r="AD85" s="16">
        <f t="shared" si="31"/>
        <v>182691508.81539464</v>
      </c>
      <c r="AE85" s="16">
        <f t="shared" si="31"/>
        <v>159748919.45913467</v>
      </c>
      <c r="AF85" s="16">
        <f t="shared" si="31"/>
        <v>77243517.352594584</v>
      </c>
      <c r="AG85" s="16">
        <f t="shared" si="31"/>
        <v>20518386.744840294</v>
      </c>
      <c r="AH85" s="16">
        <f t="shared" si="31"/>
        <v>0</v>
      </c>
      <c r="AI85" s="16">
        <f t="shared" si="31"/>
        <v>0</v>
      </c>
      <c r="AJ85" s="16">
        <f t="shared" si="31"/>
        <v>0</v>
      </c>
      <c r="AK85" s="16">
        <f t="shared" si="31"/>
        <v>0</v>
      </c>
      <c r="AL85" s="16">
        <f t="shared" si="31"/>
        <v>0</v>
      </c>
      <c r="AM85" s="16">
        <f t="shared" si="31"/>
        <v>0</v>
      </c>
      <c r="AN85" s="16">
        <f t="shared" si="31"/>
        <v>0</v>
      </c>
      <c r="AO85" s="16">
        <f t="shared" si="31"/>
        <v>0</v>
      </c>
      <c r="AP85" s="16">
        <f t="shared" si="31"/>
        <v>0</v>
      </c>
      <c r="AQ85" s="16">
        <f t="shared" si="31"/>
        <v>0</v>
      </c>
      <c r="AR85" s="16">
        <f t="shared" si="31"/>
        <v>0</v>
      </c>
      <c r="AS85" s="16">
        <f t="shared" si="31"/>
        <v>0</v>
      </c>
      <c r="AT85" s="16">
        <f t="shared" si="31"/>
        <v>0</v>
      </c>
      <c r="AU85" s="16">
        <f t="shared" si="31"/>
        <v>0</v>
      </c>
      <c r="AV85" s="16">
        <f t="shared" si="31"/>
        <v>0</v>
      </c>
      <c r="AW85" s="16">
        <f t="shared" si="31"/>
        <v>0</v>
      </c>
      <c r="AX85" s="13"/>
    </row>
    <row r="86" spans="2:50" x14ac:dyDescent="0.25">
      <c r="K86" s="26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spans="2:50" ht="15.75" thickBot="1" x14ac:dyDescent="0.3">
      <c r="B87" s="14" t="s">
        <v>132</v>
      </c>
      <c r="K87" s="26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spans="2:50" x14ac:dyDescent="0.25">
      <c r="B88" t="s">
        <v>202</v>
      </c>
      <c r="C88" t="s">
        <v>134</v>
      </c>
      <c r="E88" s="53">
        <f>E89/E34</f>
        <v>69.719099228113322</v>
      </c>
      <c r="F88" s="53">
        <f t="shared" ref="F88:J88" si="32">F89/F34</f>
        <v>73.236582614453184</v>
      </c>
      <c r="G88" s="53">
        <f t="shared" si="32"/>
        <v>84.51596814807732</v>
      </c>
      <c r="H88" s="53">
        <f t="shared" si="32"/>
        <v>42.041259443666704</v>
      </c>
      <c r="I88" s="53">
        <f t="shared" si="32"/>
        <v>30.905729656888102</v>
      </c>
      <c r="J88" s="53">
        <f t="shared" si="32"/>
        <v>42.799976096199515</v>
      </c>
      <c r="K88" s="56">
        <f>AVERAGE(L88:AW88)</f>
        <v>39.638049165451633</v>
      </c>
      <c r="L88" s="50">
        <f>IFERROR(L89/L34,"")</f>
        <v>36.956728168937651</v>
      </c>
      <c r="M88" s="50">
        <f t="shared" ref="M88:AW88" si="33">IFERROR(M89/M34,"")</f>
        <v>37.493198585940554</v>
      </c>
      <c r="N88" s="50">
        <f t="shared" si="33"/>
        <v>40.354056459002535</v>
      </c>
      <c r="O88" s="50">
        <f t="shared" si="33"/>
        <v>39.327277828999435</v>
      </c>
      <c r="P88" s="50">
        <f t="shared" si="33"/>
        <v>38.095267396441194</v>
      </c>
      <c r="Q88" s="50">
        <f t="shared" si="33"/>
        <v>38.331921709640312</v>
      </c>
      <c r="R88" s="50">
        <f t="shared" si="33"/>
        <v>37.403304028089856</v>
      </c>
      <c r="S88" s="50">
        <f t="shared" si="33"/>
        <v>38.236461361713559</v>
      </c>
      <c r="T88" s="50">
        <f t="shared" si="33"/>
        <v>27.156176472096757</v>
      </c>
      <c r="U88" s="50">
        <f t="shared" si="33"/>
        <v>26.955935503903945</v>
      </c>
      <c r="V88" s="50">
        <f t="shared" si="33"/>
        <v>29.10900656587398</v>
      </c>
      <c r="W88" s="50">
        <f t="shared" si="33"/>
        <v>26.173365380166143</v>
      </c>
      <c r="X88" s="50">
        <f t="shared" si="33"/>
        <v>25.188879838291673</v>
      </c>
      <c r="Y88" s="50">
        <f t="shared" si="33"/>
        <v>25.060677281562715</v>
      </c>
      <c r="Z88" s="50">
        <f t="shared" si="33"/>
        <v>21.82232735664364</v>
      </c>
      <c r="AA88" s="50">
        <f t="shared" si="33"/>
        <v>21.831661101832275</v>
      </c>
      <c r="AB88" s="50">
        <f t="shared" si="33"/>
        <v>21.831661101832275</v>
      </c>
      <c r="AC88" s="50">
        <f t="shared" si="33"/>
        <v>21.831661101832275</v>
      </c>
      <c r="AD88" s="50">
        <f t="shared" si="33"/>
        <v>21.831661101832275</v>
      </c>
      <c r="AE88" s="50">
        <f t="shared" si="33"/>
        <v>24.049884268457443</v>
      </c>
      <c r="AF88" s="50">
        <f t="shared" si="33"/>
        <v>127.19798451342263</v>
      </c>
      <c r="AG88" s="50">
        <f t="shared" si="33"/>
        <v>145.79798451342262</v>
      </c>
      <c r="AH88" s="50" t="str">
        <f t="shared" si="33"/>
        <v/>
      </c>
      <c r="AI88" s="50" t="str">
        <f t="shared" si="33"/>
        <v/>
      </c>
      <c r="AJ88" s="50" t="str">
        <f t="shared" si="33"/>
        <v/>
      </c>
      <c r="AK88" s="50" t="str">
        <f t="shared" si="33"/>
        <v/>
      </c>
      <c r="AL88" s="50" t="str">
        <f t="shared" si="33"/>
        <v/>
      </c>
      <c r="AM88" s="50" t="str">
        <f t="shared" si="33"/>
        <v/>
      </c>
      <c r="AN88" s="50" t="str">
        <f t="shared" si="33"/>
        <v/>
      </c>
      <c r="AO88" s="50" t="str">
        <f t="shared" si="33"/>
        <v/>
      </c>
      <c r="AP88" s="50" t="str">
        <f t="shared" si="33"/>
        <v/>
      </c>
      <c r="AQ88" s="50" t="str">
        <f t="shared" si="33"/>
        <v/>
      </c>
      <c r="AR88" s="50" t="str">
        <f t="shared" si="33"/>
        <v/>
      </c>
      <c r="AS88" s="50" t="str">
        <f t="shared" si="33"/>
        <v/>
      </c>
      <c r="AT88" s="50" t="str">
        <f t="shared" si="33"/>
        <v/>
      </c>
      <c r="AU88" s="50" t="str">
        <f t="shared" si="33"/>
        <v/>
      </c>
      <c r="AV88" s="50" t="str">
        <f t="shared" si="33"/>
        <v/>
      </c>
      <c r="AW88" s="50" t="str">
        <f t="shared" si="33"/>
        <v/>
      </c>
      <c r="AX88" s="13"/>
    </row>
    <row r="89" spans="2:50" x14ac:dyDescent="0.25">
      <c r="B89" t="s">
        <v>265</v>
      </c>
      <c r="C89" t="s">
        <v>93</v>
      </c>
      <c r="E89" s="6">
        <f>'DCF Caylloma'!E87+'DCF San Jose'!E71+'DCF Lindero'!E54+'DCF Yaramoko'!E58</f>
        <v>111585000</v>
      </c>
      <c r="F89" s="6">
        <f>'DCF Caylloma'!F87+'DCF San Jose'!F71+'DCF Lindero'!F54+'DCF Yaramoko'!F58</f>
        <v>115366000</v>
      </c>
      <c r="G89" s="6">
        <f>'DCF Caylloma'!G87+'DCF San Jose'!G71+'DCF Lindero'!G54+'DCF Yaramoko'!G58</f>
        <v>135228000</v>
      </c>
      <c r="H89" s="6">
        <f>'DCF Caylloma'!H87+'DCF San Jose'!H71+'DCF Lindero'!H54+'DCF Yaramoko'!H58</f>
        <v>128412000</v>
      </c>
      <c r="I89" s="6">
        <f>'DCF Caylloma'!I87+'DCF San Jose'!I71+'DCF Lindero'!I54+'DCF Yaramoko'!I58</f>
        <v>256315000</v>
      </c>
      <c r="J89" s="6">
        <f>'DCF Caylloma'!J87+'DCF San Jose'!J71+'DCF Lindero'!J54+'DCF Yaramoko'!J58</f>
        <v>77350000</v>
      </c>
      <c r="K89" s="15">
        <f t="shared" ref="K89:K91" si="34">SUM(L89:AW89)</f>
        <v>3902382392.8098178</v>
      </c>
      <c r="L89" s="16">
        <f>'DCF Caylloma'!L87+'DCF San Jose'!L71+'DCF Lindero'!L54+'DCF Yaramoko'!L58+'DCF Seguela'!H50</f>
        <v>82493712.235766947</v>
      </c>
      <c r="M89" s="16">
        <f>'DCF Caylloma'!M87+'DCF San Jose'!M71+'DCF Lindero'!M54+'DCF Yaramoko'!M58+'DCF Seguela'!I50</f>
        <v>83691205.5853118</v>
      </c>
      <c r="N89" s="16">
        <f>'DCF Caylloma'!N87+'DCF San Jose'!N71+'DCF Lindero'!N54+'DCF Yaramoko'!N58+'DCF Seguela'!J50</f>
        <v>82177619.3353118</v>
      </c>
      <c r="O89" s="16">
        <f>'DCF Caylloma'!O87+'DCF San Jose'!O71+'DCF Lindero'!O54+'DCF Yaramoko'!O58+'DCF Seguela'!K50</f>
        <v>81674861.837590605</v>
      </c>
      <c r="P89" s="16">
        <f>'DCF Caylloma'!P87+'DCF San Jose'!P71+'DCF Lindero'!P54+'DCF Yaramoko'!P58+'DCF Seguela'!L50</f>
        <v>241744016.16489929</v>
      </c>
      <c r="Q89" s="16">
        <f>'DCF Caylloma'!Q87+'DCF San Jose'!Q71+'DCF Lindero'!Q54+'DCF Yaramoko'!Q58+'DCF Seguela'!M50</f>
        <v>371652910.50916588</v>
      </c>
      <c r="R89" s="16">
        <f>'DCF Caylloma'!R87+'DCF San Jose'!R71+'DCF Lindero'!R54+'DCF Yaramoko'!R58+'DCF Seguela'!N50</f>
        <v>341270741.8289215</v>
      </c>
      <c r="S89" s="16">
        <f>'DCF Caylloma'!S87+'DCF San Jose'!S71+'DCF Lindero'!S54+'DCF Yaramoko'!S58+'DCF Seguela'!O50</f>
        <v>340146719.96720022</v>
      </c>
      <c r="T89" s="16">
        <f>'DCF Caylloma'!T87+'DCF San Jose'!T71+'DCF Lindero'!T54+'DCF Yaramoko'!T58+'DCF Seguela'!P50</f>
        <v>228851153.37896103</v>
      </c>
      <c r="U89" s="16">
        <f>'DCF Caylloma'!U87+'DCF San Jose'!U71+'DCF Lindero'!U54+'DCF Yaramoko'!U58+'DCF Seguela'!Q50</f>
        <v>218666814.43235987</v>
      </c>
      <c r="V89" s="16">
        <f>'DCF Caylloma'!V87+'DCF San Jose'!V71+'DCF Lindero'!V54+'DCF Yaramoko'!V58+'DCF Seguela'!R50</f>
        <v>237506874.18714863</v>
      </c>
      <c r="W89" s="16">
        <f>'DCF Caylloma'!W87+'DCF San Jose'!W71+'DCF Lindero'!W54+'DCF Yaramoko'!W58+'DCF Seguela'!S50</f>
        <v>220568785.19752496</v>
      </c>
      <c r="X89" s="16">
        <f>'DCF Caylloma'!X87+'DCF San Jose'!X71+'DCF Lindero'!X54+'DCF Yaramoko'!X58+'DCF Seguela'!T50</f>
        <v>208468785.19752496</v>
      </c>
      <c r="Y89" s="16">
        <f>'DCF Caylloma'!Y87+'DCF San Jose'!Y71+'DCF Lindero'!Y54+'DCF Yaramoko'!Y58+'DCF Seguela'!U50</f>
        <v>194796891.45834008</v>
      </c>
      <c r="Z89" s="16">
        <f>'DCF Caylloma'!Z87+'DCF San Jose'!Z71+'DCF Lindero'!Z54+'DCF Yaramoko'!Z58+'DCF Seguela'!V50</f>
        <v>149640563.79484305</v>
      </c>
      <c r="AA89" s="16">
        <f>'DCF Caylloma'!AA87+'DCF San Jose'!AA71+'DCF Lindero'!AA54+'DCF Yaramoko'!AA58+'DCF Seguela'!W50</f>
        <v>149704567.36648405</v>
      </c>
      <c r="AB89" s="16">
        <f>'DCF Caylloma'!AB87+'DCF San Jose'!AB71+'DCF Lindero'!AB54+'DCF Yaramoko'!AB58+'DCF Seguela'!X50</f>
        <v>149704567.36648405</v>
      </c>
      <c r="AC89" s="16">
        <f>'DCF Caylloma'!AC87+'DCF San Jose'!AC71+'DCF Lindero'!AC54+'DCF Yaramoko'!AC58+'DCF Seguela'!Y50</f>
        <v>150114716.86611825</v>
      </c>
      <c r="AD89" s="16">
        <f>'DCF Caylloma'!AD87+'DCF San Jose'!AD71+'DCF Lindero'!AD54+'DCF Yaramoko'!AD58+'DCF Seguela'!Z50</f>
        <v>149704567.36648405</v>
      </c>
      <c r="AE89" s="16">
        <f>'DCF Caylloma'!AE87+'DCF San Jose'!AE71+'DCF Lindero'!AE54+'DCF Yaramoko'!AE58+'DCF Seguela'!AA50</f>
        <v>131809261.36648405</v>
      </c>
      <c r="AF89" s="16">
        <f>'DCF Caylloma'!AF87+'DCF San Jose'!AF71+'DCF Lindero'!AF54+'DCF Yaramoko'!AF58+'DCF Seguela'!AB50</f>
        <v>67454737.366484046</v>
      </c>
      <c r="AG89" s="16">
        <f>'DCF Caylloma'!AG87+'DCF San Jose'!AG71+'DCF Lindero'!AG54+'DCF Yaramoko'!AG58+'DCF Seguela'!AC50</f>
        <v>20538320.000407223</v>
      </c>
      <c r="AH89" s="16">
        <f>'DCF Caylloma'!AH87+'DCF San Jose'!AH71+'DCF Lindero'!AH54+'DCF Yaramoko'!AH58+'DCF Seguela'!AD50</f>
        <v>0</v>
      </c>
      <c r="AI89" s="16">
        <f>'DCF Caylloma'!AI87+'DCF San Jose'!AI71+'DCF Lindero'!AI54+'DCF Yaramoko'!AI58+'DCF Seguela'!AE50</f>
        <v>0</v>
      </c>
      <c r="AJ89" s="16">
        <f>'DCF Caylloma'!AJ87+'DCF San Jose'!AJ71+'DCF Lindero'!AJ54+'DCF Yaramoko'!AJ58+'DCF Seguela'!AF50</f>
        <v>0</v>
      </c>
      <c r="AK89" s="16">
        <f>'DCF Caylloma'!AK87+'DCF San Jose'!AK71+'DCF Lindero'!AK54+'DCF Yaramoko'!AK58+'DCF Seguela'!AG50</f>
        <v>0</v>
      </c>
      <c r="AL89" s="16">
        <f>'DCF Caylloma'!AL87+'DCF San Jose'!AL71+'DCF Lindero'!AL54+'DCF Yaramoko'!AL58+'DCF Seguela'!AH50</f>
        <v>0</v>
      </c>
      <c r="AM89" s="16">
        <f>'DCF Caylloma'!AM87+'DCF San Jose'!AM71+'DCF Lindero'!AM54+'DCF Yaramoko'!AM58+'DCF Seguela'!AI50</f>
        <v>0</v>
      </c>
      <c r="AN89" s="16">
        <f>'DCF Caylloma'!AN87+'DCF San Jose'!AN71+'DCF Lindero'!AN54+'DCF Yaramoko'!AN58+'DCF Seguela'!AJ50</f>
        <v>0</v>
      </c>
      <c r="AO89" s="16">
        <f>'DCF Caylloma'!AO87+'DCF San Jose'!AO71+'DCF Lindero'!AO54+'DCF Yaramoko'!AO58+'DCF Seguela'!AK50</f>
        <v>0</v>
      </c>
      <c r="AP89" s="16">
        <f>'DCF Caylloma'!AP87+'DCF San Jose'!AP71+'DCF Lindero'!AP54+'DCF Yaramoko'!AP58+'DCF Seguela'!AL50</f>
        <v>0</v>
      </c>
      <c r="AQ89" s="16">
        <f>'DCF Caylloma'!AQ87+'DCF San Jose'!AQ71+'DCF Lindero'!AQ54+'DCF Yaramoko'!AQ58+'DCF Seguela'!AM50</f>
        <v>0</v>
      </c>
      <c r="AR89" s="16">
        <f>'DCF Caylloma'!AR87+'DCF San Jose'!AR71+'DCF Lindero'!AR54+'DCF Yaramoko'!AR58+'DCF Seguela'!AN50</f>
        <v>0</v>
      </c>
      <c r="AS89" s="16">
        <f>'DCF Caylloma'!AS87+'DCF San Jose'!AS71+'DCF Lindero'!AS54+'DCF Yaramoko'!AS58+'DCF Seguela'!AO50</f>
        <v>0</v>
      </c>
      <c r="AT89" s="16">
        <f>'DCF Caylloma'!AT87+'DCF San Jose'!AT71+'DCF Lindero'!AT54+'DCF Yaramoko'!AT58+'DCF Seguela'!AP50</f>
        <v>0</v>
      </c>
      <c r="AU89" s="16">
        <f>'DCF Caylloma'!AU87+'DCF San Jose'!AU71+'DCF Lindero'!AU54+'DCF Yaramoko'!AU58+'DCF Seguela'!AQ50</f>
        <v>0</v>
      </c>
      <c r="AV89" s="16">
        <f>'DCF Caylloma'!AV87+'DCF San Jose'!AV71+'DCF Lindero'!AV54+'DCF Yaramoko'!AV58+'DCF Seguela'!AR50</f>
        <v>0</v>
      </c>
      <c r="AW89" s="16">
        <f>'DCF Caylloma'!AW87+'DCF San Jose'!AW71+'DCF Lindero'!AW54+'DCF Yaramoko'!AW58+'DCF Seguela'!AS50</f>
        <v>0</v>
      </c>
      <c r="AX89" s="13"/>
    </row>
    <row r="90" spans="2:50" x14ac:dyDescent="0.25">
      <c r="B90" t="s">
        <v>266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 s="58">
        <f>AVERAGE(L90:AW90)</f>
        <v>1</v>
      </c>
      <c r="L90" s="13">
        <v>1</v>
      </c>
      <c r="M90" s="13">
        <f>L90</f>
        <v>1</v>
      </c>
      <c r="N90" s="13">
        <f t="shared" ref="N90:AW90" si="35">M90</f>
        <v>1</v>
      </c>
      <c r="O90" s="13">
        <f t="shared" si="35"/>
        <v>1</v>
      </c>
      <c r="P90" s="13">
        <f t="shared" si="35"/>
        <v>1</v>
      </c>
      <c r="Q90" s="13">
        <f t="shared" si="35"/>
        <v>1</v>
      </c>
      <c r="R90" s="13">
        <f t="shared" si="35"/>
        <v>1</v>
      </c>
      <c r="S90" s="13">
        <f t="shared" si="35"/>
        <v>1</v>
      </c>
      <c r="T90" s="13">
        <f t="shared" si="35"/>
        <v>1</v>
      </c>
      <c r="U90" s="13">
        <f t="shared" si="35"/>
        <v>1</v>
      </c>
      <c r="V90" s="13">
        <f t="shared" si="35"/>
        <v>1</v>
      </c>
      <c r="W90" s="13">
        <f t="shared" si="35"/>
        <v>1</v>
      </c>
      <c r="X90" s="13">
        <f t="shared" si="35"/>
        <v>1</v>
      </c>
      <c r="Y90" s="13">
        <f t="shared" si="35"/>
        <v>1</v>
      </c>
      <c r="Z90" s="13">
        <f t="shared" si="35"/>
        <v>1</v>
      </c>
      <c r="AA90" s="13">
        <f t="shared" si="35"/>
        <v>1</v>
      </c>
      <c r="AB90" s="13">
        <f t="shared" si="35"/>
        <v>1</v>
      </c>
      <c r="AC90" s="13">
        <f t="shared" si="35"/>
        <v>1</v>
      </c>
      <c r="AD90" s="13">
        <f t="shared" si="35"/>
        <v>1</v>
      </c>
      <c r="AE90" s="13">
        <f t="shared" si="35"/>
        <v>1</v>
      </c>
      <c r="AF90" s="13">
        <f t="shared" si="35"/>
        <v>1</v>
      </c>
      <c r="AG90" s="13">
        <f t="shared" si="35"/>
        <v>1</v>
      </c>
      <c r="AH90" s="13">
        <f t="shared" si="35"/>
        <v>1</v>
      </c>
      <c r="AI90" s="13">
        <f t="shared" si="35"/>
        <v>1</v>
      </c>
      <c r="AJ90" s="13">
        <f t="shared" si="35"/>
        <v>1</v>
      </c>
      <c r="AK90" s="13">
        <f t="shared" si="35"/>
        <v>1</v>
      </c>
      <c r="AL90" s="13">
        <f t="shared" si="35"/>
        <v>1</v>
      </c>
      <c r="AM90" s="13">
        <f t="shared" si="35"/>
        <v>1</v>
      </c>
      <c r="AN90" s="13">
        <f t="shared" si="35"/>
        <v>1</v>
      </c>
      <c r="AO90" s="13">
        <f t="shared" si="35"/>
        <v>1</v>
      </c>
      <c r="AP90" s="13">
        <f t="shared" si="35"/>
        <v>1</v>
      </c>
      <c r="AQ90" s="13">
        <f t="shared" si="35"/>
        <v>1</v>
      </c>
      <c r="AR90" s="13">
        <f t="shared" si="35"/>
        <v>1</v>
      </c>
      <c r="AS90" s="13">
        <f t="shared" si="35"/>
        <v>1</v>
      </c>
      <c r="AT90" s="13">
        <f t="shared" si="35"/>
        <v>1</v>
      </c>
      <c r="AU90" s="13">
        <f t="shared" si="35"/>
        <v>1</v>
      </c>
      <c r="AV90" s="13">
        <f t="shared" si="35"/>
        <v>1</v>
      </c>
      <c r="AW90" s="13">
        <f t="shared" si="35"/>
        <v>1</v>
      </c>
      <c r="AX90" s="13"/>
    </row>
    <row r="91" spans="2:50" x14ac:dyDescent="0.25">
      <c r="B91" t="s">
        <v>267</v>
      </c>
      <c r="C91" t="s">
        <v>93</v>
      </c>
      <c r="E91" s="6">
        <f>E89*E90</f>
        <v>111585000</v>
      </c>
      <c r="F91" s="6">
        <f t="shared" ref="F91:J91" si="36">F89*F90</f>
        <v>115366000</v>
      </c>
      <c r="G91" s="6">
        <f t="shared" si="36"/>
        <v>135228000</v>
      </c>
      <c r="H91" s="6">
        <f t="shared" si="36"/>
        <v>128412000</v>
      </c>
      <c r="I91" s="6">
        <f t="shared" si="36"/>
        <v>256315000</v>
      </c>
      <c r="J91" s="6">
        <f t="shared" si="36"/>
        <v>77350000</v>
      </c>
      <c r="K91" s="15">
        <f t="shared" si="34"/>
        <v>3902382392.8098178</v>
      </c>
      <c r="L91" s="16">
        <f>L89*L90</f>
        <v>82493712.235766947</v>
      </c>
      <c r="M91" s="16">
        <f t="shared" ref="M91:AW91" si="37">M89*M90</f>
        <v>83691205.5853118</v>
      </c>
      <c r="N91" s="16">
        <f t="shared" si="37"/>
        <v>82177619.3353118</v>
      </c>
      <c r="O91" s="16">
        <f t="shared" si="37"/>
        <v>81674861.837590605</v>
      </c>
      <c r="P91" s="16">
        <f t="shared" si="37"/>
        <v>241744016.16489929</v>
      </c>
      <c r="Q91" s="16">
        <f t="shared" si="37"/>
        <v>371652910.50916588</v>
      </c>
      <c r="R91" s="16">
        <f t="shared" si="37"/>
        <v>341270741.8289215</v>
      </c>
      <c r="S91" s="16">
        <f t="shared" si="37"/>
        <v>340146719.96720022</v>
      </c>
      <c r="T91" s="16">
        <f t="shared" si="37"/>
        <v>228851153.37896103</v>
      </c>
      <c r="U91" s="16">
        <f t="shared" si="37"/>
        <v>218666814.43235987</v>
      </c>
      <c r="V91" s="16">
        <f t="shared" si="37"/>
        <v>237506874.18714863</v>
      </c>
      <c r="W91" s="16">
        <f t="shared" si="37"/>
        <v>220568785.19752496</v>
      </c>
      <c r="X91" s="16">
        <f t="shared" si="37"/>
        <v>208468785.19752496</v>
      </c>
      <c r="Y91" s="16">
        <f t="shared" si="37"/>
        <v>194796891.45834008</v>
      </c>
      <c r="Z91" s="16">
        <f t="shared" si="37"/>
        <v>149640563.79484305</v>
      </c>
      <c r="AA91" s="16">
        <f t="shared" si="37"/>
        <v>149704567.36648405</v>
      </c>
      <c r="AB91" s="16">
        <f t="shared" si="37"/>
        <v>149704567.36648405</v>
      </c>
      <c r="AC91" s="16">
        <f t="shared" si="37"/>
        <v>150114716.86611825</v>
      </c>
      <c r="AD91" s="16">
        <f t="shared" si="37"/>
        <v>149704567.36648405</v>
      </c>
      <c r="AE91" s="16">
        <f t="shared" si="37"/>
        <v>131809261.36648405</v>
      </c>
      <c r="AF91" s="16">
        <f t="shared" si="37"/>
        <v>67454737.366484046</v>
      </c>
      <c r="AG91" s="16">
        <f t="shared" si="37"/>
        <v>20538320.000407223</v>
      </c>
      <c r="AH91" s="16">
        <f t="shared" si="37"/>
        <v>0</v>
      </c>
      <c r="AI91" s="16">
        <f t="shared" si="37"/>
        <v>0</v>
      </c>
      <c r="AJ91" s="16">
        <f t="shared" si="37"/>
        <v>0</v>
      </c>
      <c r="AK91" s="16">
        <f t="shared" si="37"/>
        <v>0</v>
      </c>
      <c r="AL91" s="16">
        <f t="shared" si="37"/>
        <v>0</v>
      </c>
      <c r="AM91" s="16">
        <f t="shared" si="37"/>
        <v>0</v>
      </c>
      <c r="AN91" s="16">
        <f t="shared" si="37"/>
        <v>0</v>
      </c>
      <c r="AO91" s="16">
        <f t="shared" si="37"/>
        <v>0</v>
      </c>
      <c r="AP91" s="16">
        <f t="shared" si="37"/>
        <v>0</v>
      </c>
      <c r="AQ91" s="16">
        <f t="shared" si="37"/>
        <v>0</v>
      </c>
      <c r="AR91" s="16">
        <f t="shared" si="37"/>
        <v>0</v>
      </c>
      <c r="AS91" s="16">
        <f t="shared" si="37"/>
        <v>0</v>
      </c>
      <c r="AT91" s="16">
        <f t="shared" si="37"/>
        <v>0</v>
      </c>
      <c r="AU91" s="16">
        <f t="shared" si="37"/>
        <v>0</v>
      </c>
      <c r="AV91" s="16">
        <f t="shared" si="37"/>
        <v>0</v>
      </c>
      <c r="AW91" s="16">
        <f t="shared" si="37"/>
        <v>0</v>
      </c>
      <c r="AX91" s="13"/>
    </row>
    <row r="92" spans="2:50" x14ac:dyDescent="0.25">
      <c r="B92" t="s">
        <v>137</v>
      </c>
      <c r="C92" t="s">
        <v>43</v>
      </c>
      <c r="E92" s="11">
        <f>E91/(E65+E66*E23/E22+E67*E24/E22+E68*E25/E22)</f>
        <v>6.8951995659958412</v>
      </c>
      <c r="F92" s="11">
        <f t="shared" ref="F92:J92" si="38">F91/(F65+F66*F23/F22+F67*F24/F22+F68*F25/F22)</f>
        <v>6.7652369785772324</v>
      </c>
      <c r="G92" s="11">
        <f t="shared" si="38"/>
        <v>8.0466162286220762</v>
      </c>
      <c r="H92" s="11">
        <f t="shared" si="38"/>
        <v>8.8786270501682711</v>
      </c>
      <c r="I92" s="11">
        <f t="shared" si="38"/>
        <v>10.25822535306699</v>
      </c>
      <c r="J92" s="11">
        <f t="shared" si="38"/>
        <v>9.8231165391748743</v>
      </c>
      <c r="K92" s="56">
        <f>AVERAGE(L92:AW92)</f>
        <v>14.146657094428429</v>
      </c>
      <c r="L92" s="24">
        <f>IFERROR(L91/(L65+L66*L23/L22+L67*L24/L22+L68*L25/L22),"")</f>
        <v>9.8840374945552139</v>
      </c>
      <c r="M92" s="24">
        <f t="shared" ref="M92:AW92" si="39">IFERROR(M91/(M65+M66*M23/M22+M67*M24/M22+M68*M25/M22),"")</f>
        <v>10.320906112281824</v>
      </c>
      <c r="N92" s="24">
        <f t="shared" si="39"/>
        <v>11.264919396251367</v>
      </c>
      <c r="O92" s="24">
        <f t="shared" si="39"/>
        <v>12.340108033260883</v>
      </c>
      <c r="P92" s="24">
        <f t="shared" si="39"/>
        <v>11.953527962756676</v>
      </c>
      <c r="Q92" s="24">
        <f t="shared" si="39"/>
        <v>11.070750933312633</v>
      </c>
      <c r="R92" s="24">
        <f t="shared" si="39"/>
        <v>10.925250057162385</v>
      </c>
      <c r="S92" s="24">
        <f t="shared" si="39"/>
        <v>13.340745419623198</v>
      </c>
      <c r="T92" s="24">
        <f t="shared" si="39"/>
        <v>11.53528511832053</v>
      </c>
      <c r="U92" s="24">
        <f t="shared" si="39"/>
        <v>12.366567195420023</v>
      </c>
      <c r="V92" s="24">
        <f t="shared" si="39"/>
        <v>12.647890569381618</v>
      </c>
      <c r="W92" s="24">
        <f t="shared" si="39"/>
        <v>14.50998237258041</v>
      </c>
      <c r="X92" s="24">
        <f t="shared" si="39"/>
        <v>14.117368026700122</v>
      </c>
      <c r="Y92" s="24">
        <f t="shared" si="39"/>
        <v>15.619190009808406</v>
      </c>
      <c r="Z92" s="24">
        <f t="shared" si="39"/>
        <v>15.550611103538253</v>
      </c>
      <c r="AA92" s="24">
        <f t="shared" si="39"/>
        <v>15.436557429356586</v>
      </c>
      <c r="AB92" s="24">
        <f t="shared" si="39"/>
        <v>15.436557429356586</v>
      </c>
      <c r="AC92" s="24">
        <f t="shared" si="39"/>
        <v>17.79886474794327</v>
      </c>
      <c r="AD92" s="24">
        <f t="shared" si="39"/>
        <v>18.635997783578027</v>
      </c>
      <c r="AE92" s="24">
        <f t="shared" si="39"/>
        <v>18.524551313117424</v>
      </c>
      <c r="AF92" s="24">
        <f t="shared" si="39"/>
        <v>17.68068193371904</v>
      </c>
      <c r="AG92" s="24">
        <f t="shared" si="39"/>
        <v>20.266105635400972</v>
      </c>
      <c r="AH92" s="24" t="str">
        <f t="shared" si="39"/>
        <v/>
      </c>
      <c r="AI92" s="24" t="str">
        <f t="shared" si="39"/>
        <v/>
      </c>
      <c r="AJ92" s="24" t="str">
        <f t="shared" si="39"/>
        <v/>
      </c>
      <c r="AK92" s="24" t="str">
        <f t="shared" si="39"/>
        <v/>
      </c>
      <c r="AL92" s="24" t="str">
        <f t="shared" si="39"/>
        <v/>
      </c>
      <c r="AM92" s="24" t="str">
        <f t="shared" si="39"/>
        <v/>
      </c>
      <c r="AN92" s="24" t="str">
        <f t="shared" si="39"/>
        <v/>
      </c>
      <c r="AO92" s="24" t="str">
        <f t="shared" si="39"/>
        <v/>
      </c>
      <c r="AP92" s="24" t="str">
        <f t="shared" si="39"/>
        <v/>
      </c>
      <c r="AQ92" s="24" t="str">
        <f t="shared" si="39"/>
        <v/>
      </c>
      <c r="AR92" s="24" t="str">
        <f t="shared" si="39"/>
        <v/>
      </c>
      <c r="AS92" s="24" t="str">
        <f t="shared" si="39"/>
        <v/>
      </c>
      <c r="AT92" s="24" t="str">
        <f t="shared" si="39"/>
        <v/>
      </c>
      <c r="AU92" s="24" t="str">
        <f t="shared" si="39"/>
        <v/>
      </c>
      <c r="AV92" s="24" t="str">
        <f t="shared" si="39"/>
        <v/>
      </c>
      <c r="AW92" s="24" t="str">
        <f t="shared" si="39"/>
        <v/>
      </c>
      <c r="AX92" s="13"/>
    </row>
    <row r="93" spans="2:50" x14ac:dyDescent="0.25">
      <c r="B93" t="s">
        <v>270</v>
      </c>
      <c r="C93" t="s">
        <v>43</v>
      </c>
      <c r="E93" s="11">
        <f>(E91-SUM(E72:E74))/E65</f>
        <v>-3.5018682502951286</v>
      </c>
      <c r="F93" s="11">
        <f t="shared" ref="F93:J93" si="40">(F91-SUM(F72:F74))/F65</f>
        <v>-2.8405255122955784</v>
      </c>
      <c r="G93" s="11">
        <f t="shared" si="40"/>
        <v>5.6901352606934179E-2</v>
      </c>
      <c r="H93" s="11">
        <f t="shared" si="40"/>
        <v>-4.7145926449011206</v>
      </c>
      <c r="I93" s="11">
        <f t="shared" si="40"/>
        <v>-27.636845132892898</v>
      </c>
      <c r="J93" s="11">
        <f t="shared" si="40"/>
        <v>-44.976737483410268</v>
      </c>
      <c r="K93" s="56">
        <f t="shared" ref="K93:K97" si="41">AVERAGE(L93:AW93)</f>
        <v>-75.013463555554281</v>
      </c>
      <c r="L93" s="24">
        <f>IFERROR((L91-SUM(L72:L74))/L65,"")</f>
        <v>-40.337687103850641</v>
      </c>
      <c r="M93" s="24">
        <f t="shared" ref="M93:AW93" si="42">IFERROR((M91-SUM(M72:M74))/M65,"")</f>
        <v>-38.425955029393684</v>
      </c>
      <c r="N93" s="24">
        <f t="shared" si="42"/>
        <v>-31.621537533924602</v>
      </c>
      <c r="O93" s="24">
        <f t="shared" si="42"/>
        <v>-27.910576173540605</v>
      </c>
      <c r="P93" s="24">
        <f t="shared" si="42"/>
        <v>-29.526243536368362</v>
      </c>
      <c r="Q93" s="24">
        <f t="shared" si="42"/>
        <v>-52.030957794825575</v>
      </c>
      <c r="R93" s="24">
        <f t="shared" si="42"/>
        <v>-153.97161159126873</v>
      </c>
      <c r="S93" s="24">
        <f t="shared" si="42"/>
        <v>-253.56444937047749</v>
      </c>
      <c r="T93" s="24">
        <f t="shared" si="42"/>
        <v>-223.89083130609245</v>
      </c>
      <c r="U93" s="24">
        <f t="shared" si="42"/>
        <v>-153.62487710063289</v>
      </c>
      <c r="V93" s="24">
        <f t="shared" si="42"/>
        <v>-182.53320817486662</v>
      </c>
      <c r="W93" s="24">
        <f t="shared" si="42"/>
        <v>-126.24685019950729</v>
      </c>
      <c r="X93" s="24">
        <f t="shared" si="42"/>
        <v>-127.42429544446622</v>
      </c>
      <c r="Y93" s="24">
        <f t="shared" si="42"/>
        <v>-85.6645664604888</v>
      </c>
      <c r="Z93" s="24">
        <f t="shared" si="42"/>
        <v>-37.540098240504591</v>
      </c>
      <c r="AA93" s="24">
        <f t="shared" si="42"/>
        <v>-37.185290787535052</v>
      </c>
      <c r="AB93" s="24">
        <f t="shared" si="42"/>
        <v>-37.185290787535052</v>
      </c>
      <c r="AC93" s="24">
        <f t="shared" si="42"/>
        <v>-15.609957340772281</v>
      </c>
      <c r="AD93" s="24">
        <f t="shared" si="42"/>
        <v>-9.2769002273265997</v>
      </c>
      <c r="AE93" s="24">
        <f t="shared" si="42"/>
        <v>-5.8927743833105595</v>
      </c>
      <c r="AF93" s="24">
        <f t="shared" si="42"/>
        <v>6.2771101577948469</v>
      </c>
      <c r="AG93" s="24">
        <f t="shared" si="42"/>
        <v>12.890650206699044</v>
      </c>
      <c r="AH93" s="24" t="str">
        <f t="shared" si="42"/>
        <v/>
      </c>
      <c r="AI93" s="24" t="str">
        <f t="shared" si="42"/>
        <v/>
      </c>
      <c r="AJ93" s="24" t="str">
        <f t="shared" si="42"/>
        <v/>
      </c>
      <c r="AK93" s="24" t="str">
        <f t="shared" si="42"/>
        <v/>
      </c>
      <c r="AL93" s="24" t="str">
        <f t="shared" si="42"/>
        <v/>
      </c>
      <c r="AM93" s="24" t="str">
        <f t="shared" si="42"/>
        <v/>
      </c>
      <c r="AN93" s="24" t="str">
        <f t="shared" si="42"/>
        <v/>
      </c>
      <c r="AO93" s="24" t="str">
        <f t="shared" si="42"/>
        <v/>
      </c>
      <c r="AP93" s="24" t="str">
        <f t="shared" si="42"/>
        <v/>
      </c>
      <c r="AQ93" s="24" t="str">
        <f t="shared" si="42"/>
        <v/>
      </c>
      <c r="AR93" s="24" t="str">
        <f t="shared" si="42"/>
        <v/>
      </c>
      <c r="AS93" s="24" t="str">
        <f t="shared" si="42"/>
        <v/>
      </c>
      <c r="AT93" s="24" t="str">
        <f t="shared" si="42"/>
        <v/>
      </c>
      <c r="AU93" s="24" t="str">
        <f t="shared" si="42"/>
        <v/>
      </c>
      <c r="AV93" s="24" t="str">
        <f t="shared" si="42"/>
        <v/>
      </c>
      <c r="AW93" s="24" t="str">
        <f t="shared" si="42"/>
        <v/>
      </c>
      <c r="AX93" s="13"/>
    </row>
    <row r="94" spans="2:50" x14ac:dyDescent="0.25">
      <c r="B94" t="s">
        <v>268</v>
      </c>
      <c r="C94" t="s">
        <v>43</v>
      </c>
      <c r="E94" s="11">
        <f>(E91*E71/E75)/E65</f>
        <v>6.8938664934076899</v>
      </c>
      <c r="F94" s="11">
        <f t="shared" ref="F94:J94" si="43">(F91*F71/F75)/F65</f>
        <v>6.7646007314423588</v>
      </c>
      <c r="G94" s="11">
        <f t="shared" si="43"/>
        <v>8.047408908834381</v>
      </c>
      <c r="H94" s="11">
        <f t="shared" si="43"/>
        <v>8.8736640287210253</v>
      </c>
      <c r="I94" s="11">
        <f t="shared" si="43"/>
        <v>10.260384017856937</v>
      </c>
      <c r="J94" s="11">
        <f t="shared" si="43"/>
        <v>9.8226461991895473</v>
      </c>
      <c r="K94" s="56">
        <f t="shared" si="41"/>
        <v>14.146657094428427</v>
      </c>
      <c r="L94" s="24">
        <f>IFERROR((L91*L71/L75)/L65,"")</f>
        <v>9.8840374945552139</v>
      </c>
      <c r="M94" s="24">
        <f t="shared" ref="M94:AW94" si="44">IFERROR((M91*M71/M75)/M65,"")</f>
        <v>10.320906112281822</v>
      </c>
      <c r="N94" s="24">
        <f t="shared" si="44"/>
        <v>11.264919396251369</v>
      </c>
      <c r="O94" s="24">
        <f t="shared" si="44"/>
        <v>12.340108033260881</v>
      </c>
      <c r="P94" s="24">
        <f t="shared" si="44"/>
        <v>11.953527962756676</v>
      </c>
      <c r="Q94" s="24">
        <f t="shared" si="44"/>
        <v>11.070750933312631</v>
      </c>
      <c r="R94" s="24">
        <f t="shared" si="44"/>
        <v>10.925250057162385</v>
      </c>
      <c r="S94" s="24">
        <f t="shared" si="44"/>
        <v>13.340745419623197</v>
      </c>
      <c r="T94" s="24">
        <f t="shared" si="44"/>
        <v>11.535285118320528</v>
      </c>
      <c r="U94" s="24">
        <f t="shared" si="44"/>
        <v>12.366567195420021</v>
      </c>
      <c r="V94" s="24">
        <f t="shared" si="44"/>
        <v>12.647890569381621</v>
      </c>
      <c r="W94" s="24">
        <f t="shared" si="44"/>
        <v>14.50998237258041</v>
      </c>
      <c r="X94" s="24">
        <f t="shared" si="44"/>
        <v>14.11736802670012</v>
      </c>
      <c r="Y94" s="24">
        <f t="shared" si="44"/>
        <v>15.619190009808404</v>
      </c>
      <c r="Z94" s="24">
        <f t="shared" si="44"/>
        <v>15.550611103538252</v>
      </c>
      <c r="AA94" s="24">
        <f t="shared" si="44"/>
        <v>15.436557429356592</v>
      </c>
      <c r="AB94" s="24">
        <f t="shared" si="44"/>
        <v>15.436557429356592</v>
      </c>
      <c r="AC94" s="24">
        <f t="shared" si="44"/>
        <v>17.79886474794327</v>
      </c>
      <c r="AD94" s="24">
        <f t="shared" si="44"/>
        <v>18.635997783578034</v>
      </c>
      <c r="AE94" s="24">
        <f t="shared" si="44"/>
        <v>18.524551313117424</v>
      </c>
      <c r="AF94" s="24">
        <f t="shared" si="44"/>
        <v>17.680681933719043</v>
      </c>
      <c r="AG94" s="24">
        <f t="shared" si="44"/>
        <v>20.266105635400976</v>
      </c>
      <c r="AH94" s="24" t="str">
        <f t="shared" si="44"/>
        <v/>
      </c>
      <c r="AI94" s="24" t="str">
        <f t="shared" si="44"/>
        <v/>
      </c>
      <c r="AJ94" s="24" t="str">
        <f t="shared" si="44"/>
        <v/>
      </c>
      <c r="AK94" s="24" t="str">
        <f t="shared" si="44"/>
        <v/>
      </c>
      <c r="AL94" s="24" t="str">
        <f t="shared" si="44"/>
        <v/>
      </c>
      <c r="AM94" s="24" t="str">
        <f t="shared" si="44"/>
        <v/>
      </c>
      <c r="AN94" s="24" t="str">
        <f t="shared" si="44"/>
        <v/>
      </c>
      <c r="AO94" s="24" t="str">
        <f t="shared" si="44"/>
        <v/>
      </c>
      <c r="AP94" s="24" t="str">
        <f t="shared" si="44"/>
        <v/>
      </c>
      <c r="AQ94" s="24" t="str">
        <f t="shared" si="44"/>
        <v/>
      </c>
      <c r="AR94" s="24" t="str">
        <f t="shared" si="44"/>
        <v/>
      </c>
      <c r="AS94" s="24" t="str">
        <f t="shared" si="44"/>
        <v/>
      </c>
      <c r="AT94" s="24" t="str">
        <f t="shared" si="44"/>
        <v/>
      </c>
      <c r="AU94" s="24" t="str">
        <f t="shared" si="44"/>
        <v/>
      </c>
      <c r="AV94" s="24" t="str">
        <f t="shared" si="44"/>
        <v/>
      </c>
      <c r="AW94" s="24" t="str">
        <f t="shared" si="44"/>
        <v/>
      </c>
      <c r="AX94" s="13"/>
    </row>
    <row r="95" spans="2:50" x14ac:dyDescent="0.25">
      <c r="B95" t="s">
        <v>269</v>
      </c>
      <c r="C95" t="s">
        <v>43</v>
      </c>
      <c r="E95" s="10">
        <f>(E91*E72/E75)/E66</f>
        <v>508.73831392772411</v>
      </c>
      <c r="F95" s="10">
        <f t="shared" ref="F95:J95" si="45">(F91*F72/F75)/F66</f>
        <v>547.19843783104682</v>
      </c>
      <c r="G95" s="10">
        <f t="shared" si="45"/>
        <v>691.84009773966557</v>
      </c>
      <c r="H95" s="10">
        <f t="shared" si="45"/>
        <v>757.51918456225576</v>
      </c>
      <c r="I95" s="10">
        <f t="shared" si="45"/>
        <v>729.32561409079096</v>
      </c>
      <c r="J95" s="10">
        <f t="shared" si="45"/>
        <v>765.43273410095844</v>
      </c>
      <c r="K95" s="15">
        <f t="shared" si="41"/>
        <v>1007.8455212453274</v>
      </c>
      <c r="L95" s="16">
        <f>IFERROR((L91*L72/L75)/L66,"")</f>
        <v>840.14318703719312</v>
      </c>
      <c r="M95" s="16">
        <f t="shared" ref="M95:AW95" si="46">IFERROR((M91*M72/M75)/M66,"")</f>
        <v>867.8943776236988</v>
      </c>
      <c r="N95" s="16">
        <f t="shared" si="46"/>
        <v>881.60238753271574</v>
      </c>
      <c r="O95" s="16">
        <f t="shared" si="46"/>
        <v>863.80756232826172</v>
      </c>
      <c r="P95" s="16">
        <f t="shared" si="46"/>
        <v>836.74695739296715</v>
      </c>
      <c r="Q95" s="16">
        <f t="shared" si="46"/>
        <v>774.95256533188422</v>
      </c>
      <c r="R95" s="16">
        <f t="shared" si="46"/>
        <v>764.767504001367</v>
      </c>
      <c r="S95" s="16">
        <f t="shared" si="46"/>
        <v>933.85217937362381</v>
      </c>
      <c r="T95" s="16">
        <f t="shared" si="46"/>
        <v>807.46995828243689</v>
      </c>
      <c r="U95" s="16">
        <f t="shared" si="46"/>
        <v>865.65970367940145</v>
      </c>
      <c r="V95" s="16">
        <f t="shared" si="46"/>
        <v>885.35233985671334</v>
      </c>
      <c r="W95" s="16">
        <f t="shared" si="46"/>
        <v>1015.6987660806286</v>
      </c>
      <c r="X95" s="16">
        <f t="shared" si="46"/>
        <v>988.2157618690087</v>
      </c>
      <c r="Y95" s="16">
        <f t="shared" si="46"/>
        <v>1093.3433006865885</v>
      </c>
      <c r="Z95" s="16">
        <f t="shared" si="46"/>
        <v>1088.5427772476778</v>
      </c>
      <c r="AA95" s="16">
        <f t="shared" si="46"/>
        <v>1080.5590200549614</v>
      </c>
      <c r="AB95" s="16">
        <f t="shared" si="46"/>
        <v>1080.5590200549614</v>
      </c>
      <c r="AC95" s="16">
        <f t="shared" si="46"/>
        <v>1245.9205323560288</v>
      </c>
      <c r="AD95" s="16">
        <f t="shared" si="46"/>
        <v>1304.5198448504623</v>
      </c>
      <c r="AE95" s="16">
        <f t="shared" si="46"/>
        <v>1296.7185919182198</v>
      </c>
      <c r="AF95" s="16">
        <f t="shared" si="46"/>
        <v>1237.6477353603329</v>
      </c>
      <c r="AG95" s="16">
        <f t="shared" si="46"/>
        <v>1418.6273944780683</v>
      </c>
      <c r="AH95" s="16" t="str">
        <f t="shared" si="46"/>
        <v/>
      </c>
      <c r="AI95" s="16" t="str">
        <f t="shared" si="46"/>
        <v/>
      </c>
      <c r="AJ95" s="16" t="str">
        <f t="shared" si="46"/>
        <v/>
      </c>
      <c r="AK95" s="16" t="str">
        <f t="shared" si="46"/>
        <v/>
      </c>
      <c r="AL95" s="16" t="str">
        <f t="shared" si="46"/>
        <v/>
      </c>
      <c r="AM95" s="16" t="str">
        <f t="shared" si="46"/>
        <v/>
      </c>
      <c r="AN95" s="16" t="str">
        <f t="shared" si="46"/>
        <v/>
      </c>
      <c r="AO95" s="16" t="str">
        <f t="shared" si="46"/>
        <v/>
      </c>
      <c r="AP95" s="16" t="str">
        <f t="shared" si="46"/>
        <v/>
      </c>
      <c r="AQ95" s="16" t="str">
        <f t="shared" si="46"/>
        <v/>
      </c>
      <c r="AR95" s="16" t="str">
        <f t="shared" si="46"/>
        <v/>
      </c>
      <c r="AS95" s="16" t="str">
        <f t="shared" si="46"/>
        <v/>
      </c>
      <c r="AT95" s="16" t="str">
        <f t="shared" si="46"/>
        <v/>
      </c>
      <c r="AU95" s="16" t="str">
        <f t="shared" si="46"/>
        <v/>
      </c>
      <c r="AV95" s="16" t="str">
        <f t="shared" si="46"/>
        <v/>
      </c>
      <c r="AW95" s="16" t="str">
        <f t="shared" si="46"/>
        <v/>
      </c>
      <c r="AX95" s="13"/>
    </row>
    <row r="96" spans="2:50" x14ac:dyDescent="0.25">
      <c r="B96" t="s">
        <v>271</v>
      </c>
      <c r="C96" t="s">
        <v>49</v>
      </c>
      <c r="E96" s="11">
        <f>(E91*E73/E75)/E67</f>
        <v>0.42496040542888647</v>
      </c>
      <c r="F96" s="11">
        <f t="shared" ref="F96:J96" si="47">(F91*F73/F75)/F67</f>
        <v>0.43844650949541852</v>
      </c>
      <c r="G96" s="11">
        <f t="shared" si="47"/>
        <v>0.45195584274450512</v>
      </c>
      <c r="H96" s="11">
        <f t="shared" si="47"/>
        <v>0.34777160736946433</v>
      </c>
      <c r="I96" s="11">
        <f t="shared" si="47"/>
        <v>0.40774399459797683</v>
      </c>
      <c r="J96" s="11">
        <f t="shared" si="47"/>
        <v>0.43049366649496684</v>
      </c>
      <c r="K96" s="56">
        <f t="shared" si="41"/>
        <v>0.51641218822028079</v>
      </c>
      <c r="L96" s="24">
        <f>IFERROR((L91*L73/L75)/L67,"")</f>
        <v>0.42681070999215698</v>
      </c>
      <c r="M96" s="24">
        <f t="shared" ref="M96:AW96" si="48">IFERROR((M91*M73/M75)/M67,"")</f>
        <v>0.4222188864115291</v>
      </c>
      <c r="N96" s="24">
        <f t="shared" si="48"/>
        <v>0.4408011937663579</v>
      </c>
      <c r="O96" s="24">
        <f t="shared" si="48"/>
        <v>0.44424388919739183</v>
      </c>
      <c r="P96" s="24">
        <f t="shared" si="48"/>
        <v>0.43032700665924029</v>
      </c>
      <c r="Q96" s="24">
        <f t="shared" si="48"/>
        <v>0.39854703359925475</v>
      </c>
      <c r="R96" s="24">
        <f t="shared" si="48"/>
        <v>0.39330900205784591</v>
      </c>
      <c r="S96" s="24">
        <f t="shared" si="48"/>
        <v>0.48026683510643514</v>
      </c>
      <c r="T96" s="24">
        <f t="shared" si="48"/>
        <v>0.41527026425953906</v>
      </c>
      <c r="U96" s="24">
        <f t="shared" si="48"/>
        <v>0.44519641903512081</v>
      </c>
      <c r="V96" s="24">
        <f t="shared" si="48"/>
        <v>0.45532406049773827</v>
      </c>
      <c r="W96" s="24">
        <f t="shared" si="48"/>
        <v>0.52235936541289485</v>
      </c>
      <c r="X96" s="24">
        <f t="shared" si="48"/>
        <v>0.50822524896120447</v>
      </c>
      <c r="Y96" s="24">
        <f t="shared" si="48"/>
        <v>0.56229084035310262</v>
      </c>
      <c r="Z96" s="24">
        <f t="shared" si="48"/>
        <v>0.55982199972737712</v>
      </c>
      <c r="AA96" s="24">
        <f t="shared" si="48"/>
        <v>0.55571606745683733</v>
      </c>
      <c r="AB96" s="24">
        <f t="shared" si="48"/>
        <v>0.55571606745683733</v>
      </c>
      <c r="AC96" s="24">
        <f t="shared" si="48"/>
        <v>0.64075913092595771</v>
      </c>
      <c r="AD96" s="24">
        <f t="shared" si="48"/>
        <v>0.67089592020880917</v>
      </c>
      <c r="AE96" s="24">
        <f t="shared" si="48"/>
        <v>0.66688384727222727</v>
      </c>
      <c r="AF96" s="24">
        <f t="shared" si="48"/>
        <v>0.6365045496138857</v>
      </c>
      <c r="AG96" s="24">
        <f t="shared" si="48"/>
        <v>0.72957980287443525</v>
      </c>
      <c r="AH96" s="24" t="str">
        <f t="shared" si="48"/>
        <v/>
      </c>
      <c r="AI96" s="24" t="str">
        <f t="shared" si="48"/>
        <v/>
      </c>
      <c r="AJ96" s="24" t="str">
        <f t="shared" si="48"/>
        <v/>
      </c>
      <c r="AK96" s="24" t="str">
        <f t="shared" si="48"/>
        <v/>
      </c>
      <c r="AL96" s="24" t="str">
        <f t="shared" si="48"/>
        <v/>
      </c>
      <c r="AM96" s="24" t="str">
        <f t="shared" si="48"/>
        <v/>
      </c>
      <c r="AN96" s="24" t="str">
        <f t="shared" si="48"/>
        <v/>
      </c>
      <c r="AO96" s="24" t="str">
        <f t="shared" si="48"/>
        <v/>
      </c>
      <c r="AP96" s="24" t="str">
        <f t="shared" si="48"/>
        <v/>
      </c>
      <c r="AQ96" s="24" t="str">
        <f t="shared" si="48"/>
        <v/>
      </c>
      <c r="AR96" s="24" t="str">
        <f t="shared" si="48"/>
        <v/>
      </c>
      <c r="AS96" s="24" t="str">
        <f t="shared" si="48"/>
        <v/>
      </c>
      <c r="AT96" s="24" t="str">
        <f t="shared" si="48"/>
        <v/>
      </c>
      <c r="AU96" s="24" t="str">
        <f t="shared" si="48"/>
        <v/>
      </c>
      <c r="AV96" s="24" t="str">
        <f t="shared" si="48"/>
        <v/>
      </c>
      <c r="AW96" s="24" t="str">
        <f t="shared" si="48"/>
        <v/>
      </c>
      <c r="AX96" s="13"/>
    </row>
    <row r="97" spans="2:50" x14ac:dyDescent="0.25">
      <c r="B97" t="s">
        <v>272</v>
      </c>
      <c r="C97" t="s">
        <v>49</v>
      </c>
      <c r="E97" s="11">
        <f>(E91*E74/E75)/E68</f>
        <v>0.53423593825345728</v>
      </c>
      <c r="F97" s="11">
        <f t="shared" ref="F97:J97" si="49">(F91*F74/F75)/F68</f>
        <v>0.56740136522936513</v>
      </c>
      <c r="G97" s="11">
        <f t="shared" si="49"/>
        <v>0.57115298808371517</v>
      </c>
      <c r="H97" s="11">
        <f t="shared" si="49"/>
        <v>0.43157199468740759</v>
      </c>
      <c r="I97" s="11">
        <f t="shared" si="49"/>
        <v>0.55453183265324846</v>
      </c>
      <c r="J97" s="11">
        <f t="shared" si="49"/>
        <v>0.68635310978914521</v>
      </c>
      <c r="K97" s="56">
        <f t="shared" si="41"/>
        <v>0.65297827492684701</v>
      </c>
      <c r="L97" s="24">
        <f>IFERROR((L91*L74/L75)/L68,"")</f>
        <v>0.76376653367017555</v>
      </c>
      <c r="M97" s="24">
        <f t="shared" ref="M97:AW97" si="50">IFERROR((M91*M74/M75)/M68,"")</f>
        <v>0.68024153921857455</v>
      </c>
      <c r="N97" s="24">
        <f t="shared" si="50"/>
        <v>0.61222388023105268</v>
      </c>
      <c r="O97" s="24">
        <f t="shared" si="50"/>
        <v>0.54296475346347883</v>
      </c>
      <c r="P97" s="24">
        <f t="shared" si="50"/>
        <v>0.52595523036129366</v>
      </c>
      <c r="Q97" s="24">
        <f t="shared" si="50"/>
        <v>0.48711304106575581</v>
      </c>
      <c r="R97" s="24">
        <f t="shared" si="50"/>
        <v>0.48071100251514498</v>
      </c>
      <c r="S97" s="24">
        <f t="shared" si="50"/>
        <v>0.58699279846342078</v>
      </c>
      <c r="T97" s="24">
        <f t="shared" si="50"/>
        <v>0.50755254520610327</v>
      </c>
      <c r="U97" s="24">
        <f t="shared" si="50"/>
        <v>0.54412895659848093</v>
      </c>
      <c r="V97" s="24">
        <f t="shared" si="50"/>
        <v>0.55650718505279129</v>
      </c>
      <c r="W97" s="24">
        <f t="shared" si="50"/>
        <v>0.63843922439353806</v>
      </c>
      <c r="X97" s="24">
        <f t="shared" si="50"/>
        <v>0.62116419317480542</v>
      </c>
      <c r="Y97" s="24">
        <f t="shared" si="50"/>
        <v>0.68724436043156989</v>
      </c>
      <c r="Z97" s="24">
        <f t="shared" si="50"/>
        <v>0.68422688855568325</v>
      </c>
      <c r="AA97" s="24">
        <f t="shared" si="50"/>
        <v>0.67920852689168998</v>
      </c>
      <c r="AB97" s="24">
        <f t="shared" si="50"/>
        <v>0.67920852689168998</v>
      </c>
      <c r="AC97" s="24">
        <f t="shared" si="50"/>
        <v>0.78315004890950379</v>
      </c>
      <c r="AD97" s="24">
        <f t="shared" si="50"/>
        <v>0.81998390247743347</v>
      </c>
      <c r="AE97" s="24">
        <f t="shared" si="50"/>
        <v>0.81508025777716686</v>
      </c>
      <c r="AF97" s="24">
        <f t="shared" si="50"/>
        <v>0.77795000508363787</v>
      </c>
      <c r="AG97" s="24">
        <f t="shared" si="50"/>
        <v>0.89170864795764293</v>
      </c>
      <c r="AH97" s="24" t="str">
        <f t="shared" si="50"/>
        <v/>
      </c>
      <c r="AI97" s="24" t="str">
        <f t="shared" si="50"/>
        <v/>
      </c>
      <c r="AJ97" s="24" t="str">
        <f t="shared" si="50"/>
        <v/>
      </c>
      <c r="AK97" s="24" t="str">
        <f t="shared" si="50"/>
        <v/>
      </c>
      <c r="AL97" s="24" t="str">
        <f t="shared" si="50"/>
        <v/>
      </c>
      <c r="AM97" s="24" t="str">
        <f t="shared" si="50"/>
        <v/>
      </c>
      <c r="AN97" s="24" t="str">
        <f t="shared" si="50"/>
        <v/>
      </c>
      <c r="AO97" s="24" t="str">
        <f t="shared" si="50"/>
        <v/>
      </c>
      <c r="AP97" s="24" t="str">
        <f t="shared" si="50"/>
        <v/>
      </c>
      <c r="AQ97" s="24" t="str">
        <f t="shared" si="50"/>
        <v/>
      </c>
      <c r="AR97" s="24" t="str">
        <f t="shared" si="50"/>
        <v/>
      </c>
      <c r="AS97" s="24" t="str">
        <f t="shared" si="50"/>
        <v/>
      </c>
      <c r="AT97" s="24" t="str">
        <f t="shared" si="50"/>
        <v/>
      </c>
      <c r="AU97" s="24" t="str">
        <f t="shared" si="50"/>
        <v/>
      </c>
      <c r="AV97" s="24" t="str">
        <f t="shared" si="50"/>
        <v/>
      </c>
      <c r="AW97" s="24" t="str">
        <f t="shared" si="50"/>
        <v/>
      </c>
      <c r="AX97" s="13"/>
    </row>
    <row r="98" spans="2:50" x14ac:dyDescent="0.25">
      <c r="K98" s="26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spans="2:50" ht="15.75" thickBot="1" x14ac:dyDescent="0.3">
      <c r="B99" s="14" t="s">
        <v>273</v>
      </c>
      <c r="K99" s="26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spans="2:50" x14ac:dyDescent="0.25">
      <c r="B100" t="s">
        <v>273</v>
      </c>
      <c r="C100" t="s">
        <v>93</v>
      </c>
      <c r="E100" s="6">
        <f>E75-E91</f>
        <v>164121274.05099851</v>
      </c>
      <c r="F100" s="6">
        <f t="shared" ref="F100:J100" si="51">F75-F91</f>
        <v>153020946.75759441</v>
      </c>
      <c r="G100" s="6">
        <f t="shared" si="51"/>
        <v>137049661.58023882</v>
      </c>
      <c r="H100" s="6">
        <f t="shared" si="51"/>
        <v>178059137.21037567</v>
      </c>
      <c r="I100" s="6">
        <f t="shared" si="51"/>
        <v>372302474.18921232</v>
      </c>
      <c r="J100" s="6">
        <f t="shared" si="51"/>
        <v>113108086.56736326</v>
      </c>
      <c r="K100" s="15">
        <f t="shared" ref="K100" si="52">SUM(L100:AW100)</f>
        <v>3460313888.4939852</v>
      </c>
      <c r="L100" s="16">
        <f>L75-L91</f>
        <v>101121705.06577805</v>
      </c>
      <c r="M100" s="16">
        <f t="shared" ref="M100:AW100" si="53">M75-M91</f>
        <v>94704615.755009651</v>
      </c>
      <c r="N100" s="16">
        <f t="shared" si="53"/>
        <v>85607446.693756789</v>
      </c>
      <c r="O100" s="16">
        <f t="shared" si="53"/>
        <v>83791399.919292808</v>
      </c>
      <c r="P100" s="16">
        <f t="shared" si="53"/>
        <v>263847339.20335561</v>
      </c>
      <c r="Q100" s="16">
        <f t="shared" si="53"/>
        <v>467614707.26109159</v>
      </c>
      <c r="R100" s="16">
        <f t="shared" si="53"/>
        <v>439651296.66755873</v>
      </c>
      <c r="S100" s="16">
        <f t="shared" si="53"/>
        <v>297274033.64914352</v>
      </c>
      <c r="T100" s="16">
        <f t="shared" si="53"/>
        <v>267129550.67727399</v>
      </c>
      <c r="U100" s="16">
        <f t="shared" si="53"/>
        <v>223385557.45250624</v>
      </c>
      <c r="V100" s="16">
        <f t="shared" si="53"/>
        <v>231952584.06060094</v>
      </c>
      <c r="W100" s="16">
        <f t="shared" si="53"/>
        <v>159460596.53062749</v>
      </c>
      <c r="X100" s="16">
        <f t="shared" si="53"/>
        <v>160701985.1671223</v>
      </c>
      <c r="Y100" s="16">
        <f t="shared" si="53"/>
        <v>116994071.03077295</v>
      </c>
      <c r="Z100" s="16">
        <f t="shared" si="53"/>
        <v>90929666.530052543</v>
      </c>
      <c r="AA100" s="16">
        <f t="shared" si="53"/>
        <v>92746782.378411561</v>
      </c>
      <c r="AB100" s="16">
        <f t="shared" si="53"/>
        <v>92746782.378411561</v>
      </c>
      <c r="AC100" s="16">
        <f t="shared" si="53"/>
        <v>60734007.184476912</v>
      </c>
      <c r="AD100" s="16">
        <f t="shared" si="53"/>
        <v>51122575.222043097</v>
      </c>
      <c r="AE100" s="16">
        <f t="shared" si="53"/>
        <v>46075291.865783125</v>
      </c>
      <c r="AF100" s="16">
        <f t="shared" si="53"/>
        <v>27924413.759243041</v>
      </c>
      <c r="AG100" s="16">
        <f t="shared" si="53"/>
        <v>4797480.0416723229</v>
      </c>
      <c r="AH100" s="16">
        <f t="shared" si="53"/>
        <v>0</v>
      </c>
      <c r="AI100" s="16">
        <f t="shared" si="53"/>
        <v>0</v>
      </c>
      <c r="AJ100" s="16">
        <f t="shared" si="53"/>
        <v>0</v>
      </c>
      <c r="AK100" s="16">
        <f t="shared" si="53"/>
        <v>0</v>
      </c>
      <c r="AL100" s="16">
        <f t="shared" si="53"/>
        <v>0</v>
      </c>
      <c r="AM100" s="16">
        <f t="shared" si="53"/>
        <v>0</v>
      </c>
      <c r="AN100" s="16">
        <f t="shared" si="53"/>
        <v>0</v>
      </c>
      <c r="AO100" s="16">
        <f t="shared" si="53"/>
        <v>0</v>
      </c>
      <c r="AP100" s="16">
        <f t="shared" si="53"/>
        <v>0</v>
      </c>
      <c r="AQ100" s="16">
        <f t="shared" si="53"/>
        <v>0</v>
      </c>
      <c r="AR100" s="16">
        <f t="shared" si="53"/>
        <v>0</v>
      </c>
      <c r="AS100" s="16">
        <f t="shared" si="53"/>
        <v>0</v>
      </c>
      <c r="AT100" s="16">
        <f t="shared" si="53"/>
        <v>0</v>
      </c>
      <c r="AU100" s="16">
        <f t="shared" si="53"/>
        <v>0</v>
      </c>
      <c r="AV100" s="16">
        <f t="shared" si="53"/>
        <v>0</v>
      </c>
      <c r="AW100" s="16">
        <f t="shared" si="53"/>
        <v>0</v>
      </c>
      <c r="AX100" s="13"/>
    </row>
    <row r="101" spans="2:50" x14ac:dyDescent="0.25">
      <c r="B101" t="s">
        <v>274</v>
      </c>
      <c r="C101" t="s">
        <v>70</v>
      </c>
      <c r="E101" s="18">
        <f>E100/E75</f>
        <v>0.59527580435344152</v>
      </c>
      <c r="F101" s="18">
        <f t="shared" ref="F101:J101" si="54">F100/F75</f>
        <v>0.57015048088684461</v>
      </c>
      <c r="G101" s="18">
        <f t="shared" si="54"/>
        <v>0.50334522775329105</v>
      </c>
      <c r="H101" s="18">
        <f t="shared" si="54"/>
        <v>0.58099806341028393</v>
      </c>
      <c r="I101" s="18">
        <f t="shared" si="54"/>
        <v>0.59225600540202317</v>
      </c>
      <c r="J101" s="18">
        <f t="shared" si="54"/>
        <v>0.59387389953305014</v>
      </c>
      <c r="K101" s="64">
        <f t="shared" ref="K101" si="55">AVERAGE(L101:AW101)</f>
        <v>0.42734321114809876</v>
      </c>
      <c r="L101" s="28">
        <f>IFERROR(L100/L75,"")</f>
        <v>0.55072556842930842</v>
      </c>
      <c r="M101" s="28">
        <f t="shared" ref="M101:AW101" si="56">IFERROR(M100/M75,"")</f>
        <v>0.53086790398718986</v>
      </c>
      <c r="N101" s="28">
        <f t="shared" si="56"/>
        <v>0.51022089581515784</v>
      </c>
      <c r="O101" s="28">
        <f t="shared" si="56"/>
        <v>0.5063956786695647</v>
      </c>
      <c r="P101" s="28">
        <f t="shared" si="56"/>
        <v>0.52185888148973303</v>
      </c>
      <c r="Q101" s="28">
        <f t="shared" si="56"/>
        <v>0.55716996266749474</v>
      </c>
      <c r="R101" s="28">
        <f t="shared" si="56"/>
        <v>0.56298999771350455</v>
      </c>
      <c r="S101" s="28">
        <f t="shared" si="56"/>
        <v>0.46637018321507201</v>
      </c>
      <c r="T101" s="28">
        <f t="shared" si="56"/>
        <v>0.53858859526717884</v>
      </c>
      <c r="U101" s="28">
        <f t="shared" si="56"/>
        <v>0.50533731218319922</v>
      </c>
      <c r="V101" s="28">
        <f t="shared" si="56"/>
        <v>0.49408437722473525</v>
      </c>
      <c r="W101" s="28">
        <f t="shared" si="56"/>
        <v>0.4196007050967836</v>
      </c>
      <c r="X101" s="28">
        <f t="shared" si="56"/>
        <v>0.43530527893199517</v>
      </c>
      <c r="Y101" s="28">
        <f t="shared" si="56"/>
        <v>0.37523239960766375</v>
      </c>
      <c r="Z101" s="28">
        <f t="shared" si="56"/>
        <v>0.37797555585846992</v>
      </c>
      <c r="AA101" s="28">
        <f t="shared" si="56"/>
        <v>0.3825377028257364</v>
      </c>
      <c r="AB101" s="28">
        <f t="shared" si="56"/>
        <v>0.3825377028257364</v>
      </c>
      <c r="AC101" s="28">
        <f t="shared" si="56"/>
        <v>0.28804541008226925</v>
      </c>
      <c r="AD101" s="28">
        <f t="shared" si="56"/>
        <v>0.25456008865687874</v>
      </c>
      <c r="AE101" s="28">
        <f t="shared" si="56"/>
        <v>0.25901794747530305</v>
      </c>
      <c r="AF101" s="28">
        <f t="shared" si="56"/>
        <v>0.29277272265123833</v>
      </c>
      <c r="AG101" s="28">
        <f t="shared" si="56"/>
        <v>0.18935577458396097</v>
      </c>
      <c r="AH101" s="28" t="str">
        <f t="shared" si="56"/>
        <v/>
      </c>
      <c r="AI101" s="28" t="str">
        <f t="shared" si="56"/>
        <v/>
      </c>
      <c r="AJ101" s="28" t="str">
        <f t="shared" si="56"/>
        <v/>
      </c>
      <c r="AK101" s="28" t="str">
        <f t="shared" si="56"/>
        <v/>
      </c>
      <c r="AL101" s="28" t="str">
        <f t="shared" si="56"/>
        <v/>
      </c>
      <c r="AM101" s="28" t="str">
        <f t="shared" si="56"/>
        <v/>
      </c>
      <c r="AN101" s="28" t="str">
        <f t="shared" si="56"/>
        <v/>
      </c>
      <c r="AO101" s="28" t="str">
        <f t="shared" si="56"/>
        <v/>
      </c>
      <c r="AP101" s="28" t="str">
        <f t="shared" si="56"/>
        <v/>
      </c>
      <c r="AQ101" s="28" t="str">
        <f t="shared" si="56"/>
        <v/>
      </c>
      <c r="AR101" s="28" t="str">
        <f t="shared" si="56"/>
        <v/>
      </c>
      <c r="AS101" s="28" t="str">
        <f t="shared" si="56"/>
        <v/>
      </c>
      <c r="AT101" s="28" t="str">
        <f t="shared" si="56"/>
        <v/>
      </c>
      <c r="AU101" s="28" t="str">
        <f t="shared" si="56"/>
        <v/>
      </c>
      <c r="AV101" s="28" t="str">
        <f t="shared" si="56"/>
        <v/>
      </c>
      <c r="AW101" s="28" t="str">
        <f t="shared" si="56"/>
        <v/>
      </c>
      <c r="AX101" s="13"/>
    </row>
    <row r="102" spans="2:50" x14ac:dyDescent="0.25">
      <c r="K102" s="26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spans="2:50" ht="15.75" thickBot="1" x14ac:dyDescent="0.3">
      <c r="B103" s="14" t="s">
        <v>131</v>
      </c>
      <c r="K103" s="26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spans="2:50" x14ac:dyDescent="0.25">
      <c r="B104" t="s">
        <v>143</v>
      </c>
      <c r="C104" t="s">
        <v>93</v>
      </c>
      <c r="E104" s="6">
        <v>7700000</v>
      </c>
      <c r="F104" s="6">
        <v>10100000</v>
      </c>
      <c r="G104" s="6">
        <v>10900000</v>
      </c>
      <c r="H104" s="6">
        <v>10100000</v>
      </c>
      <c r="I104" s="6">
        <v>19100000</v>
      </c>
      <c r="J104" s="6">
        <v>5100000</v>
      </c>
      <c r="K104" s="15">
        <f t="shared" ref="K104:K108" si="57">SUM(L104:AW104)</f>
        <v>231402102.5641025</v>
      </c>
      <c r="L104" s="16">
        <f>'DCF Caylloma'!L90+'DCF San Jose'!L74+'DCF Lindero'!L57+'DCF Yaramoko'!L61</f>
        <v>4889704.615384615</v>
      </c>
      <c r="M104" s="16">
        <f>'DCF Caylloma'!M90+'DCF San Jose'!M74+'DCF Lindero'!M57+'DCF Yaramoko'!M61</f>
        <v>4889704.615384615</v>
      </c>
      <c r="N104" s="16">
        <f>'DCF Caylloma'!N90+'DCF San Jose'!N74+'DCF Lindero'!N57+'DCF Yaramoko'!N61</f>
        <v>4889704.615384615</v>
      </c>
      <c r="O104" s="16">
        <f>'DCF Caylloma'!O90+'DCF San Jose'!O74+'DCF Lindero'!O57+'DCF Yaramoko'!O61</f>
        <v>4889704.615384615</v>
      </c>
      <c r="P104" s="16">
        <f>'DCF Caylloma'!P90+'DCF San Jose'!P74+'DCF Lindero'!P57+'DCF Yaramoko'!P61</f>
        <v>14669113.846153846</v>
      </c>
      <c r="Q104" s="16">
        <f>'DCF Caylloma'!Q90+'DCF San Jose'!Q74+'DCF Lindero'!Q57+'DCF Yaramoko'!Q61</f>
        <v>19558818.46153846</v>
      </c>
      <c r="R104" s="16">
        <f>'DCF Caylloma'!R90+'DCF San Jose'!R74+'DCF Lindero'!R57+'DCF Yaramoko'!R61</f>
        <v>19558818.46153846</v>
      </c>
      <c r="S104" s="16">
        <f>'DCF Caylloma'!S90+'DCF San Jose'!S74+'DCF Lindero'!S57+'DCF Yaramoko'!S61</f>
        <v>13249280.000000002</v>
      </c>
      <c r="T104" s="16">
        <f>'DCF Caylloma'!T90+'DCF San Jose'!T74+'DCF Lindero'!T57+'DCF Yaramoko'!T61</f>
        <v>11431946.666666668</v>
      </c>
      <c r="U104" s="16">
        <f>'DCF Caylloma'!U90+'DCF San Jose'!U74+'DCF Lindero'!U57+'DCF Yaramoko'!U61</f>
        <v>11431946.666666668</v>
      </c>
      <c r="V104" s="16">
        <f>'DCF Caylloma'!V90+'DCF San Jose'!V74+'DCF Lindero'!V57+'DCF Yaramoko'!V61</f>
        <v>11431946.666666668</v>
      </c>
      <c r="W104" s="16">
        <f>'DCF Caylloma'!W90+'DCF San Jose'!W74+'DCF Lindero'!W57+'DCF Yaramoko'!W61</f>
        <v>11431946.666666668</v>
      </c>
      <c r="X104" s="16">
        <f>'DCF Caylloma'!X90+'DCF San Jose'!X74+'DCF Lindero'!X57+'DCF Yaramoko'!X61</f>
        <v>11431946.666666668</v>
      </c>
      <c r="Y104" s="16">
        <f>'DCF Caylloma'!Y90+'DCF San Jose'!Y74+'DCF Lindero'!Y57+'DCF Yaramoko'!Y61</f>
        <v>11431946.666666668</v>
      </c>
      <c r="Z104" s="16">
        <f>'DCF Caylloma'!Z90+'DCF San Jose'!Z74+'DCF Lindero'!Z57+'DCF Yaramoko'!Z61</f>
        <v>11431946.666666668</v>
      </c>
      <c r="AA104" s="16">
        <f>'DCF Caylloma'!AA90+'DCF San Jose'!AA74+'DCF Lindero'!AA57+'DCF Yaramoko'!AA61</f>
        <v>11431946.666666668</v>
      </c>
      <c r="AB104" s="16">
        <f>'DCF Caylloma'!AB90+'DCF San Jose'!AB74+'DCF Lindero'!AB57+'DCF Yaramoko'!AB61</f>
        <v>11431946.666666668</v>
      </c>
      <c r="AC104" s="16">
        <f>'DCF Caylloma'!AC90+'DCF San Jose'!AC74+'DCF Lindero'!AC57+'DCF Yaramoko'!AC61</f>
        <v>11431946.666666668</v>
      </c>
      <c r="AD104" s="16">
        <f>'DCF Caylloma'!AD90+'DCF San Jose'!AD74+'DCF Lindero'!AD57+'DCF Yaramoko'!AD61</f>
        <v>11431946.666666668</v>
      </c>
      <c r="AE104" s="16">
        <f>'DCF Caylloma'!AE90+'DCF San Jose'!AE74+'DCF Lindero'!AE57+'DCF Yaramoko'!AE61</f>
        <v>11431946.666666668</v>
      </c>
      <c r="AF104" s="16">
        <f>'DCF Caylloma'!AF90+'DCF San Jose'!AF74+'DCF Lindero'!AF57+'DCF Yaramoko'!AF61</f>
        <v>3811946.666666667</v>
      </c>
      <c r="AG104" s="16">
        <f>'DCF Caylloma'!AG90+'DCF San Jose'!AG74+'DCF Lindero'!AG57+'DCF Yaramoko'!AG61</f>
        <v>3811946.666666667</v>
      </c>
      <c r="AH104" s="16">
        <f>'DCF Caylloma'!AH90+'DCF San Jose'!AH74+'DCF Lindero'!AH57+'DCF Yaramoko'!AH61</f>
        <v>0</v>
      </c>
      <c r="AI104" s="16">
        <f>'DCF Caylloma'!AI90+'DCF San Jose'!AI74+'DCF Lindero'!AI57+'DCF Yaramoko'!AI61</f>
        <v>0</v>
      </c>
      <c r="AJ104" s="16">
        <f>'DCF Caylloma'!AJ90+'DCF San Jose'!AJ74+'DCF Lindero'!AJ57+'DCF Yaramoko'!AJ61</f>
        <v>0</v>
      </c>
      <c r="AK104" s="16">
        <f>'DCF Caylloma'!AK90+'DCF San Jose'!AK74+'DCF Lindero'!AK57+'DCF Yaramoko'!AK61</f>
        <v>0</v>
      </c>
      <c r="AL104" s="16">
        <f>'DCF Caylloma'!AL90+'DCF San Jose'!AL74+'DCF Lindero'!AL57+'DCF Yaramoko'!AL61</f>
        <v>0</v>
      </c>
      <c r="AM104" s="16">
        <f>'DCF Caylloma'!AM90+'DCF San Jose'!AM74+'DCF Lindero'!AM57+'DCF Yaramoko'!AM61</f>
        <v>0</v>
      </c>
      <c r="AN104" s="16">
        <f>'DCF Caylloma'!AN90+'DCF San Jose'!AN74+'DCF Lindero'!AN57+'DCF Yaramoko'!AN61</f>
        <v>0</v>
      </c>
      <c r="AO104" s="16">
        <f>'DCF Caylloma'!AO90+'DCF San Jose'!AO74+'DCF Lindero'!AO57+'DCF Yaramoko'!AO61</f>
        <v>0</v>
      </c>
      <c r="AP104" s="16">
        <f>'DCF Caylloma'!AP90+'DCF San Jose'!AP74+'DCF Lindero'!AP57+'DCF Yaramoko'!AP61</f>
        <v>0</v>
      </c>
      <c r="AQ104" s="16">
        <f>'DCF Caylloma'!AQ90+'DCF San Jose'!AQ74+'DCF Lindero'!AQ57+'DCF Yaramoko'!AQ61</f>
        <v>0</v>
      </c>
      <c r="AR104" s="16">
        <f>'DCF Caylloma'!AR90+'DCF San Jose'!AR74+'DCF Lindero'!AR57+'DCF Yaramoko'!AR61</f>
        <v>0</v>
      </c>
      <c r="AS104" s="16">
        <f>'DCF Caylloma'!AS90+'DCF San Jose'!AS74+'DCF Lindero'!AS57+'DCF Yaramoko'!AS61</f>
        <v>0</v>
      </c>
      <c r="AT104" s="16">
        <f>'DCF Caylloma'!AT90+'DCF San Jose'!AT74+'DCF Lindero'!AT57+'DCF Yaramoko'!AT61</f>
        <v>0</v>
      </c>
      <c r="AU104" s="16">
        <f>'DCF Caylloma'!AU90+'DCF San Jose'!AU74+'DCF Lindero'!AU57+'DCF Yaramoko'!AU61</f>
        <v>0</v>
      </c>
      <c r="AV104" s="16">
        <f>'DCF Caylloma'!AV90+'DCF San Jose'!AV74+'DCF Lindero'!AV57+'DCF Yaramoko'!AV61</f>
        <v>0</v>
      </c>
      <c r="AW104" s="16">
        <f>'DCF Caylloma'!AW90+'DCF San Jose'!AW74+'DCF Lindero'!AW57+'DCF Yaramoko'!AW61</f>
        <v>0</v>
      </c>
      <c r="AX104" s="16"/>
    </row>
    <row r="105" spans="2:50" x14ac:dyDescent="0.25">
      <c r="B105" t="s">
        <v>138</v>
      </c>
      <c r="C105" t="s">
        <v>93</v>
      </c>
      <c r="E105" s="6">
        <v>11600000</v>
      </c>
      <c r="F105" s="6">
        <v>11000000</v>
      </c>
      <c r="G105" s="6">
        <v>11400000</v>
      </c>
      <c r="H105" s="6">
        <v>10800000</v>
      </c>
      <c r="I105" s="6">
        <v>20300000</v>
      </c>
      <c r="J105" s="6">
        <v>7900000</v>
      </c>
      <c r="K105" s="15">
        <f t="shared" si="57"/>
        <v>287071867.77333528</v>
      </c>
      <c r="L105" s="16">
        <f>AVERAGE($E$105/$E$75,$F$105/$F$75,$G$105/$G$75,$H$105/$H$75,$I$105/$I$75,$J$105/$J$75)*L75</f>
        <v>7159173.5938618341</v>
      </c>
      <c r="M105" s="16">
        <f t="shared" ref="M105:AW105" si="58">AVERAGE($E$105/$E$75,$F$105/$F$75,$G$105/$G$75,$H$105/$H$75,$I$105/$I$75,$J$105/$J$75)*M75</f>
        <v>6955661.3064657748</v>
      </c>
      <c r="N105" s="16">
        <f t="shared" si="58"/>
        <v>6541947.4672270063</v>
      </c>
      <c r="O105" s="16">
        <f t="shared" si="58"/>
        <v>6451537.1816489752</v>
      </c>
      <c r="P105" s="16">
        <f t="shared" si="58"/>
        <v>19713030.277260758</v>
      </c>
      <c r="Q105" s="16">
        <f t="shared" si="58"/>
        <v>32723083.146425948</v>
      </c>
      <c r="R105" s="16">
        <f t="shared" si="58"/>
        <v>30448186.318076208</v>
      </c>
      <c r="S105" s="16">
        <f t="shared" si="58"/>
        <v>24853064.598466266</v>
      </c>
      <c r="T105" s="16">
        <f t="shared" si="58"/>
        <v>19338310.539103739</v>
      </c>
      <c r="U105" s="16">
        <f t="shared" si="58"/>
        <v>17235642.379118979</v>
      </c>
      <c r="V105" s="16">
        <f t="shared" si="58"/>
        <v>18304245.941158727</v>
      </c>
      <c r="W105" s="16">
        <f t="shared" si="58"/>
        <v>14817363.130742591</v>
      </c>
      <c r="X105" s="16">
        <f t="shared" si="58"/>
        <v>14393985.372588728</v>
      </c>
      <c r="Y105" s="16">
        <f t="shared" si="58"/>
        <v>12156744.015623799</v>
      </c>
      <c r="Z105" s="16">
        <f t="shared" si="58"/>
        <v>9379844.3819279447</v>
      </c>
      <c r="AA105" s="16">
        <f t="shared" si="58"/>
        <v>9453189.3149214964</v>
      </c>
      <c r="AB105" s="16">
        <f t="shared" si="58"/>
        <v>9453189.3149214964</v>
      </c>
      <c r="AC105" s="16">
        <f t="shared" si="58"/>
        <v>8221001.480738841</v>
      </c>
      <c r="AD105" s="16">
        <f t="shared" si="58"/>
        <v>7830259.5570683116</v>
      </c>
      <c r="AE105" s="16">
        <f t="shared" si="58"/>
        <v>6935726.9393393211</v>
      </c>
      <c r="AF105" s="16">
        <f t="shared" si="58"/>
        <v>3718837.5038402453</v>
      </c>
      <c r="AG105" s="16">
        <f t="shared" si="58"/>
        <v>987844.01280824922</v>
      </c>
      <c r="AH105" s="16">
        <f t="shared" si="58"/>
        <v>0</v>
      </c>
      <c r="AI105" s="16">
        <f t="shared" si="58"/>
        <v>0</v>
      </c>
      <c r="AJ105" s="16">
        <f t="shared" si="58"/>
        <v>0</v>
      </c>
      <c r="AK105" s="16">
        <f t="shared" si="58"/>
        <v>0</v>
      </c>
      <c r="AL105" s="16">
        <f t="shared" si="58"/>
        <v>0</v>
      </c>
      <c r="AM105" s="16">
        <f t="shared" si="58"/>
        <v>0</v>
      </c>
      <c r="AN105" s="16">
        <f t="shared" si="58"/>
        <v>0</v>
      </c>
      <c r="AO105" s="16">
        <f t="shared" si="58"/>
        <v>0</v>
      </c>
      <c r="AP105" s="16">
        <f t="shared" si="58"/>
        <v>0</v>
      </c>
      <c r="AQ105" s="16">
        <f t="shared" si="58"/>
        <v>0</v>
      </c>
      <c r="AR105" s="16">
        <f t="shared" si="58"/>
        <v>0</v>
      </c>
      <c r="AS105" s="16">
        <f t="shared" si="58"/>
        <v>0</v>
      </c>
      <c r="AT105" s="16">
        <f t="shared" si="58"/>
        <v>0</v>
      </c>
      <c r="AU105" s="16">
        <f t="shared" si="58"/>
        <v>0</v>
      </c>
      <c r="AV105" s="16">
        <f t="shared" si="58"/>
        <v>0</v>
      </c>
      <c r="AW105" s="16">
        <f t="shared" si="58"/>
        <v>0</v>
      </c>
      <c r="AX105" s="16"/>
    </row>
    <row r="106" spans="2:50" x14ac:dyDescent="0.25">
      <c r="B106" t="s">
        <v>275</v>
      </c>
      <c r="C106" t="s">
        <v>93</v>
      </c>
      <c r="E106" s="6">
        <v>3800000</v>
      </c>
      <c r="F106" s="6">
        <v>3700000</v>
      </c>
      <c r="G106" s="6">
        <v>6000000</v>
      </c>
      <c r="H106" s="6">
        <v>12400000</v>
      </c>
      <c r="I106" s="6">
        <v>4200000</v>
      </c>
      <c r="J106" s="6">
        <v>3600000</v>
      </c>
      <c r="K106" s="15">
        <f t="shared" si="57"/>
        <v>141914600.41542691</v>
      </c>
      <c r="L106" s="16">
        <f>AVERAGE($E$106/$E$75,$F$106/$F$75,$G$106/$G$75,$H$106/$H$75,$I$106/$I$75,$J$106/$J$75)*L75</f>
        <v>3539152.9924477972</v>
      </c>
      <c r="M106" s="16">
        <f t="shared" ref="M106:AW106" si="59">AVERAGE($E$106/$E$75,$F$106/$F$75,$G$106/$G$75,$H$106/$H$75,$I$106/$I$75,$J$106/$J$75)*M75</f>
        <v>3438546.2518101349</v>
      </c>
      <c r="N106" s="16">
        <f t="shared" si="59"/>
        <v>3234025.9181483928</v>
      </c>
      <c r="O106" s="16">
        <f t="shared" si="59"/>
        <v>3189331.3973972979</v>
      </c>
      <c r="P106" s="16">
        <f t="shared" si="59"/>
        <v>9745179.2698250767</v>
      </c>
      <c r="Q106" s="16">
        <f t="shared" si="59"/>
        <v>16176727.121002752</v>
      </c>
      <c r="R106" s="16">
        <f t="shared" si="59"/>
        <v>15052126.94026863</v>
      </c>
      <c r="S106" s="16">
        <f t="shared" si="59"/>
        <v>12286166.383865148</v>
      </c>
      <c r="T106" s="16">
        <f t="shared" si="59"/>
        <v>9559935.7546008173</v>
      </c>
      <c r="U106" s="16">
        <f t="shared" si="59"/>
        <v>8520477.1895905845</v>
      </c>
      <c r="V106" s="16">
        <f t="shared" si="59"/>
        <v>9048743.6779986788</v>
      </c>
      <c r="W106" s="16">
        <f t="shared" si="59"/>
        <v>7324995.5985583784</v>
      </c>
      <c r="X106" s="16">
        <f t="shared" si="59"/>
        <v>7115697.8856225181</v>
      </c>
      <c r="Y106" s="16">
        <f t="shared" si="59"/>
        <v>6009712.768832067</v>
      </c>
      <c r="Z106" s="16">
        <f t="shared" si="59"/>
        <v>4636946.4125660108</v>
      </c>
      <c r="AA106" s="16">
        <f t="shared" si="59"/>
        <v>4673204.639256808</v>
      </c>
      <c r="AB106" s="16">
        <f t="shared" si="59"/>
        <v>4673204.639256808</v>
      </c>
      <c r="AC106" s="16">
        <f t="shared" si="59"/>
        <v>4064069.9111445732</v>
      </c>
      <c r="AD106" s="16">
        <f t="shared" si="59"/>
        <v>3870905.7937638974</v>
      </c>
      <c r="AE106" s="16">
        <f t="shared" si="59"/>
        <v>3428691.6541888914</v>
      </c>
      <c r="AF106" s="16">
        <f t="shared" si="59"/>
        <v>1838415.3851818596</v>
      </c>
      <c r="AG106" s="16">
        <f t="shared" si="59"/>
        <v>488342.83009975962</v>
      </c>
      <c r="AH106" s="16">
        <f t="shared" si="59"/>
        <v>0</v>
      </c>
      <c r="AI106" s="16">
        <f t="shared" si="59"/>
        <v>0</v>
      </c>
      <c r="AJ106" s="16">
        <f t="shared" si="59"/>
        <v>0</v>
      </c>
      <c r="AK106" s="16">
        <f t="shared" si="59"/>
        <v>0</v>
      </c>
      <c r="AL106" s="16">
        <f t="shared" si="59"/>
        <v>0</v>
      </c>
      <c r="AM106" s="16">
        <f t="shared" si="59"/>
        <v>0</v>
      </c>
      <c r="AN106" s="16">
        <f t="shared" si="59"/>
        <v>0</v>
      </c>
      <c r="AO106" s="16">
        <f t="shared" si="59"/>
        <v>0</v>
      </c>
      <c r="AP106" s="16">
        <f t="shared" si="59"/>
        <v>0</v>
      </c>
      <c r="AQ106" s="16">
        <f t="shared" si="59"/>
        <v>0</v>
      </c>
      <c r="AR106" s="16">
        <f t="shared" si="59"/>
        <v>0</v>
      </c>
      <c r="AS106" s="16">
        <f t="shared" si="59"/>
        <v>0</v>
      </c>
      <c r="AT106" s="16">
        <f t="shared" si="59"/>
        <v>0</v>
      </c>
      <c r="AU106" s="16">
        <f t="shared" si="59"/>
        <v>0</v>
      </c>
      <c r="AV106" s="16">
        <f t="shared" si="59"/>
        <v>0</v>
      </c>
      <c r="AW106" s="16">
        <f t="shared" si="59"/>
        <v>0</v>
      </c>
      <c r="AX106" s="16"/>
    </row>
    <row r="107" spans="2:50" x14ac:dyDescent="0.25">
      <c r="B107" s="8" t="s">
        <v>139</v>
      </c>
      <c r="C107" t="s">
        <v>93</v>
      </c>
      <c r="E107" s="6">
        <v>42522000</v>
      </c>
      <c r="F107" s="6">
        <v>44774000</v>
      </c>
      <c r="G107" s="6">
        <v>46003000</v>
      </c>
      <c r="H107" s="6">
        <v>45408000</v>
      </c>
      <c r="I107" s="6">
        <v>122272000</v>
      </c>
      <c r="J107" s="6">
        <v>38505000</v>
      </c>
      <c r="K107" s="15">
        <f t="shared" si="57"/>
        <v>1144843644.5113387</v>
      </c>
      <c r="L107" s="16">
        <f>'DCF Caylloma'!L91+'DCF San Jose'!L75+'DCF Lindero'!L58+'DCF Yaramoko'!L62+'DCF Seguela'!H54</f>
        <v>31025336.165696003</v>
      </c>
      <c r="M107" s="16">
        <f>'DCF Caylloma'!M91+'DCF San Jose'!M75+'DCF Lindero'!M58+'DCF Yaramoko'!M62+'DCF Seguela'!I54</f>
        <v>31025336.165696003</v>
      </c>
      <c r="N107" s="16">
        <f>'DCF Caylloma'!N91+'DCF San Jose'!N75+'DCF Lindero'!N58+'DCF Yaramoko'!N62+'DCF Seguela'!J54</f>
        <v>31025336.165696003</v>
      </c>
      <c r="O107" s="16">
        <f>'DCF Caylloma'!O91+'DCF San Jose'!O75+'DCF Lindero'!O58+'DCF Yaramoko'!O62+'DCF Seguela'!K54</f>
        <v>31951336.165696003</v>
      </c>
      <c r="P107" s="16">
        <f>'DCF Caylloma'!P91+'DCF San Jose'!P75+'DCF Lindero'!P58+'DCF Yaramoko'!P62+'DCF Seguela'!L54</f>
        <v>79156299.84855479</v>
      </c>
      <c r="Q107" s="16">
        <f>'DCF Caylloma'!Q91+'DCF San Jose'!Q75+'DCF Lindero'!Q58+'DCF Yaramoko'!Q62+'DCF Seguela'!M54</f>
        <v>130570000</v>
      </c>
      <c r="R107" s="16">
        <f>'DCF Caylloma'!R91+'DCF San Jose'!R75+'DCF Lindero'!R58+'DCF Yaramoko'!R62+'DCF Seguela'!N54</f>
        <v>200420000</v>
      </c>
      <c r="S107" s="16">
        <f>'DCF Caylloma'!S91+'DCF San Jose'!S75+'DCF Lindero'!S58+'DCF Yaramoko'!S62+'DCF Seguela'!O54</f>
        <v>170120000</v>
      </c>
      <c r="T107" s="16">
        <f>'DCF Caylloma'!T91+'DCF San Jose'!T75+'DCF Lindero'!T58+'DCF Yaramoko'!T62+'DCF Seguela'!P54</f>
        <v>108120000</v>
      </c>
      <c r="U107" s="16">
        <f>'DCF Caylloma'!U91+'DCF San Jose'!U75+'DCF Lindero'!U58+'DCF Yaramoko'!U62+'DCF Seguela'!Q54</f>
        <v>31120000</v>
      </c>
      <c r="V107" s="16">
        <f>'DCF Caylloma'!V91+'DCF San Jose'!V75+'DCF Lindero'!V58+'DCF Yaramoko'!V62+'DCF Seguela'!R54</f>
        <v>31120000</v>
      </c>
      <c r="W107" s="16">
        <f>'DCF Caylloma'!W91+'DCF San Jose'!W75+'DCF Lindero'!W58+'DCF Yaramoko'!W62+'DCF Seguela'!S54</f>
        <v>46120000</v>
      </c>
      <c r="X107" s="16">
        <f>'DCF Caylloma'!X91+'DCF San Jose'!X75+'DCF Lindero'!X58+'DCF Yaramoko'!X62+'DCF Seguela'!T54</f>
        <v>45120000</v>
      </c>
      <c r="Y107" s="16">
        <f>'DCF Caylloma'!Y91+'DCF San Jose'!Y75+'DCF Lindero'!Y58+'DCF Yaramoko'!Y62+'DCF Seguela'!U54</f>
        <v>43120000</v>
      </c>
      <c r="Z107" s="16">
        <f>'DCF Caylloma'!Z91+'DCF San Jose'!Z75+'DCF Lindero'!Z58+'DCF Yaramoko'!Z62+'DCF Seguela'!V54</f>
        <v>24820000</v>
      </c>
      <c r="AA107" s="16">
        <f>'DCF Caylloma'!AA91+'DCF San Jose'!AA75+'DCF Lindero'!AA58+'DCF Yaramoko'!AA62+'DCF Seguela'!W54</f>
        <v>23520000</v>
      </c>
      <c r="AB107" s="16">
        <f>'DCF Caylloma'!AB91+'DCF San Jose'!AB75+'DCF Lindero'!AB58+'DCF Yaramoko'!AB62+'DCF Seguela'!X54</f>
        <v>21190000</v>
      </c>
      <c r="AC107" s="16">
        <f>'DCF Caylloma'!AC91+'DCF San Jose'!AC75+'DCF Lindero'!AC58+'DCF Yaramoko'!AC62+'DCF Seguela'!Y54</f>
        <v>18500000</v>
      </c>
      <c r="AD107" s="16">
        <f>'DCF Caylloma'!AD91+'DCF San Jose'!AD75+'DCF Lindero'!AD58+'DCF Yaramoko'!AD62+'DCF Seguela'!Z54</f>
        <v>17200000</v>
      </c>
      <c r="AE107" s="16">
        <f>'DCF Caylloma'!AE91+'DCF San Jose'!AE75+'DCF Lindero'!AE58+'DCF Yaramoko'!AE62+'DCF Seguela'!AA54</f>
        <v>13600000</v>
      </c>
      <c r="AF107" s="16">
        <f>'DCF Caylloma'!AF91+'DCF San Jose'!AF75+'DCF Lindero'!AF58+'DCF Yaramoko'!AF62+'DCF Seguela'!AB54</f>
        <v>9000000</v>
      </c>
      <c r="AG107" s="16">
        <f>'DCF Caylloma'!AG91+'DCF San Jose'!AG75+'DCF Lindero'!AG58+'DCF Yaramoko'!AG62+'DCF Seguela'!AC54</f>
        <v>7000000</v>
      </c>
      <c r="AH107" s="16">
        <f>'DCF Caylloma'!AH91+'DCF San Jose'!AH75+'DCF Lindero'!AH58+'DCF Yaramoko'!AH62+'DCF Seguela'!AD54</f>
        <v>0</v>
      </c>
      <c r="AI107" s="16">
        <f>'DCF Caylloma'!AI91+'DCF San Jose'!AI75+'DCF Lindero'!AI58+'DCF Yaramoko'!AI62+'DCF Seguela'!AE54</f>
        <v>0</v>
      </c>
      <c r="AJ107" s="16">
        <f>'DCF Caylloma'!AJ91+'DCF San Jose'!AJ75+'DCF Lindero'!AJ58+'DCF Yaramoko'!AJ62+'DCF Seguela'!AF54</f>
        <v>0</v>
      </c>
      <c r="AK107" s="16">
        <f>'DCF Caylloma'!AK91+'DCF San Jose'!AK75+'DCF Lindero'!AK58+'DCF Yaramoko'!AK62+'DCF Seguela'!AG54</f>
        <v>0</v>
      </c>
      <c r="AL107" s="16">
        <f>'DCF Caylloma'!AL91+'DCF San Jose'!AL75+'DCF Lindero'!AL58+'DCF Yaramoko'!AL62+'DCF Seguela'!AH54</f>
        <v>0</v>
      </c>
      <c r="AM107" s="16">
        <f>'DCF Caylloma'!AM91+'DCF San Jose'!AM75+'DCF Lindero'!AM58+'DCF Yaramoko'!AM62+'DCF Seguela'!AI54</f>
        <v>0</v>
      </c>
      <c r="AN107" s="16">
        <f>'DCF Caylloma'!AN91+'DCF San Jose'!AN75+'DCF Lindero'!AN58+'DCF Yaramoko'!AN62+'DCF Seguela'!AJ54</f>
        <v>0</v>
      </c>
      <c r="AO107" s="16">
        <f>'DCF Caylloma'!AO91+'DCF San Jose'!AO75+'DCF Lindero'!AO58+'DCF Yaramoko'!AO62+'DCF Seguela'!AK54</f>
        <v>0</v>
      </c>
      <c r="AP107" s="16">
        <f>'DCF Caylloma'!AP91+'DCF San Jose'!AP75+'DCF Lindero'!AP58+'DCF Yaramoko'!AP62+'DCF Seguela'!AL54</f>
        <v>0</v>
      </c>
      <c r="AQ107" s="16">
        <f>'DCF Caylloma'!AQ91+'DCF San Jose'!AQ75+'DCF Lindero'!AQ58+'DCF Yaramoko'!AQ62+'DCF Seguela'!AM54</f>
        <v>0</v>
      </c>
      <c r="AR107" s="16">
        <f>'DCF Caylloma'!AR91+'DCF San Jose'!AR75+'DCF Lindero'!AR58+'DCF Yaramoko'!AR62+'DCF Seguela'!AN54</f>
        <v>0</v>
      </c>
      <c r="AS107" s="16">
        <f>'DCF Caylloma'!AS91+'DCF San Jose'!AS75+'DCF Lindero'!AS58+'DCF Yaramoko'!AS62+'DCF Seguela'!AO54</f>
        <v>0</v>
      </c>
      <c r="AT107" s="16">
        <f>'DCF Caylloma'!AT91+'DCF San Jose'!AT75+'DCF Lindero'!AT58+'DCF Yaramoko'!AT62+'DCF Seguela'!AP54</f>
        <v>0</v>
      </c>
      <c r="AU107" s="16">
        <f>'DCF Caylloma'!AU91+'DCF San Jose'!AU75+'DCF Lindero'!AU58+'DCF Yaramoko'!AU62+'DCF Seguela'!AQ54</f>
        <v>0</v>
      </c>
      <c r="AV107" s="16">
        <f>'DCF Caylloma'!AV91+'DCF San Jose'!AV75+'DCF Lindero'!AV58+'DCF Yaramoko'!AV62+'DCF Seguela'!AR54</f>
        <v>0</v>
      </c>
      <c r="AW107" s="16">
        <f>'DCF Caylloma'!AW91+'DCF San Jose'!AW75+'DCF Lindero'!AW58+'DCF Yaramoko'!AW62+'DCF Seguela'!AS54</f>
        <v>0</v>
      </c>
      <c r="AX107" s="16"/>
    </row>
    <row r="108" spans="2:50" x14ac:dyDescent="0.25">
      <c r="B108" s="32" t="s">
        <v>145</v>
      </c>
      <c r="E108" s="6">
        <f>E91+SUM(E104:E107)</f>
        <v>177207000</v>
      </c>
      <c r="F108" s="6">
        <f t="shared" ref="F108:L108" si="60">F91+SUM(F104:F107)</f>
        <v>184940000</v>
      </c>
      <c r="G108" s="6">
        <f t="shared" si="60"/>
        <v>209531000</v>
      </c>
      <c r="H108" s="6">
        <f t="shared" si="60"/>
        <v>207120000</v>
      </c>
      <c r="I108" s="6">
        <f t="shared" si="60"/>
        <v>422187000</v>
      </c>
      <c r="J108" s="6">
        <f t="shared" si="60"/>
        <v>132455000</v>
      </c>
      <c r="K108" s="15">
        <f t="shared" si="57"/>
        <v>5707614608.0740194</v>
      </c>
      <c r="L108" s="16">
        <f t="shared" si="60"/>
        <v>129107079.60315719</v>
      </c>
      <c r="M108" s="16">
        <f t="shared" ref="M108" si="61">M91+SUM(M104:M107)</f>
        <v>130000453.92466833</v>
      </c>
      <c r="N108" s="16">
        <f t="shared" ref="N108" si="62">N91+SUM(N104:N107)</f>
        <v>127868633.50176781</v>
      </c>
      <c r="O108" s="16">
        <f t="shared" ref="O108" si="63">O91+SUM(O104:O107)</f>
        <v>128156771.19771749</v>
      </c>
      <c r="P108" s="16">
        <f t="shared" ref="P108" si="64">P91+SUM(P104:P107)</f>
        <v>365027639.40669376</v>
      </c>
      <c r="Q108" s="16">
        <f t="shared" ref="Q108" si="65">Q91+SUM(Q104:Q107)</f>
        <v>570681539.23813307</v>
      </c>
      <c r="R108" s="16">
        <f t="shared" ref="R108" si="66">R91+SUM(R104:R107)</f>
        <v>606749873.54880476</v>
      </c>
      <c r="S108" s="16">
        <f t="shared" ref="S108" si="67">S91+SUM(S104:S107)</f>
        <v>560655230.94953167</v>
      </c>
      <c r="T108" s="16">
        <f t="shared" ref="T108" si="68">T91+SUM(T104:T107)</f>
        <v>377301346.33933222</v>
      </c>
      <c r="U108" s="16">
        <f t="shared" ref="U108" si="69">U91+SUM(U104:U107)</f>
        <v>286974880.66773611</v>
      </c>
      <c r="V108" s="16">
        <f t="shared" ref="V108" si="70">V91+SUM(V104:V107)</f>
        <v>307411810.47297269</v>
      </c>
      <c r="W108" s="16">
        <f t="shared" ref="W108" si="71">W91+SUM(W104:W107)</f>
        <v>300263090.59349263</v>
      </c>
      <c r="X108" s="16">
        <f t="shared" ref="X108" si="72">X91+SUM(X104:X107)</f>
        <v>286530415.12240291</v>
      </c>
      <c r="Y108" s="16">
        <f t="shared" ref="Y108" si="73">Y91+SUM(Y104:Y107)</f>
        <v>267515294.9094626</v>
      </c>
      <c r="Z108" s="16">
        <f t="shared" ref="Z108" si="74">Z91+SUM(Z104:Z107)</f>
        <v>199909301.25600368</v>
      </c>
      <c r="AA108" s="16">
        <f t="shared" ref="AA108" si="75">AA91+SUM(AA104:AA107)</f>
        <v>198782907.98732901</v>
      </c>
      <c r="AB108" s="16">
        <f t="shared" ref="AB108" si="76">AB91+SUM(AB104:AB107)</f>
        <v>196452907.98732901</v>
      </c>
      <c r="AC108" s="16">
        <f t="shared" ref="AC108" si="77">AC91+SUM(AC104:AC107)</f>
        <v>192331734.92466834</v>
      </c>
      <c r="AD108" s="16">
        <f t="shared" ref="AD108" si="78">AD91+SUM(AD104:AD107)</f>
        <v>190037679.38398293</v>
      </c>
      <c r="AE108" s="16">
        <f t="shared" ref="AE108" si="79">AE91+SUM(AE104:AE107)</f>
        <v>167205626.62667894</v>
      </c>
      <c r="AF108" s="16">
        <f t="shared" ref="AF108" si="80">AF91+SUM(AF104:AF107)</f>
        <v>85823936.922172815</v>
      </c>
      <c r="AG108" s="16">
        <f t="shared" ref="AG108" si="81">AG91+SUM(AG104:AG107)</f>
        <v>32826453.5099819</v>
      </c>
      <c r="AH108" s="16">
        <f t="shared" ref="AH108" si="82">AH91+SUM(AH104:AH107)</f>
        <v>0</v>
      </c>
      <c r="AI108" s="16">
        <f t="shared" ref="AI108" si="83">AI91+SUM(AI104:AI107)</f>
        <v>0</v>
      </c>
      <c r="AJ108" s="16">
        <f t="shared" ref="AJ108" si="84">AJ91+SUM(AJ104:AJ107)</f>
        <v>0</v>
      </c>
      <c r="AK108" s="16">
        <f t="shared" ref="AK108" si="85">AK91+SUM(AK104:AK107)</f>
        <v>0</v>
      </c>
      <c r="AL108" s="16">
        <f t="shared" ref="AL108" si="86">AL91+SUM(AL104:AL107)</f>
        <v>0</v>
      </c>
      <c r="AM108" s="16">
        <f t="shared" ref="AM108" si="87">AM91+SUM(AM104:AM107)</f>
        <v>0</v>
      </c>
      <c r="AN108" s="16">
        <f t="shared" ref="AN108" si="88">AN91+SUM(AN104:AN107)</f>
        <v>0</v>
      </c>
      <c r="AO108" s="16">
        <f t="shared" ref="AO108" si="89">AO91+SUM(AO104:AO107)</f>
        <v>0</v>
      </c>
      <c r="AP108" s="16">
        <f t="shared" ref="AP108" si="90">AP91+SUM(AP104:AP107)</f>
        <v>0</v>
      </c>
      <c r="AQ108" s="16">
        <f t="shared" ref="AQ108" si="91">AQ91+SUM(AQ104:AQ107)</f>
        <v>0</v>
      </c>
      <c r="AR108" s="16">
        <f t="shared" ref="AR108" si="92">AR91+SUM(AR104:AR107)</f>
        <v>0</v>
      </c>
      <c r="AS108" s="16">
        <f t="shared" ref="AS108" si="93">AS91+SUM(AS104:AS107)</f>
        <v>0</v>
      </c>
      <c r="AT108" s="16">
        <f t="shared" ref="AT108" si="94">AT91+SUM(AT104:AT107)</f>
        <v>0</v>
      </c>
      <c r="AU108" s="16">
        <f t="shared" ref="AU108" si="95">AU91+SUM(AU104:AU107)</f>
        <v>0</v>
      </c>
      <c r="AV108" s="16">
        <f t="shared" ref="AV108" si="96">AV91+SUM(AV104:AV107)</f>
        <v>0</v>
      </c>
      <c r="AW108" s="16">
        <f t="shared" ref="AW108" si="97">AW91+SUM(AW104:AW107)</f>
        <v>0</v>
      </c>
      <c r="AX108" s="16"/>
    </row>
    <row r="109" spans="2:50" x14ac:dyDescent="0.25">
      <c r="K109" s="26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spans="2:50" ht="15.75" thickBot="1" x14ac:dyDescent="0.3">
      <c r="B110" s="14" t="s">
        <v>151</v>
      </c>
      <c r="E110" s="18"/>
      <c r="F110" s="18"/>
      <c r="G110" s="18"/>
      <c r="H110" s="18"/>
      <c r="I110" s="18"/>
      <c r="J110" s="18"/>
      <c r="K110" s="26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spans="2:50" x14ac:dyDescent="0.25">
      <c r="B111" t="s">
        <v>151</v>
      </c>
      <c r="C111" t="s">
        <v>93</v>
      </c>
      <c r="E111" s="31">
        <v>110327000</v>
      </c>
      <c r="F111" s="6">
        <v>61586000</v>
      </c>
      <c r="G111" s="6">
        <v>34194000</v>
      </c>
      <c r="H111" s="6">
        <v>57238000</v>
      </c>
      <c r="I111" s="6">
        <v>136879000</v>
      </c>
      <c r="J111" s="6">
        <v>40712000</v>
      </c>
      <c r="K111" s="15">
        <f t="shared" ref="K111" si="98">SUM(L111:AW111)</f>
        <v>1655081673.2297814</v>
      </c>
      <c r="L111" s="16">
        <f>L75-L108</f>
        <v>54508337.698387802</v>
      </c>
      <c r="M111" s="16">
        <f t="shared" ref="M111:AW111" si="99">M75-M108</f>
        <v>48395367.415653124</v>
      </c>
      <c r="N111" s="16">
        <f t="shared" si="99"/>
        <v>39916432.527300775</v>
      </c>
      <c r="O111" s="16">
        <f t="shared" si="99"/>
        <v>37309490.559165925</v>
      </c>
      <c r="P111" s="16">
        <f t="shared" si="99"/>
        <v>140563715.96156114</v>
      </c>
      <c r="Q111" s="16">
        <f t="shared" si="99"/>
        <v>268586078.5321244</v>
      </c>
      <c r="R111" s="16">
        <f t="shared" si="99"/>
        <v>174172164.94767547</v>
      </c>
      <c r="S111" s="16">
        <f t="shared" si="99"/>
        <v>76765522.666812062</v>
      </c>
      <c r="T111" s="16">
        <f t="shared" si="99"/>
        <v>118679357.71690279</v>
      </c>
      <c r="U111" s="16">
        <f t="shared" si="99"/>
        <v>155077491.21713001</v>
      </c>
      <c r="V111" s="16">
        <f t="shared" si="99"/>
        <v>162047647.77477688</v>
      </c>
      <c r="W111" s="16">
        <f t="shared" si="99"/>
        <v>79766291.134659827</v>
      </c>
      <c r="X111" s="16">
        <f t="shared" si="99"/>
        <v>82640355.242244363</v>
      </c>
      <c r="Y111" s="16">
        <f t="shared" si="99"/>
        <v>44275667.579650432</v>
      </c>
      <c r="Z111" s="16">
        <f t="shared" si="99"/>
        <v>40660929.068891913</v>
      </c>
      <c r="AA111" s="16">
        <f t="shared" si="99"/>
        <v>43668441.757566601</v>
      </c>
      <c r="AB111" s="16">
        <f t="shared" si="99"/>
        <v>45998441.757566601</v>
      </c>
      <c r="AC111" s="16">
        <f t="shared" si="99"/>
        <v>18516989.125926822</v>
      </c>
      <c r="AD111" s="16">
        <f t="shared" si="99"/>
        <v>10789463.204544216</v>
      </c>
      <c r="AE111" s="16">
        <f t="shared" si="99"/>
        <v>10678926.605588228</v>
      </c>
      <c r="AF111" s="16">
        <f t="shared" si="99"/>
        <v>9555214.2035542727</v>
      </c>
      <c r="AG111" s="16">
        <f t="shared" si="99"/>
        <v>-7490653.4679023549</v>
      </c>
      <c r="AH111" s="16">
        <f t="shared" si="99"/>
        <v>0</v>
      </c>
      <c r="AI111" s="16">
        <f t="shared" si="99"/>
        <v>0</v>
      </c>
      <c r="AJ111" s="16">
        <f t="shared" si="99"/>
        <v>0</v>
      </c>
      <c r="AK111" s="16">
        <f t="shared" si="99"/>
        <v>0</v>
      </c>
      <c r="AL111" s="16">
        <f t="shared" si="99"/>
        <v>0</v>
      </c>
      <c r="AM111" s="16">
        <f t="shared" si="99"/>
        <v>0</v>
      </c>
      <c r="AN111" s="16">
        <f t="shared" si="99"/>
        <v>0</v>
      </c>
      <c r="AO111" s="16">
        <f t="shared" si="99"/>
        <v>0</v>
      </c>
      <c r="AP111" s="16">
        <f t="shared" si="99"/>
        <v>0</v>
      </c>
      <c r="AQ111" s="16">
        <f t="shared" si="99"/>
        <v>0</v>
      </c>
      <c r="AR111" s="16">
        <f t="shared" si="99"/>
        <v>0</v>
      </c>
      <c r="AS111" s="16">
        <f t="shared" si="99"/>
        <v>0</v>
      </c>
      <c r="AT111" s="16">
        <f t="shared" si="99"/>
        <v>0</v>
      </c>
      <c r="AU111" s="16">
        <f t="shared" si="99"/>
        <v>0</v>
      </c>
      <c r="AV111" s="16">
        <f t="shared" si="99"/>
        <v>0</v>
      </c>
      <c r="AW111" s="16">
        <f t="shared" si="99"/>
        <v>0</v>
      </c>
      <c r="AX111" s="13"/>
    </row>
    <row r="112" spans="2:50" x14ac:dyDescent="0.25">
      <c r="B112" t="s">
        <v>152</v>
      </c>
      <c r="C112" t="s">
        <v>70</v>
      </c>
      <c r="E112" s="18">
        <f>E111/E75</f>
        <v>0.40016136876011882</v>
      </c>
      <c r="F112" s="18">
        <f t="shared" ref="F112:J112" si="100">F111/F75</f>
        <v>0.2294671955697761</v>
      </c>
      <c r="G112" s="18">
        <f t="shared" si="100"/>
        <v>0.12558503625139739</v>
      </c>
      <c r="H112" s="18">
        <f t="shared" si="100"/>
        <v>0.18676473263030066</v>
      </c>
      <c r="I112" s="18">
        <f t="shared" si="100"/>
        <v>0.21774609459679092</v>
      </c>
      <c r="J112" s="18">
        <f t="shared" si="100"/>
        <v>0.21375831677065885</v>
      </c>
      <c r="K112" s="64">
        <f t="shared" ref="K112" si="101">AVERAGE(L112:AW112)</f>
        <v>0.18313728107395064</v>
      </c>
      <c r="L112" s="28">
        <f>IFERROR(L111/L75,"")</f>
        <v>0.29686144278871052</v>
      </c>
      <c r="M112" s="28">
        <f t="shared" ref="M112:AW112" si="102">IFERROR(M111/M75,"")</f>
        <v>0.27128083523509466</v>
      </c>
      <c r="N112" s="28">
        <f t="shared" si="102"/>
        <v>0.23790217730334412</v>
      </c>
      <c r="O112" s="28">
        <f t="shared" si="102"/>
        <v>0.22548095402060925</v>
      </c>
      <c r="P112" s="28">
        <f t="shared" si="102"/>
        <v>0.27801843221623024</v>
      </c>
      <c r="Q112" s="28">
        <f t="shared" si="102"/>
        <v>0.32002435557527681</v>
      </c>
      <c r="R112" s="28">
        <f t="shared" si="102"/>
        <v>0.22303399873694368</v>
      </c>
      <c r="S112" s="28">
        <f t="shared" si="102"/>
        <v>0.12043147674638839</v>
      </c>
      <c r="T112" s="28">
        <f t="shared" si="102"/>
        <v>0.23928220744540649</v>
      </c>
      <c r="U112" s="28">
        <f t="shared" si="102"/>
        <v>0.35081248530778253</v>
      </c>
      <c r="V112" s="28">
        <f t="shared" si="102"/>
        <v>0.34517921607036595</v>
      </c>
      <c r="W112" s="28">
        <f t="shared" si="102"/>
        <v>0.20989506330255087</v>
      </c>
      <c r="X112" s="28">
        <f t="shared" si="102"/>
        <v>0.22385400436935082</v>
      </c>
      <c r="Y112" s="28">
        <f t="shared" si="102"/>
        <v>0.14200433273044732</v>
      </c>
      <c r="Z112" s="28">
        <f t="shared" si="102"/>
        <v>0.16901895556228383</v>
      </c>
      <c r="AA112" s="28">
        <f t="shared" si="102"/>
        <v>0.18011218252038608</v>
      </c>
      <c r="AB112" s="28">
        <f t="shared" si="102"/>
        <v>0.18972235793269704</v>
      </c>
      <c r="AC112" s="28">
        <f t="shared" si="102"/>
        <v>8.7821205507904773E-2</v>
      </c>
      <c r="AD112" s="28">
        <f t="shared" si="102"/>
        <v>5.3725124330681967E-2</v>
      </c>
      <c r="AE112" s="28">
        <f t="shared" si="102"/>
        <v>6.003290567700139E-2</v>
      </c>
      <c r="AF112" s="28">
        <f t="shared" si="102"/>
        <v>0.1001813718278826</v>
      </c>
      <c r="AG112" s="28">
        <f t="shared" si="102"/>
        <v>-0.29565490158042496</v>
      </c>
      <c r="AH112" s="28" t="str">
        <f t="shared" si="102"/>
        <v/>
      </c>
      <c r="AI112" s="28" t="str">
        <f t="shared" si="102"/>
        <v/>
      </c>
      <c r="AJ112" s="28" t="str">
        <f t="shared" si="102"/>
        <v/>
      </c>
      <c r="AK112" s="28" t="str">
        <f t="shared" si="102"/>
        <v/>
      </c>
      <c r="AL112" s="28" t="str">
        <f t="shared" si="102"/>
        <v/>
      </c>
      <c r="AM112" s="28" t="str">
        <f t="shared" si="102"/>
        <v/>
      </c>
      <c r="AN112" s="28" t="str">
        <f t="shared" si="102"/>
        <v/>
      </c>
      <c r="AO112" s="28" t="str">
        <f t="shared" si="102"/>
        <v/>
      </c>
      <c r="AP112" s="28" t="str">
        <f t="shared" si="102"/>
        <v/>
      </c>
      <c r="AQ112" s="28" t="str">
        <f t="shared" si="102"/>
        <v/>
      </c>
      <c r="AR112" s="28" t="str">
        <f t="shared" si="102"/>
        <v/>
      </c>
      <c r="AS112" s="28" t="str">
        <f t="shared" si="102"/>
        <v/>
      </c>
      <c r="AT112" s="28" t="str">
        <f t="shared" si="102"/>
        <v/>
      </c>
      <c r="AU112" s="28" t="str">
        <f t="shared" si="102"/>
        <v/>
      </c>
      <c r="AV112" s="28" t="str">
        <f t="shared" si="102"/>
        <v/>
      </c>
      <c r="AW112" s="28" t="str">
        <f t="shared" si="102"/>
        <v/>
      </c>
      <c r="AX112" s="13"/>
    </row>
    <row r="113" spans="2:50" x14ac:dyDescent="0.25">
      <c r="K113" s="26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spans="2:50" ht="15.75" thickBot="1" x14ac:dyDescent="0.3">
      <c r="B114" s="14" t="s">
        <v>276</v>
      </c>
      <c r="K114" s="26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spans="2:50" x14ac:dyDescent="0.25">
      <c r="B115" t="s">
        <v>277</v>
      </c>
      <c r="C115" t="s">
        <v>93</v>
      </c>
      <c r="E115" s="6">
        <v>4135000</v>
      </c>
      <c r="F115" s="6">
        <v>10081000</v>
      </c>
      <c r="G115" s="6">
        <v>9948000</v>
      </c>
      <c r="H115" s="6">
        <v>4812000</v>
      </c>
      <c r="I115" s="6">
        <v>25703000</v>
      </c>
      <c r="J115" s="6">
        <v>8980000</v>
      </c>
      <c r="K115" s="15">
        <f t="shared" ref="K115:K117" si="103">SUM(L115:AW115)</f>
        <v>496686832.14392656</v>
      </c>
      <c r="L115" s="16">
        <f>'DCF Caylloma'!L99+'DCF Caylloma'!L100+'DCF Caylloma'!L101+'DCF San Jose'!L79+'DCF San Jose'!L80+'DCF San Jose'!L81+'DCF Lindero'!L62+'DCF Lindero'!L63+'DCF Yaramoko'!L66+'DCF Yaramoko'!L67+'DCF Seguela'!H58+'DCF Seguela'!H59+'DCF Seguela'!H60+'DCF Seguela'!H61</f>
        <v>13503413.689010741</v>
      </c>
      <c r="M115" s="16">
        <f>'DCF Caylloma'!M99+'DCF Caylloma'!M100+'DCF Caylloma'!M101+'DCF San Jose'!M79+'DCF San Jose'!M80+'DCF San Jose'!M81+'DCF Lindero'!M62+'DCF Lindero'!M63+'DCF Yaramoko'!M66+'DCF Yaramoko'!M67+'DCF Seguela'!I58+'DCF Seguela'!I59+'DCF Seguela'!I60+'DCF Seguela'!I61</f>
        <v>12901725.00327809</v>
      </c>
      <c r="N115" s="16">
        <f>'DCF Caylloma'!N99+'DCF Caylloma'!N100+'DCF Caylloma'!N101+'DCF San Jose'!N79+'DCF San Jose'!N80+'DCF San Jose'!N81+'DCF Lindero'!N62+'DCF Lindero'!N63+'DCF Yaramoko'!N66+'DCF Yaramoko'!N67+'DCF Seguela'!J58+'DCF Seguela'!J59+'DCF Seguela'!J60+'DCF Seguela'!J61</f>
        <v>11904397.942881439</v>
      </c>
      <c r="O115" s="16">
        <f>'DCF Caylloma'!O99+'DCF Caylloma'!O100+'DCF Caylloma'!O101+'DCF San Jose'!O79+'DCF San Jose'!O80+'DCF San Jose'!O81+'DCF Lindero'!O62+'DCF Lindero'!O63+'DCF Yaramoko'!O66+'DCF Yaramoko'!O67+'DCF Seguela'!K58+'DCF Seguela'!K59+'DCF Seguela'!K60+'DCF Seguela'!K61</f>
        <v>11591565.854576599</v>
      </c>
      <c r="P115" s="16">
        <f>'DCF Caylloma'!P99+'DCF Caylloma'!P100+'DCF Caylloma'!P101+'DCF San Jose'!P79+'DCF San Jose'!P80+'DCF San Jose'!P81+'DCF Lindero'!P62+'DCF Lindero'!P63+'DCF Yaramoko'!P66+'DCF Yaramoko'!P67+'DCF Seguela'!L58+'DCF Seguela'!L59+'DCF Seguela'!L60+'DCF Seguela'!L61</f>
        <v>35639256.220748477</v>
      </c>
      <c r="Q115" s="16">
        <f>'DCF Caylloma'!Q99+'DCF Caylloma'!Q100+'DCF Caylloma'!Q101+'DCF San Jose'!Q79+'DCF San Jose'!Q80+'DCF San Jose'!Q81+'DCF Lindero'!Q62+'DCF Lindero'!Q63+'DCF Yaramoko'!Q66+'DCF Yaramoko'!Q67+'DCF Seguela'!M58+'DCF Seguela'!M59+'DCF Seguela'!M60+'DCF Seguela'!M61</f>
        <v>63848530.159549542</v>
      </c>
      <c r="R115" s="16">
        <f>'DCF Caylloma'!R99+'DCF Caylloma'!R100+'DCF Caylloma'!R101+'DCF San Jose'!R79+'DCF San Jose'!R80+'DCF San Jose'!R81+'DCF Lindero'!R62+'DCF Lindero'!R63+'DCF Yaramoko'!R66+'DCF Yaramoko'!R67+'DCF Seguela'!N58+'DCF Seguela'!N59+'DCF Seguela'!N60+'DCF Seguela'!N61</f>
        <v>49802810.046594866</v>
      </c>
      <c r="S115" s="16">
        <f>'DCF Caylloma'!S99+'DCF Caylloma'!S100+'DCF Caylloma'!S101+'DCF San Jose'!S79+'DCF San Jose'!S80+'DCF San Jose'!S81+'DCF Lindero'!S62+'DCF Lindero'!S63+'DCF Yaramoko'!S66+'DCF Yaramoko'!S67+'DCF Seguela'!O58+'DCF Seguela'!O59+'DCF Seguela'!O60+'DCF Seguela'!O61</f>
        <v>41098315.13159091</v>
      </c>
      <c r="T115" s="16">
        <f>'DCF Caylloma'!T99+'DCF Caylloma'!T100+'DCF Caylloma'!T101+'DCF San Jose'!T79+'DCF San Jose'!T80+'DCF San Jose'!T81+'DCF Lindero'!T62+'DCF Lindero'!T63+'DCF Yaramoko'!T66+'DCF Yaramoko'!T67+'DCF Seguela'!P58+'DCF Seguela'!P59+'DCF Seguela'!P60+'DCF Seguela'!P61</f>
        <v>32500011.235979706</v>
      </c>
      <c r="U115" s="16">
        <f>'DCF Caylloma'!U99+'DCF Caylloma'!U100+'DCF Caylloma'!U101+'DCF San Jose'!U79+'DCF San Jose'!U80+'DCF San Jose'!U81+'DCF Lindero'!U62+'DCF Lindero'!U63+'DCF Yaramoko'!U66+'DCF Yaramoko'!U67+'DCF Seguela'!Q58+'DCF Seguela'!Q59+'DCF Seguela'!Q60+'DCF Seguela'!Q61</f>
        <v>29329628.413472086</v>
      </c>
      <c r="V115" s="16">
        <f>'DCF Caylloma'!V99+'DCF Caylloma'!V100+'DCF Caylloma'!V101+'DCF San Jose'!V79+'DCF San Jose'!V80+'DCF San Jose'!V81+'DCF Lindero'!V62+'DCF Lindero'!V63+'DCF Yaramoko'!V66+'DCF Yaramoko'!V67+'DCF Seguela'!R58+'DCF Seguela'!R59+'DCF Seguela'!R60+'DCF Seguela'!R61</f>
        <v>31177961.765882682</v>
      </c>
      <c r="W115" s="16">
        <f>'DCF Caylloma'!W99+'DCF Caylloma'!W100+'DCF Caylloma'!W101+'DCF San Jose'!W79+'DCF San Jose'!W80+'DCF San Jose'!W81+'DCF Lindero'!W62+'DCF Lindero'!W63+'DCF Yaramoko'!W66+'DCF Yaramoko'!W67+'DCF Seguela'!S58+'DCF Seguela'!S59+'DCF Seguela'!S60+'DCF Seguela'!S61</f>
        <v>25828968.739984162</v>
      </c>
      <c r="X115" s="16">
        <f>'DCF Caylloma'!X99+'DCF Caylloma'!X100+'DCF Caylloma'!X101+'DCF San Jose'!X79+'DCF San Jose'!X80+'DCF San Jose'!X81+'DCF Lindero'!X62+'DCF Lindero'!X63+'DCF Yaramoko'!X66+'DCF Yaramoko'!X67+'DCF Seguela'!T58+'DCF Seguela'!T59+'DCF Seguela'!T60+'DCF Seguela'!T61</f>
        <v>25166593.446810346</v>
      </c>
      <c r="Y115" s="16">
        <f>'DCF Caylloma'!Y99+'DCF Caylloma'!Y100+'DCF Caylloma'!Y101+'DCF San Jose'!Y79+'DCF San Jose'!Y80+'DCF San Jose'!Y81+'DCF Lindero'!Y62+'DCF Lindero'!Y63+'DCF Yaramoko'!Y66+'DCF Yaramoko'!Y67+'DCF Seguela'!U58+'DCF Seguela'!U59+'DCF Seguela'!U60+'DCF Seguela'!U61</f>
        <v>21680424.471757732</v>
      </c>
      <c r="Z115" s="16">
        <f>'DCF Caylloma'!Z99+'DCF Caylloma'!Z100+'DCF Caylloma'!Z101+'DCF San Jose'!Z79+'DCF San Jose'!Z80+'DCF San Jose'!Z81+'DCF Lindero'!Z62+'DCF Lindero'!Z63+'DCF Yaramoko'!Z66+'DCF Yaramoko'!Z67+'DCF Seguela'!V58+'DCF Seguela'!V59+'DCF Seguela'!V60+'DCF Seguela'!V61</f>
        <v>16882755.933896821</v>
      </c>
      <c r="AA115" s="16">
        <f>'DCF Caylloma'!AA99+'DCF Caylloma'!AA100+'DCF Caylloma'!AA101+'DCF San Jose'!AA79+'DCF San Jose'!AA80+'DCF San Jose'!AA81+'DCF Lindero'!AA62+'DCF Lindero'!AA63+'DCF Yaramoko'!AA66+'DCF Yaramoko'!AA67+'DCF Seguela'!W58+'DCF Seguela'!W59+'DCF Seguela'!W60+'DCF Seguela'!W61</f>
        <v>16980880.189708211</v>
      </c>
      <c r="AB115" s="16">
        <f>'DCF Caylloma'!AB99+'DCF Caylloma'!AB100+'DCF Caylloma'!AB101+'DCF San Jose'!AB79+'DCF San Jose'!AB80+'DCF San Jose'!AB81+'DCF Lindero'!AB62+'DCF Lindero'!AB63+'DCF Yaramoko'!AB66+'DCF Yaramoko'!AB67+'DCF Seguela'!X58+'DCF Seguela'!X59+'DCF Seguela'!X60+'DCF Seguela'!X61</f>
        <v>17005600.189708211</v>
      </c>
      <c r="AC115" s="16">
        <f>'DCF Caylloma'!AC99+'DCF Caylloma'!AC100+'DCF Caylloma'!AC101+'DCF San Jose'!AC79+'DCF San Jose'!AC80+'DCF San Jose'!AC81+'DCF Lindero'!AC62+'DCF Lindero'!AC63+'DCF Yaramoko'!AC66+'DCF Yaramoko'!AC67+'DCF Seguela'!Y58+'DCF Seguela'!Y59+'DCF Seguela'!Y60+'DCF Seguela'!Y61</f>
        <v>13586081.494973425</v>
      </c>
      <c r="AD115" s="16">
        <f>'DCF Caylloma'!AD99+'DCF Caylloma'!AD100+'DCF Caylloma'!AD101+'DCF San Jose'!AD79+'DCF San Jose'!AD80+'DCF San Jose'!AD81+'DCF Lindero'!AD62+'DCF Lindero'!AD63+'DCF Yaramoko'!AD66+'DCF Yaramoko'!AD67+'DCF Seguela'!Z58+'DCF Seguela'!Z59+'DCF Seguela'!Z60+'DCF Seguela'!Z61</f>
        <v>12508747.270877983</v>
      </c>
      <c r="AE115" s="16">
        <f>'DCF Caylloma'!AE99+'DCF Caylloma'!AE100+'DCF Caylloma'!AE101+'DCF San Jose'!AE79+'DCF San Jose'!AE80+'DCF San Jose'!AE81+'DCF Lindero'!AE62+'DCF Lindero'!AE63+'DCF Yaramoko'!AE66+'DCF Yaramoko'!AE67+'DCF Seguela'!AA58+'DCF Seguela'!AA59+'DCF Seguela'!AA60+'DCF Seguela'!AA61</f>
        <v>10393158.741129383</v>
      </c>
      <c r="AF115" s="16">
        <f>'DCF Caylloma'!AF99+'DCF Caylloma'!AF100+'DCF Caylloma'!AF101+'DCF San Jose'!AF79+'DCF San Jose'!AF80+'DCF San Jose'!AF81+'DCF Lindero'!AF62+'DCF Lindero'!AF63+'DCF Yaramoko'!AF66+'DCF Yaramoko'!AF67+'DCF Seguela'!AB58+'DCF Seguela'!AB59+'DCF Seguela'!AB60+'DCF Seguela'!AB61</f>
        <v>2740454.5991699761</v>
      </c>
      <c r="AG115" s="16">
        <f>'DCF Caylloma'!AG99+'DCF Caylloma'!AG100+'DCF Caylloma'!AG101+'DCF San Jose'!AG79+'DCF San Jose'!AG80+'DCF San Jose'!AG81+'DCF Lindero'!AG62+'DCF Lindero'!AG63+'DCF Yaramoko'!AG66+'DCF Yaramoko'!AG67+'DCF Seguela'!AC58+'DCF Seguela'!AC59+'DCF Seguela'!AC60+'DCF Seguela'!AC61</f>
        <v>615551.60234520887</v>
      </c>
      <c r="AH115" s="16">
        <f>'DCF Caylloma'!AH99+'DCF Caylloma'!AH100+'DCF Caylloma'!AH101+'DCF San Jose'!AH79+'DCF San Jose'!AH80+'DCF San Jose'!AH81+'DCF Lindero'!AH62+'DCF Lindero'!AH63+'DCF Yaramoko'!AH66+'DCF Yaramoko'!AH67+'DCF Seguela'!AD58+'DCF Seguela'!AD59+'DCF Seguela'!AD60+'DCF Seguela'!AD61</f>
        <v>0</v>
      </c>
      <c r="AI115" s="16">
        <f>'DCF Caylloma'!AI99+'DCF Caylloma'!AI100+'DCF Caylloma'!AI101+'DCF San Jose'!AI79+'DCF San Jose'!AI80+'DCF San Jose'!AI81+'DCF Lindero'!AI62+'DCF Lindero'!AI63+'DCF Yaramoko'!AI66+'DCF Yaramoko'!AI67+'DCF Seguela'!AE58+'DCF Seguela'!AE59+'DCF Seguela'!AE60+'DCF Seguela'!AE61</f>
        <v>0</v>
      </c>
      <c r="AJ115" s="16">
        <f>'DCF Caylloma'!AJ99+'DCF Caylloma'!AJ100+'DCF Caylloma'!AJ101+'DCF San Jose'!AJ79+'DCF San Jose'!AJ80+'DCF San Jose'!AJ81+'DCF Lindero'!AJ62+'DCF Lindero'!AJ63+'DCF Yaramoko'!AJ66+'DCF Yaramoko'!AJ67+'DCF Seguela'!AF58+'DCF Seguela'!AF59+'DCF Seguela'!AF60+'DCF Seguela'!AF61</f>
        <v>0</v>
      </c>
      <c r="AK115" s="16">
        <f>'DCF Caylloma'!AK99+'DCF Caylloma'!AK100+'DCF Caylloma'!AK101+'DCF San Jose'!AK79+'DCF San Jose'!AK80+'DCF San Jose'!AK81+'DCF Lindero'!AK62+'DCF Lindero'!AK63+'DCF Yaramoko'!AK66+'DCF Yaramoko'!AK67+'DCF Seguela'!AG58+'DCF Seguela'!AG59+'DCF Seguela'!AG60+'DCF Seguela'!AG61</f>
        <v>0</v>
      </c>
      <c r="AL115" s="16">
        <f>'DCF Caylloma'!AL99+'DCF Caylloma'!AL100+'DCF Caylloma'!AL101+'DCF San Jose'!AL79+'DCF San Jose'!AL80+'DCF San Jose'!AL81+'DCF Lindero'!AL62+'DCF Lindero'!AL63+'DCF Yaramoko'!AL66+'DCF Yaramoko'!AL67+'DCF Seguela'!AH58+'DCF Seguela'!AH59+'DCF Seguela'!AH60+'DCF Seguela'!AH61</f>
        <v>0</v>
      </c>
      <c r="AM115" s="16">
        <f>'DCF Caylloma'!AM99+'DCF Caylloma'!AM100+'DCF Caylloma'!AM101+'DCF San Jose'!AM79+'DCF San Jose'!AM80+'DCF San Jose'!AM81+'DCF Lindero'!AM62+'DCF Lindero'!AM63+'DCF Yaramoko'!AM66+'DCF Yaramoko'!AM67+'DCF Seguela'!AI58+'DCF Seguela'!AI59+'DCF Seguela'!AI60+'DCF Seguela'!AI61</f>
        <v>0</v>
      </c>
      <c r="AN115" s="16">
        <f>'DCF Caylloma'!AN99+'DCF Caylloma'!AN100+'DCF Caylloma'!AN101+'DCF San Jose'!AN79+'DCF San Jose'!AN80+'DCF San Jose'!AN81+'DCF Lindero'!AN62+'DCF Lindero'!AN63+'DCF Yaramoko'!AN66+'DCF Yaramoko'!AN67+'DCF Seguela'!AJ58+'DCF Seguela'!AJ59+'DCF Seguela'!AJ60+'DCF Seguela'!AJ61</f>
        <v>0</v>
      </c>
      <c r="AO115" s="16">
        <f>'DCF Caylloma'!AO99+'DCF Caylloma'!AO100+'DCF Caylloma'!AO101+'DCF San Jose'!AO79+'DCF San Jose'!AO80+'DCF San Jose'!AO81+'DCF Lindero'!AO62+'DCF Lindero'!AO63+'DCF Yaramoko'!AO66+'DCF Yaramoko'!AO67+'DCF Seguela'!AK58+'DCF Seguela'!AK59+'DCF Seguela'!AK60+'DCF Seguela'!AK61</f>
        <v>0</v>
      </c>
      <c r="AP115" s="16">
        <f>'DCF Caylloma'!AP99+'DCF Caylloma'!AP100+'DCF Caylloma'!AP101+'DCF San Jose'!AP79+'DCF San Jose'!AP80+'DCF San Jose'!AP81+'DCF Lindero'!AP62+'DCF Lindero'!AP63+'DCF Yaramoko'!AP66+'DCF Yaramoko'!AP67+'DCF Seguela'!AL58+'DCF Seguela'!AL59+'DCF Seguela'!AL60+'DCF Seguela'!AL61</f>
        <v>0</v>
      </c>
      <c r="AQ115" s="16">
        <f>'DCF Caylloma'!AQ99+'DCF Caylloma'!AQ100+'DCF Caylloma'!AQ101+'DCF San Jose'!AQ79+'DCF San Jose'!AQ80+'DCF San Jose'!AQ81+'DCF Lindero'!AQ62+'DCF Lindero'!AQ63+'DCF Yaramoko'!AQ66+'DCF Yaramoko'!AQ67+'DCF Seguela'!AM58+'DCF Seguela'!AM59+'DCF Seguela'!AM60+'DCF Seguela'!AM61</f>
        <v>0</v>
      </c>
      <c r="AR115" s="16">
        <f>'DCF Caylloma'!AR99+'DCF Caylloma'!AR100+'DCF Caylloma'!AR101+'DCF San Jose'!AR79+'DCF San Jose'!AR80+'DCF San Jose'!AR81+'DCF Lindero'!AR62+'DCF Lindero'!AR63+'DCF Yaramoko'!AR66+'DCF Yaramoko'!AR67+'DCF Seguela'!AN58+'DCF Seguela'!AN59+'DCF Seguela'!AN60+'DCF Seguela'!AN61</f>
        <v>0</v>
      </c>
      <c r="AS115" s="16">
        <f>'DCF Caylloma'!AS99+'DCF Caylloma'!AS100+'DCF Caylloma'!AS101+'DCF San Jose'!AS79+'DCF San Jose'!AS80+'DCF San Jose'!AS81+'DCF Lindero'!AS62+'DCF Lindero'!AS63+'DCF Yaramoko'!AS66+'DCF Yaramoko'!AS67+'DCF Seguela'!AO58+'DCF Seguela'!AO59+'DCF Seguela'!AO60+'DCF Seguela'!AO61</f>
        <v>0</v>
      </c>
      <c r="AT115" s="16">
        <f>'DCF Caylloma'!AT99+'DCF Caylloma'!AT100+'DCF Caylloma'!AT101+'DCF San Jose'!AT79+'DCF San Jose'!AT80+'DCF San Jose'!AT81+'DCF Lindero'!AT62+'DCF Lindero'!AT63+'DCF Yaramoko'!AT66+'DCF Yaramoko'!AT67+'DCF Seguela'!AP58+'DCF Seguela'!AP59+'DCF Seguela'!AP60+'DCF Seguela'!AP61</f>
        <v>0</v>
      </c>
      <c r="AU115" s="16">
        <f>'DCF Caylloma'!AU99+'DCF Caylloma'!AU100+'DCF Caylloma'!AU101+'DCF San Jose'!AU79+'DCF San Jose'!AU80+'DCF San Jose'!AU81+'DCF Lindero'!AU62+'DCF Lindero'!AU63+'DCF Yaramoko'!AU66+'DCF Yaramoko'!AU67+'DCF Seguela'!AQ58+'DCF Seguela'!AQ59+'DCF Seguela'!AQ60+'DCF Seguela'!AQ61</f>
        <v>0</v>
      </c>
      <c r="AV115" s="16">
        <f>'DCF Caylloma'!AV99+'DCF Caylloma'!AV100+'DCF Caylloma'!AV101+'DCF San Jose'!AV79+'DCF San Jose'!AV80+'DCF San Jose'!AV81+'DCF Lindero'!AV62+'DCF Lindero'!AV63+'DCF Yaramoko'!AV66+'DCF Yaramoko'!AV67+'DCF Seguela'!AR58+'DCF Seguela'!AR59+'DCF Seguela'!AR60+'DCF Seguela'!AR61</f>
        <v>0</v>
      </c>
      <c r="AW115" s="16">
        <f>'DCF Caylloma'!AW99+'DCF Caylloma'!AW100+'DCF Caylloma'!AW101+'DCF San Jose'!AW79+'DCF San Jose'!AW80+'DCF San Jose'!AW81+'DCF Lindero'!AW62+'DCF Lindero'!AW63+'DCF Yaramoko'!AW66+'DCF Yaramoko'!AW67+'DCF Seguela'!AS58+'DCF Seguela'!AS59+'DCF Seguela'!AS60+'DCF Seguela'!AS61</f>
        <v>0</v>
      </c>
      <c r="AX115" s="13"/>
    </row>
    <row r="116" spans="2:50" x14ac:dyDescent="0.25">
      <c r="B116" t="s">
        <v>140</v>
      </c>
      <c r="C116" t="s">
        <v>93</v>
      </c>
      <c r="E116" s="6">
        <f>'DCF Caylloma'!E105+'DCF San Jose'!E85</f>
        <v>8801000</v>
      </c>
      <c r="F116" s="6">
        <f>'DCF Caylloma'!F105+'DCF San Jose'!F85</f>
        <v>7274000</v>
      </c>
      <c r="G116" s="6">
        <f>'DCF Caylloma'!G105+'DCF San Jose'!G85</f>
        <v>7335000</v>
      </c>
      <c r="H116" s="6">
        <f>'DCF Caylloma'!H105+'DCF San Jose'!H85</f>
        <v>9236000</v>
      </c>
      <c r="I116" s="6">
        <f>'DCF Caylloma'!I105+'DCF San Jose'!I85</f>
        <v>9390000</v>
      </c>
      <c r="J116" s="6">
        <f>'DCF Caylloma'!J105+'DCF San Jose'!J85</f>
        <v>1614000</v>
      </c>
      <c r="K116" s="15">
        <f t="shared" si="103"/>
        <v>21453645.769179944</v>
      </c>
      <c r="L116" s="16">
        <f>'DCF Caylloma'!L105+'DCF San Jose'!L85</f>
        <v>1551318.2085199945</v>
      </c>
      <c r="M116" s="16">
        <f>'DCF Caylloma'!M105+'DCF San Jose'!M85</f>
        <v>1195828.1384850109</v>
      </c>
      <c r="N116" s="16">
        <f>'DCF Caylloma'!N105+'DCF San Jose'!N85</f>
        <v>1127577.3801126834</v>
      </c>
      <c r="O116" s="16">
        <f>'DCF Caylloma'!O105+'DCF San Jose'!O85</f>
        <v>1328062.4084938229</v>
      </c>
      <c r="P116" s="16">
        <f>'DCF Caylloma'!P105+'DCF San Jose'!P85</f>
        <v>4798999.0368289398</v>
      </c>
      <c r="Q116" s="16">
        <f>'DCF Caylloma'!Q105+'DCF San Jose'!Q85</f>
        <v>6271666.8669808162</v>
      </c>
      <c r="R116" s="16">
        <f>'DCF Caylloma'!R105+'DCF San Jose'!R85</f>
        <v>65395.897145608105</v>
      </c>
      <c r="S116" s="16">
        <f>'DCF Caylloma'!S105+'DCF San Jose'!S85</f>
        <v>65395.897145608105</v>
      </c>
      <c r="T116" s="16">
        <f>'DCF Caylloma'!T105+'DCF San Jose'!T85</f>
        <v>49883.553025310823</v>
      </c>
      <c r="U116" s="16">
        <f>'DCF Caylloma'!U105+'DCF San Jose'!U85</f>
        <v>0</v>
      </c>
      <c r="V116" s="16">
        <f>'DCF Caylloma'!V105+'DCF San Jose'!V85</f>
        <v>0</v>
      </c>
      <c r="W116" s="16">
        <f>'DCF Caylloma'!W105+'DCF San Jose'!W85</f>
        <v>0</v>
      </c>
      <c r="X116" s="16">
        <f>'DCF Caylloma'!X105+'DCF San Jose'!X85</f>
        <v>0</v>
      </c>
      <c r="Y116" s="16">
        <f>'DCF Caylloma'!Y105+'DCF San Jose'!Y85</f>
        <v>0</v>
      </c>
      <c r="Z116" s="16">
        <f>'DCF Caylloma'!Z105+'DCF San Jose'!Z85</f>
        <v>433884.06153832318</v>
      </c>
      <c r="AA116" s="16">
        <f>'DCF Caylloma'!AA105+'DCF San Jose'!AA85</f>
        <v>571403.38894213585</v>
      </c>
      <c r="AB116" s="16">
        <f>'DCF Caylloma'!AB105+'DCF San Jose'!AB85</f>
        <v>651825.78894213587</v>
      </c>
      <c r="AC116" s="16">
        <f>'DCF Caylloma'!AC105+'DCF San Jose'!AC85</f>
        <v>761922.14460202341</v>
      </c>
      <c r="AD116" s="16">
        <f>'DCF Caylloma'!AD105+'DCF San Jose'!AD85</f>
        <v>756480.99947251147</v>
      </c>
      <c r="AE116" s="16">
        <f>'DCF Caylloma'!AE105+'DCF San Jose'!AE85</f>
        <v>834240.99947251147</v>
      </c>
      <c r="AF116" s="16">
        <f>'DCF Caylloma'!AF105+'DCF San Jose'!AF85</f>
        <v>989760.99947251147</v>
      </c>
      <c r="AG116" s="16">
        <f>'DCF Caylloma'!AG105+'DCF San Jose'!AG85</f>
        <v>0</v>
      </c>
      <c r="AH116" s="16">
        <f>'DCF Caylloma'!AH105+'DCF San Jose'!AH85</f>
        <v>0</v>
      </c>
      <c r="AI116" s="16">
        <f>'DCF Caylloma'!AI105+'DCF San Jose'!AI85</f>
        <v>0</v>
      </c>
      <c r="AJ116" s="16">
        <f>'DCF Caylloma'!AJ105+'DCF San Jose'!AJ85</f>
        <v>0</v>
      </c>
      <c r="AK116" s="16">
        <f>'DCF Caylloma'!AK105+'DCF San Jose'!AK85</f>
        <v>0</v>
      </c>
      <c r="AL116" s="16">
        <f>'DCF Caylloma'!AL105+'DCF San Jose'!AL85</f>
        <v>0</v>
      </c>
      <c r="AM116" s="16">
        <f>'DCF Caylloma'!AM105+'DCF San Jose'!AM85</f>
        <v>0</v>
      </c>
      <c r="AN116" s="16">
        <f>'DCF Caylloma'!AN105+'DCF San Jose'!AN85</f>
        <v>0</v>
      </c>
      <c r="AO116" s="16">
        <f>'DCF Caylloma'!AO105+'DCF San Jose'!AO85</f>
        <v>0</v>
      </c>
      <c r="AP116" s="16">
        <f>'DCF Caylloma'!AP105+'DCF San Jose'!AP85</f>
        <v>0</v>
      </c>
      <c r="AQ116" s="16">
        <f>'DCF Caylloma'!AQ105+'DCF San Jose'!AQ85</f>
        <v>0</v>
      </c>
      <c r="AR116" s="16">
        <f>'DCF Caylloma'!AR105+'DCF San Jose'!AR85</f>
        <v>0</v>
      </c>
      <c r="AS116" s="16">
        <f>'DCF Caylloma'!AS105+'DCF San Jose'!AS85</f>
        <v>0</v>
      </c>
      <c r="AT116" s="16">
        <f>'DCF Caylloma'!AT105+'DCF San Jose'!AT85</f>
        <v>0</v>
      </c>
      <c r="AU116" s="16">
        <f>'DCF Caylloma'!AU105+'DCF San Jose'!AU85</f>
        <v>0</v>
      </c>
      <c r="AV116" s="16">
        <f>'DCF Caylloma'!AV105+'DCF San Jose'!AV85</f>
        <v>0</v>
      </c>
      <c r="AW116" s="16">
        <f>'DCF Caylloma'!AW105+'DCF San Jose'!AW85</f>
        <v>0</v>
      </c>
      <c r="AX116" s="13"/>
    </row>
    <row r="117" spans="2:50" x14ac:dyDescent="0.25">
      <c r="B117" t="s">
        <v>148</v>
      </c>
      <c r="C117" t="s">
        <v>93</v>
      </c>
      <c r="E117" s="6">
        <v>104951000</v>
      </c>
      <c r="F117" s="6">
        <v>67340000</v>
      </c>
      <c r="G117" s="6">
        <v>43971000</v>
      </c>
      <c r="H117" s="6">
        <v>58955000</v>
      </c>
      <c r="I117" s="6">
        <v>107180000</v>
      </c>
      <c r="J117" s="6">
        <v>33755000</v>
      </c>
      <c r="K117" s="15">
        <f t="shared" si="103"/>
        <v>1136941195.3166749</v>
      </c>
      <c r="L117" s="16">
        <f>L111-SUM(L115:L116)</f>
        <v>39453605.800857067</v>
      </c>
      <c r="M117" s="16">
        <f t="shared" ref="M117:AW117" si="104">M111-SUM(M115:M116)</f>
        <v>34297814.273890026</v>
      </c>
      <c r="N117" s="16">
        <f t="shared" si="104"/>
        <v>26884457.204306655</v>
      </c>
      <c r="O117" s="16">
        <f t="shared" si="104"/>
        <v>24389862.296095505</v>
      </c>
      <c r="P117" s="16">
        <f t="shared" si="104"/>
        <v>100125460.70398372</v>
      </c>
      <c r="Q117" s="16">
        <f t="shared" si="104"/>
        <v>198465881.50559404</v>
      </c>
      <c r="R117" s="16">
        <f t="shared" si="104"/>
        <v>124303959.00393499</v>
      </c>
      <c r="S117" s="16">
        <f t="shared" si="104"/>
        <v>35601811.638075545</v>
      </c>
      <c r="T117" s="16">
        <f t="shared" si="104"/>
        <v>86129462.927897781</v>
      </c>
      <c r="U117" s="16">
        <f t="shared" si="104"/>
        <v>125747862.80365792</v>
      </c>
      <c r="V117" s="16">
        <f t="shared" si="104"/>
        <v>130869686.00889419</v>
      </c>
      <c r="W117" s="16">
        <f t="shared" si="104"/>
        <v>53937322.394675665</v>
      </c>
      <c r="X117" s="16">
        <f t="shared" si="104"/>
        <v>57473761.795434013</v>
      </c>
      <c r="Y117" s="16">
        <f t="shared" si="104"/>
        <v>22595243.1078927</v>
      </c>
      <c r="Z117" s="16">
        <f t="shared" si="104"/>
        <v>23344289.073456768</v>
      </c>
      <c r="AA117" s="16">
        <f t="shared" si="104"/>
        <v>26116158.178916253</v>
      </c>
      <c r="AB117" s="16">
        <f t="shared" si="104"/>
        <v>28341015.778916255</v>
      </c>
      <c r="AC117" s="16">
        <f t="shared" si="104"/>
        <v>4168985.4863513745</v>
      </c>
      <c r="AD117" s="16">
        <f t="shared" si="104"/>
        <v>-2475765.065806279</v>
      </c>
      <c r="AE117" s="16">
        <f t="shared" si="104"/>
        <v>-548473.13501366787</v>
      </c>
      <c r="AF117" s="16">
        <f t="shared" si="104"/>
        <v>5824998.6049117856</v>
      </c>
      <c r="AG117" s="16">
        <f t="shared" si="104"/>
        <v>-8106205.0702475635</v>
      </c>
      <c r="AH117" s="16">
        <f t="shared" si="104"/>
        <v>0</v>
      </c>
      <c r="AI117" s="16">
        <f t="shared" si="104"/>
        <v>0</v>
      </c>
      <c r="AJ117" s="16">
        <f t="shared" si="104"/>
        <v>0</v>
      </c>
      <c r="AK117" s="16">
        <f t="shared" si="104"/>
        <v>0</v>
      </c>
      <c r="AL117" s="16">
        <f t="shared" si="104"/>
        <v>0</v>
      </c>
      <c r="AM117" s="16">
        <f t="shared" si="104"/>
        <v>0</v>
      </c>
      <c r="AN117" s="16">
        <f t="shared" si="104"/>
        <v>0</v>
      </c>
      <c r="AO117" s="16">
        <f t="shared" si="104"/>
        <v>0</v>
      </c>
      <c r="AP117" s="16">
        <f t="shared" si="104"/>
        <v>0</v>
      </c>
      <c r="AQ117" s="16">
        <f t="shared" si="104"/>
        <v>0</v>
      </c>
      <c r="AR117" s="16">
        <f t="shared" si="104"/>
        <v>0</v>
      </c>
      <c r="AS117" s="16">
        <f t="shared" si="104"/>
        <v>0</v>
      </c>
      <c r="AT117" s="16">
        <f t="shared" si="104"/>
        <v>0</v>
      </c>
      <c r="AU117" s="16">
        <f t="shared" si="104"/>
        <v>0</v>
      </c>
      <c r="AV117" s="16">
        <f t="shared" si="104"/>
        <v>0</v>
      </c>
      <c r="AW117" s="16">
        <f t="shared" si="104"/>
        <v>0</v>
      </c>
      <c r="AX117" s="13"/>
    </row>
    <row r="118" spans="2:50" x14ac:dyDescent="0.25">
      <c r="B118" t="s">
        <v>149</v>
      </c>
      <c r="C118" t="s">
        <v>70</v>
      </c>
      <c r="E118" s="18">
        <f>(E117-E120)/E117</f>
        <v>0.36822898304923252</v>
      </c>
      <c r="F118" s="18">
        <f t="shared" ref="F118:J118" si="105">(F117-F120)/F117</f>
        <v>0.49524799524799523</v>
      </c>
      <c r="G118" s="18">
        <f t="shared" si="105"/>
        <v>0.45882513474790204</v>
      </c>
      <c r="H118" s="18">
        <f t="shared" si="105"/>
        <v>0.63441608006106354</v>
      </c>
      <c r="I118" s="18">
        <f t="shared" si="105"/>
        <v>0.44580145549542827</v>
      </c>
      <c r="J118" s="18">
        <f t="shared" si="105"/>
        <v>0.20082950673974226</v>
      </c>
      <c r="K118" s="29">
        <f t="shared" ref="K118" si="106">AVERAGEIF(L118:AW118,"&gt;0")</f>
        <v>0.30349032902745804</v>
      </c>
      <c r="L118" s="28">
        <f>IF(AND('DCF Caylloma'!L104&lt;=0,'DCF San Jose'!L84&lt;=0,'DCF Lindero'!L66&lt;=0,'DCF Yaramoko'!L70&lt;=0,'DCF Seguela'!H64&lt;=0),0,IF(AND('DCF Caylloma'!L104&gt;=0,'DCF San Jose'!L84&gt;=0,'DCF Lindero'!L66&gt;=0,'DCF Yaramoko'!L70&gt;=0,'DCF Seguela'!H64&gt;=0),('DCF Seguela'!H64*'DCF Seguela'!H65+'DCF Yaramoko'!L70*'DCF Yaramoko'!L71+'DCF Lindero'!L66*'DCF Lindero'!L67+'DCF San Jose'!L84*'DCF San Jose'!L86+'DCF Caylloma'!L104*'DCF Caylloma'!L106)/('DCF Caylloma'!L104+'DCF San Jose'!L84+'DCF Lindero'!L66+'DCF Yaramoko'!L70+'DCF Seguela'!H64),IF(AND('DCF Caylloma'!L104&gt;=0,'DCF San Jose'!L84&gt;=0,'DCF Lindero'!L66&gt;=0,'DCF Yaramoko'!L70&gt;=0),('DCF Yaramoko'!L70*'DCF Yaramoko'!L71+'DCF Lindero'!L66*'DCF Lindero'!L67+'DCF San Jose'!L84*'DCF San Jose'!L86+'DCF Caylloma'!L104*'DCF Caylloma'!L106)/('DCF Caylloma'!L104+'DCF San Jose'!L84+'DCF Lindero'!L66+'DCF Yaramoko'!L70),IF(AND('DCF Caylloma'!L104&gt;=0,'DCF San Jose'!L84&gt;=0,'DCF Lindero'!L66&gt;=0,'DCF Seguela'!H64&gt;=0),('DCF Seguela'!H64*'DCF Seguela'!H65+'DCF Lindero'!L66*'DCF Lindero'!L67+'DCF San Jose'!L84*'DCF San Jose'!L86+'DCF Caylloma'!L104*'DCF Caylloma'!L106)/('DCF Caylloma'!L104+'DCF San Jose'!L84+'DCF Lindero'!L66+'DCF Seguela'!H64),IF(AND('DCF Seguela'!H64&gt;=0,'DCF Yaramoko'!L70&gt;=0,'DCF San Jose'!L84&gt;=0,'DCF Caylloma'!L104&gt;=0),('DCF Caylloma'!L104*'DCF Caylloma'!L106+'DCF San Jose'!L84*'DCF San Jose'!L86+'DCF Yaramoko'!L70*'DCF Yaramoko'!L71+'DCF Seguela'!H64*'DCF Seguela'!H65)/('DCF Seguela'!H64+'DCF Yaramoko'!L70+'DCF San Jose'!L84+'DCF Caylloma'!L104),IF(AND('DCF Caylloma'!L104&gt;=0,'DCF Lindero'!L66&gt;=0,'DCF Yaramoko'!L70&gt;=0,'DCF Seguela'!H64&gt;=0),('DCF Seguela'!H64*'DCF Seguela'!H65+'DCF Yaramoko'!L70*'DCF Yaramoko'!L71+'DCF Lindero'!L66*'DCF Lindero'!L67+'DCF Caylloma'!L104*'DCF Caylloma'!L106)/('DCF Caylloma'!L104+'DCF Lindero'!L66+'DCF Yaramoko'!L70+'DCF Seguela'!H64),IF(AND('DCF Seguela'!H64&gt;=0,'DCF Yaramoko'!L70&gt;=0,'DCF Lindero'!L66&gt;=0,'DCF San Jose'!L84&gt;=0),('DCF San Jose'!L84*'DCF San Jose'!L86+'DCF Lindero'!L66*'DCF Lindero'!L67+'DCF Yaramoko'!L70*'DCF Yaramoko'!L71+'DCF Seguela'!H64*'DCF Seguela'!H65)/('DCF Seguela'!H64+'DCF Yaramoko'!L70+'DCF Lindero'!L66+'DCF San Jose'!L84),IF(AND('DCF Lindero'!L66&gt;=0,'DCF Yaramoko'!L70&gt;=0,'DCF Seguela'!H64&gt;=0),('DCF Seguela'!H64*'DCF Seguela'!H65+'DCF Yaramoko'!L70*'DCF Yaramoko'!L71+'DCF Lindero'!L66*'DCF Lindero'!L67)/('DCF Lindero'!L66+'DCF Yaramoko'!L70+'DCF Seguela'!H64),IF(AND('DCF San Jose'!L84&gt;=0,'DCF Yaramoko'!L70&gt;=0,'DCF Seguela'!H64&gt;=0),('DCF Seguela'!H64*'DCF Seguela'!H65+'DCF Yaramoko'!L70*'DCF Yaramoko'!L71+'DCF San Jose'!L84*'DCF San Jose'!L86)/('DCF San Jose'!L84+'DCF Yaramoko'!L70+'DCF Seguela'!H64),IF(AND('DCF San Jose'!L84&gt;=0,'DCF Lindero'!L66&gt;=0,'DCF Seguela'!H64&gt;=0),('DCF Seguela'!H64*'DCF Seguela'!H65+'DCF Lindero'!L66*'DCF Lindero'!L67+'DCF San Jose'!L84*'DCF San Jose'!L86)/('DCF San Jose'!L84+'DCF Lindero'!L66+'DCF Seguela'!H64),IF(AND('DCF Yaramoko'!L70&gt;=0,'DCF Lindero'!L66&gt;=0,'DCF San Jose'!L84&gt;=0),('DCF San Jose'!L84*'DCF San Jose'!L86+'DCF Lindero'!L66*'DCF Lindero'!L67+'DCF Yaramoko'!L70*'DCF Yaramoko'!L71)/('DCF Yaramoko'!L70+'DCF Lindero'!L66+'DCF San Jose'!L84),IF(AND('DCF Caylloma'!L104&gt;=0,'DCF Yaramoko'!L70&gt;=0,'DCF Seguela'!H64&gt;=0),('DCF Seguela'!H64*'DCF Seguela'!H65+'DCF Yaramoko'!L70*'DCF Yaramoko'!L71+'DCF Caylloma'!L104*'DCF Caylloma'!L106)/('DCF Caylloma'!L104+'DCF Yaramoko'!L70+'DCF Seguela'!H64),IF(AND('DCF Caylloma'!L104&gt;=0,'DCF Lindero'!L66&gt;=0,'DCF Seguela'!H64&gt;=0),('DCF Seguela'!H64*'DCF Seguela'!H65+'DCF Lindero'!L66*'DCF Lindero'!L67+'DCF Caylloma'!L104*'DCF Caylloma'!L106)/('DCF Caylloma'!L104+'DCF Lindero'!L66+'DCF Seguela'!H64),IF(AND('DCF Caylloma'!L104&gt;=0,'DCF Lindero'!L66&gt;=0,'DCF Yaramoko'!L70&gt;=0),('DCF Yaramoko'!L70*'DCF Yaramoko'!L71+'DCF Lindero'!L66*'DCF Lindero'!L67+'DCF Caylloma'!L104*'DCF Caylloma'!L106)/('DCF Caylloma'!L104+'DCF Lindero'!L66+'DCF Yaramoko'!L70),IF(AND('DCF Seguela'!H64&gt;=0,'DCF San Jose'!L84&gt;=0,'DCF Caylloma'!L104&gt;=0),('DCF Caylloma'!L104*'DCF Caylloma'!L106+'DCF San Jose'!L84*'DCF San Jose'!L86+'DCF Seguela'!H64*'DCF Seguela'!H65)/('DCF Seguela'!H64+'DCF San Jose'!L84+'DCF Caylloma'!L104),IF(AND('DCF Caylloma'!L104&gt;=0,'DCF San Jose'!L84&gt;=0,'DCF Yaramoko'!L70&gt;=0),('DCF Yaramoko'!L70*'DCF Yaramoko'!L71+'DCF San Jose'!L84*'DCF San Jose'!L86+'DCF Caylloma'!L104*'DCF Caylloma'!L106)/('DCF Caylloma'!L104+'DCF San Jose'!L84+'DCF Yaramoko'!L70),IF(AND('DCF Lindero'!L66&gt;=0,'DCF San Jose'!L84&gt;=0,'DCF Caylloma'!L104&gt;=0),('DCF Caylloma'!L104*'DCF Caylloma'!L106+'DCF San Jose'!L84*'DCF San Jose'!L86+'DCF Lindero'!L66*'DCF Lindero'!L67)/('DCF Lindero'!L66+'DCF San Jose'!L84+'DCF Caylloma'!L104),IF(AND('DCF Seguela'!H64&gt;=0,'DCF Yaramoko'!L70&gt;=0),('DCF Yaramoko'!L70*'DCF Yaramoko'!L71+'DCF Seguela'!H64*'DCF Seguela'!H65)/('DCF Seguela'!H64+'DCF Yaramoko'!L70),IF(AND('DCF Yaramoko'!L70&gt;=0,'DCF Lindero'!L66&gt;=0),('DCF Lindero'!L66*'DCF Lindero'!L67+'DCF Yaramoko'!L70*'DCF Yaramoko'!L71)/('DCF Yaramoko'!L70+'DCF Lindero'!L66),IF(AND('DCF Yaramoko'!L70&gt;=0,'DCF San Jose'!L84&gt;=0),('DCF San Jose'!L84*'DCF San Jose'!L86+'DCF Yaramoko'!L70*'DCF Yaramoko'!L71)/('DCF Yaramoko'!L70+'DCF San Jose'!L84),IF(AND('DCF Yaramoko'!L70&gt;=0,'DCF Caylloma'!L104&gt;=0),('DCF Caylloma'!L104*'DCF Caylloma'!L106+'DCF Yaramoko'!L70*'DCF Yaramoko'!L71)/('DCF Yaramoko'!L70+'DCF Caylloma'!L104),IF(AND('DCF Caylloma'!L104&gt;=0,'DCF San Jose'!L84&gt;=0),('DCF San Jose'!L84*'DCF San Jose'!L86+'DCF Caylloma'!L104*'DCF Caylloma'!L106)/('DCF Caylloma'!L104+'DCF San Jose'!L84),IF(AND('DCF Caylloma'!L104&gt;=0,'DCF Lindero'!L66&gt;=0),('DCF Lindero'!L66*'DCF Lindero'!L67+'DCF Caylloma'!L104*'DCF Caylloma'!L106)/('DCF Caylloma'!L104+'DCF Lindero'!L66),IF(AND('DCF Caylloma'!L104&gt;=0,'DCF Seguela'!H64&gt;=0),('DCF Seguela'!H64*'DCF Seguela'!H65+'DCF Caylloma'!L104*'DCF Caylloma'!L106)/('DCF Caylloma'!L104+'DCF Seguela'!H64),IF(AND('DCF San Jose'!L84&gt;=0,'DCF Lindero'!L66&gt;=0),('DCF Lindero'!L66*'DCF Lindero'!L67+'DCF San Jose'!L84*'DCF San Jose'!L86)/('DCF San Jose'!L84+'DCF Lindero'!L66),IF(AND('DCF San Jose'!L84&gt;=0,'DCF Seguela'!H64&gt;=0),('DCF Seguela'!H64*'DCF Seguela'!H65+'DCF San Jose'!L84*'DCF San Jose'!L86)/('DCF San Jose'!L84+'DCF Seguela'!H64),IF(AND('DCF Lindero'!L66&gt;=0,'DCF Seguela'!H64&gt;=0),('DCF Seguela'!H64*'DCF Seguela'!H65+'DCF Lindero'!L66*'DCF Lindero'!L67)/('DCF Lindero'!L66+'DCF Seguela'!H64),IF('DCF Seguela'!H64&gt;=0,'DCF Seguela'!H65,IF('DCF Yaramoko'!K70&gt;=0,'DCF Yaramoko'!K71,IF('DCF Lindero'!L66&gt;=0,'DCF Lindero'!L67,IF('DCF San Jose'!L84&gt;=0,'DCF San Jose'!L86,IF('DCF Caylloma'!L104&gt;=0,'DCF Caylloma'!L106,0))))))))))))))))))))))))))))))))</f>
        <v>0.31445667333651622</v>
      </c>
      <c r="M118" s="28">
        <f>IF(AND('DCF Caylloma'!M104&lt;=0,'DCF San Jose'!M84&lt;=0,'DCF Lindero'!M66&lt;=0,'DCF Yaramoko'!M70&lt;=0,'DCF Seguela'!I64&lt;=0),0,IF(AND('DCF Caylloma'!M104&gt;=0,'DCF San Jose'!M84&gt;=0,'DCF Lindero'!M66&gt;=0,'DCF Yaramoko'!M70&gt;=0,'DCF Seguela'!I64&gt;=0),('DCF Seguela'!I64*'DCF Seguela'!I65+'DCF Yaramoko'!M70*'DCF Yaramoko'!M71+'DCF Lindero'!M66*'DCF Lindero'!M67+'DCF San Jose'!M84*'DCF San Jose'!M86+'DCF Caylloma'!M104*'DCF Caylloma'!M106)/('DCF Caylloma'!M104+'DCF San Jose'!M84+'DCF Lindero'!M66+'DCF Yaramoko'!M70+'DCF Seguela'!I64),IF(AND('DCF Caylloma'!M104&gt;=0,'DCF San Jose'!M84&gt;=0,'DCF Lindero'!M66&gt;=0,'DCF Yaramoko'!M70&gt;=0),('DCF Yaramoko'!M70*'DCF Yaramoko'!M71+'DCF Lindero'!M66*'DCF Lindero'!M67+'DCF San Jose'!M84*'DCF San Jose'!M86+'DCF Caylloma'!M104*'DCF Caylloma'!M106)/('DCF Caylloma'!M104+'DCF San Jose'!M84+'DCF Lindero'!M66+'DCF Yaramoko'!M70),IF(AND('DCF Caylloma'!M104&gt;=0,'DCF San Jose'!M84&gt;=0,'DCF Lindero'!M66&gt;=0,'DCF Seguela'!I64&gt;=0),('DCF Seguela'!I64*'DCF Seguela'!I65+'DCF Lindero'!M66*'DCF Lindero'!M67+'DCF San Jose'!M84*'DCF San Jose'!M86+'DCF Caylloma'!M104*'DCF Caylloma'!M106)/('DCF Caylloma'!M104+'DCF San Jose'!M84+'DCF Lindero'!M66+'DCF Seguela'!I64),IF(AND('DCF Seguela'!I64&gt;=0,'DCF Yaramoko'!M70&gt;=0,'DCF San Jose'!M84&gt;=0,'DCF Caylloma'!M104&gt;=0),('DCF Caylloma'!M104*'DCF Caylloma'!M106+'DCF San Jose'!M84*'DCF San Jose'!M86+'DCF Yaramoko'!M70*'DCF Yaramoko'!M71+'DCF Seguela'!I64*'DCF Seguela'!I65)/('DCF Seguela'!I64+'DCF Yaramoko'!M70+'DCF San Jose'!M84+'DCF Caylloma'!M104),IF(AND('DCF Caylloma'!M104&gt;=0,'DCF Lindero'!M66&gt;=0,'DCF Yaramoko'!M70&gt;=0,'DCF Seguela'!I64&gt;=0),('DCF Seguela'!I64*'DCF Seguela'!I65+'DCF Yaramoko'!M70*'DCF Yaramoko'!M71+'DCF Lindero'!M66*'DCF Lindero'!M67+'DCF Caylloma'!M104*'DCF Caylloma'!M106)/('DCF Caylloma'!M104+'DCF Lindero'!M66+'DCF Yaramoko'!M70+'DCF Seguela'!I64),IF(AND('DCF Seguela'!I64&gt;=0,'DCF Yaramoko'!M70&gt;=0,'DCF Lindero'!M66&gt;=0,'DCF San Jose'!M84&gt;=0),('DCF San Jose'!M84*'DCF San Jose'!M86+'DCF Lindero'!M66*'DCF Lindero'!M67+'DCF Yaramoko'!M70*'DCF Yaramoko'!M71+'DCF Seguela'!I64*'DCF Seguela'!I65)/('DCF Seguela'!I64+'DCF Yaramoko'!M70+'DCF Lindero'!M66+'DCF San Jose'!M84),IF(AND('DCF Lindero'!M66&gt;=0,'DCF Yaramoko'!M70&gt;=0,'DCF Seguela'!I64&gt;=0),('DCF Seguela'!I64*'DCF Seguela'!I65+'DCF Yaramoko'!M70*'DCF Yaramoko'!M71+'DCF Lindero'!M66*'DCF Lindero'!M67)/('DCF Lindero'!M66+'DCF Yaramoko'!M70+'DCF Seguela'!I64),IF(AND('DCF San Jose'!M84&gt;=0,'DCF Yaramoko'!M70&gt;=0,'DCF Seguela'!I64&gt;=0),('DCF Seguela'!I64*'DCF Seguela'!I65+'DCF Yaramoko'!M70*'DCF Yaramoko'!M71+'DCF San Jose'!M84*'DCF San Jose'!M86)/('DCF San Jose'!M84+'DCF Yaramoko'!M70+'DCF Seguela'!I64),IF(AND('DCF San Jose'!M84&gt;=0,'DCF Lindero'!M66&gt;=0,'DCF Seguela'!I64&gt;=0),('DCF Seguela'!I64*'DCF Seguela'!I65+'DCF Lindero'!M66*'DCF Lindero'!M67+'DCF San Jose'!M84*'DCF San Jose'!M86)/('DCF San Jose'!M84+'DCF Lindero'!M66+'DCF Seguela'!I64),IF(AND('DCF Yaramoko'!M70&gt;=0,'DCF Lindero'!M66&gt;=0,'DCF San Jose'!M84&gt;=0),('DCF San Jose'!M84*'DCF San Jose'!M86+'DCF Lindero'!M66*'DCF Lindero'!M67+'DCF Yaramoko'!M70*'DCF Yaramoko'!M71)/('DCF Yaramoko'!M70+'DCF Lindero'!M66+'DCF San Jose'!M84),IF(AND('DCF Caylloma'!M104&gt;=0,'DCF Yaramoko'!M70&gt;=0,'DCF Seguela'!I64&gt;=0),('DCF Seguela'!I64*'DCF Seguela'!I65+'DCF Yaramoko'!M70*'DCF Yaramoko'!M71+'DCF Caylloma'!M104*'DCF Caylloma'!M106)/('DCF Caylloma'!M104+'DCF Yaramoko'!M70+'DCF Seguela'!I64),IF(AND('DCF Caylloma'!M104&gt;=0,'DCF Lindero'!M66&gt;=0,'DCF Seguela'!I64&gt;=0),('DCF Seguela'!I64*'DCF Seguela'!I65+'DCF Lindero'!M66*'DCF Lindero'!M67+'DCF Caylloma'!M104*'DCF Caylloma'!M106)/('DCF Caylloma'!M104+'DCF Lindero'!M66+'DCF Seguela'!I64),IF(AND('DCF Caylloma'!M104&gt;=0,'DCF Lindero'!M66&gt;=0,'DCF Yaramoko'!M70&gt;=0),('DCF Yaramoko'!M70*'DCF Yaramoko'!M71+'DCF Lindero'!M66*'DCF Lindero'!M67+'DCF Caylloma'!M104*'DCF Caylloma'!M106)/('DCF Caylloma'!M104+'DCF Lindero'!M66+'DCF Yaramoko'!M70),IF(AND('DCF Seguela'!I64&gt;=0,'DCF San Jose'!M84&gt;=0,'DCF Caylloma'!M104&gt;=0),('DCF Caylloma'!M104*'DCF Caylloma'!M106+'DCF San Jose'!M84*'DCF San Jose'!M86+'DCF Seguela'!I64*'DCF Seguela'!I65)/('DCF Seguela'!I64+'DCF San Jose'!M84+'DCF Caylloma'!M104),IF(AND('DCF Caylloma'!M104&gt;=0,'DCF San Jose'!M84&gt;=0,'DCF Yaramoko'!M70&gt;=0),('DCF Yaramoko'!M70*'DCF Yaramoko'!M71+'DCF San Jose'!M84*'DCF San Jose'!M86+'DCF Caylloma'!M104*'DCF Caylloma'!M106)/('DCF Caylloma'!M104+'DCF San Jose'!M84+'DCF Yaramoko'!M70),IF(AND('DCF Lindero'!M66&gt;=0,'DCF San Jose'!M84&gt;=0,'DCF Caylloma'!M104&gt;=0),('DCF Caylloma'!M104*'DCF Caylloma'!M106+'DCF San Jose'!M84*'DCF San Jose'!M86+'DCF Lindero'!M66*'DCF Lindero'!M67)/('DCF Lindero'!M66+'DCF San Jose'!M84+'DCF Caylloma'!M104),IF(AND('DCF Seguela'!I64&gt;=0,'DCF Yaramoko'!M70&gt;=0),('DCF Yaramoko'!M70*'DCF Yaramoko'!M71+'DCF Seguela'!I64*'DCF Seguela'!I65)/('DCF Seguela'!I64+'DCF Yaramoko'!M70),IF(AND('DCF Yaramoko'!M70&gt;=0,'DCF Lindero'!M66&gt;=0),('DCF Lindero'!M66*'DCF Lindero'!M67+'DCF Yaramoko'!M70*'DCF Yaramoko'!M71)/('DCF Yaramoko'!M70+'DCF Lindero'!M66),IF(AND('DCF Yaramoko'!M70&gt;=0,'DCF San Jose'!M84&gt;=0),('DCF San Jose'!M84*'DCF San Jose'!M86+'DCF Yaramoko'!M70*'DCF Yaramoko'!M71)/('DCF Yaramoko'!M70+'DCF San Jose'!M84),IF(AND('DCF Yaramoko'!M70&gt;=0,'DCF Caylloma'!M104&gt;=0),('DCF Caylloma'!M104*'DCF Caylloma'!M106+'DCF Yaramoko'!M70*'DCF Yaramoko'!M71)/('DCF Yaramoko'!M70+'DCF Caylloma'!M104),IF(AND('DCF Caylloma'!M104&gt;=0,'DCF San Jose'!M84&gt;=0),('DCF San Jose'!M84*'DCF San Jose'!M86+'DCF Caylloma'!M104*'DCF Caylloma'!M106)/('DCF Caylloma'!M104+'DCF San Jose'!M84),IF(AND('DCF Caylloma'!M104&gt;=0,'DCF Lindero'!M66&gt;=0),('DCF Lindero'!M66*'DCF Lindero'!M67+'DCF Caylloma'!M104*'DCF Caylloma'!M106)/('DCF Caylloma'!M104+'DCF Lindero'!M66),IF(AND('DCF Caylloma'!M104&gt;=0,'DCF Seguela'!I64&gt;=0),('DCF Seguela'!I64*'DCF Seguela'!I65+'DCF Caylloma'!M104*'DCF Caylloma'!M106)/('DCF Caylloma'!M104+'DCF Seguela'!I64),IF(AND('DCF San Jose'!M84&gt;=0,'DCF Lindero'!M66&gt;=0),('DCF Lindero'!M66*'DCF Lindero'!M67+'DCF San Jose'!M84*'DCF San Jose'!M86)/('DCF San Jose'!M84+'DCF Lindero'!M66),IF(AND('DCF San Jose'!M84&gt;=0,'DCF Seguela'!I64&gt;=0),('DCF Seguela'!I64*'DCF Seguela'!I65+'DCF San Jose'!M84*'DCF San Jose'!M86)/('DCF San Jose'!M84+'DCF Seguela'!I64),IF(AND('DCF Lindero'!M66&gt;=0,'DCF Seguela'!I64&gt;=0),('DCF Seguela'!I64*'DCF Seguela'!I65+'DCF Lindero'!M66*'DCF Lindero'!M67)/('DCF Lindero'!M66+'DCF Seguela'!I64),IF('DCF Seguela'!I64&gt;=0,'DCF Seguela'!I65,IF('DCF Yaramoko'!L70&gt;=0,'DCF Yaramoko'!L71,IF('DCF Lindero'!M66&gt;=0,'DCF Lindero'!M67,IF('DCF San Jose'!M84&gt;=0,'DCF San Jose'!M86,IF('DCF Caylloma'!M104&gt;=0,'DCF Caylloma'!M106,0))))))))))))))))))))))))))))))))</f>
        <v>0.31655488797333986</v>
      </c>
      <c r="N118" s="28">
        <f>IF(AND('DCF Caylloma'!N104&lt;=0,'DCF San Jose'!N84&lt;=0,'DCF Lindero'!N66&lt;=0,'DCF Yaramoko'!N70&lt;=0,'DCF Seguela'!J64&lt;=0),0,IF(AND('DCF Caylloma'!N104&gt;=0,'DCF San Jose'!N84&gt;=0,'DCF Lindero'!N66&gt;=0,'DCF Yaramoko'!N70&gt;=0,'DCF Seguela'!J64&gt;=0),('DCF Seguela'!J64*'DCF Seguela'!J65+'DCF Yaramoko'!N70*'DCF Yaramoko'!N71+'DCF Lindero'!N66*'DCF Lindero'!N67+'DCF San Jose'!N84*'DCF San Jose'!N86+'DCF Caylloma'!N104*'DCF Caylloma'!N106)/('DCF Caylloma'!N104+'DCF San Jose'!N84+'DCF Lindero'!N66+'DCF Yaramoko'!N70+'DCF Seguela'!J64),IF(AND('DCF Caylloma'!N104&gt;=0,'DCF San Jose'!N84&gt;=0,'DCF Lindero'!N66&gt;=0,'DCF Yaramoko'!N70&gt;=0),('DCF Yaramoko'!N70*'DCF Yaramoko'!N71+'DCF Lindero'!N66*'DCF Lindero'!N67+'DCF San Jose'!N84*'DCF San Jose'!N86+'DCF Caylloma'!N104*'DCF Caylloma'!N106)/('DCF Caylloma'!N104+'DCF San Jose'!N84+'DCF Lindero'!N66+'DCF Yaramoko'!N70),IF(AND('DCF Caylloma'!N104&gt;=0,'DCF San Jose'!N84&gt;=0,'DCF Lindero'!N66&gt;=0,'DCF Seguela'!J64&gt;=0),('DCF Seguela'!J64*'DCF Seguela'!J65+'DCF Lindero'!N66*'DCF Lindero'!N67+'DCF San Jose'!N84*'DCF San Jose'!N86+'DCF Caylloma'!N104*'DCF Caylloma'!N106)/('DCF Caylloma'!N104+'DCF San Jose'!N84+'DCF Lindero'!N66+'DCF Seguela'!J64),IF(AND('DCF Seguela'!J64&gt;=0,'DCF Yaramoko'!N70&gt;=0,'DCF San Jose'!N84&gt;=0,'DCF Caylloma'!N104&gt;=0),('DCF Caylloma'!N104*'DCF Caylloma'!N106+'DCF San Jose'!N84*'DCF San Jose'!N86+'DCF Yaramoko'!N70*'DCF Yaramoko'!N71+'DCF Seguela'!J64*'DCF Seguela'!J65)/('DCF Seguela'!J64+'DCF Yaramoko'!N70+'DCF San Jose'!N84+'DCF Caylloma'!N104),IF(AND('DCF Caylloma'!N104&gt;=0,'DCF Lindero'!N66&gt;=0,'DCF Yaramoko'!N70&gt;=0,'DCF Seguela'!J64&gt;=0),('DCF Seguela'!J64*'DCF Seguela'!J65+'DCF Yaramoko'!N70*'DCF Yaramoko'!N71+'DCF Lindero'!N66*'DCF Lindero'!N67+'DCF Caylloma'!N104*'DCF Caylloma'!N106)/('DCF Caylloma'!N104+'DCF Lindero'!N66+'DCF Yaramoko'!N70+'DCF Seguela'!J64),IF(AND('DCF Seguela'!J64&gt;=0,'DCF Yaramoko'!N70&gt;=0,'DCF Lindero'!N66&gt;=0,'DCF San Jose'!N84&gt;=0),('DCF San Jose'!N84*'DCF San Jose'!N86+'DCF Lindero'!N66*'DCF Lindero'!N67+'DCF Yaramoko'!N70*'DCF Yaramoko'!N71+'DCF Seguela'!J64*'DCF Seguela'!J65)/('DCF Seguela'!J64+'DCF Yaramoko'!N70+'DCF Lindero'!N66+'DCF San Jose'!N84),IF(AND('DCF Lindero'!N66&gt;=0,'DCF Yaramoko'!N70&gt;=0,'DCF Seguela'!J64&gt;=0),('DCF Seguela'!J64*'DCF Seguela'!J65+'DCF Yaramoko'!N70*'DCF Yaramoko'!N71+'DCF Lindero'!N66*'DCF Lindero'!N67)/('DCF Lindero'!N66+'DCF Yaramoko'!N70+'DCF Seguela'!J64),IF(AND('DCF San Jose'!N84&gt;=0,'DCF Yaramoko'!N70&gt;=0,'DCF Seguela'!J64&gt;=0),('DCF Seguela'!J64*'DCF Seguela'!J65+'DCF Yaramoko'!N70*'DCF Yaramoko'!N71+'DCF San Jose'!N84*'DCF San Jose'!N86)/('DCF San Jose'!N84+'DCF Yaramoko'!N70+'DCF Seguela'!J64),IF(AND('DCF San Jose'!N84&gt;=0,'DCF Lindero'!N66&gt;=0,'DCF Seguela'!J64&gt;=0),('DCF Seguela'!J64*'DCF Seguela'!J65+'DCF Lindero'!N66*'DCF Lindero'!N67+'DCF San Jose'!N84*'DCF San Jose'!N86)/('DCF San Jose'!N84+'DCF Lindero'!N66+'DCF Seguela'!J64),IF(AND('DCF Yaramoko'!N70&gt;=0,'DCF Lindero'!N66&gt;=0,'DCF San Jose'!N84&gt;=0),('DCF San Jose'!N84*'DCF San Jose'!N86+'DCF Lindero'!N66*'DCF Lindero'!N67+'DCF Yaramoko'!N70*'DCF Yaramoko'!N71)/('DCF Yaramoko'!N70+'DCF Lindero'!N66+'DCF San Jose'!N84),IF(AND('DCF Caylloma'!N104&gt;=0,'DCF Yaramoko'!N70&gt;=0,'DCF Seguela'!J64&gt;=0),('DCF Seguela'!J64*'DCF Seguela'!J65+'DCF Yaramoko'!N70*'DCF Yaramoko'!N71+'DCF Caylloma'!N104*'DCF Caylloma'!N106)/('DCF Caylloma'!N104+'DCF Yaramoko'!N70+'DCF Seguela'!J64),IF(AND('DCF Caylloma'!N104&gt;=0,'DCF Lindero'!N66&gt;=0,'DCF Seguela'!J64&gt;=0),('DCF Seguela'!J64*'DCF Seguela'!J65+'DCF Lindero'!N66*'DCF Lindero'!N67+'DCF Caylloma'!N104*'DCF Caylloma'!N106)/('DCF Caylloma'!N104+'DCF Lindero'!N66+'DCF Seguela'!J64),IF(AND('DCF Caylloma'!N104&gt;=0,'DCF Lindero'!N66&gt;=0,'DCF Yaramoko'!N70&gt;=0),('DCF Yaramoko'!N70*'DCF Yaramoko'!N71+'DCF Lindero'!N66*'DCF Lindero'!N67+'DCF Caylloma'!N104*'DCF Caylloma'!N106)/('DCF Caylloma'!N104+'DCF Lindero'!N66+'DCF Yaramoko'!N70),IF(AND('DCF Seguela'!J64&gt;=0,'DCF San Jose'!N84&gt;=0,'DCF Caylloma'!N104&gt;=0),('DCF Caylloma'!N104*'DCF Caylloma'!N106+'DCF San Jose'!N84*'DCF San Jose'!N86+'DCF Seguela'!J64*'DCF Seguela'!J65)/('DCF Seguela'!J64+'DCF San Jose'!N84+'DCF Caylloma'!N104),IF(AND('DCF Caylloma'!N104&gt;=0,'DCF San Jose'!N84&gt;=0,'DCF Yaramoko'!N70&gt;=0),('DCF Yaramoko'!N70*'DCF Yaramoko'!N71+'DCF San Jose'!N84*'DCF San Jose'!N86+'DCF Caylloma'!N104*'DCF Caylloma'!N106)/('DCF Caylloma'!N104+'DCF San Jose'!N84+'DCF Yaramoko'!N70),IF(AND('DCF Lindero'!N66&gt;=0,'DCF San Jose'!N84&gt;=0,'DCF Caylloma'!N104&gt;=0),('DCF Caylloma'!N104*'DCF Caylloma'!N106+'DCF San Jose'!N84*'DCF San Jose'!N86+'DCF Lindero'!N66*'DCF Lindero'!N67)/('DCF Lindero'!N66+'DCF San Jose'!N84+'DCF Caylloma'!N104),IF(AND('DCF Seguela'!J64&gt;=0,'DCF Yaramoko'!N70&gt;=0),('DCF Yaramoko'!N70*'DCF Yaramoko'!N71+'DCF Seguela'!J64*'DCF Seguela'!J65)/('DCF Seguela'!J64+'DCF Yaramoko'!N70),IF(AND('DCF Yaramoko'!N70&gt;=0,'DCF Lindero'!N66&gt;=0),('DCF Lindero'!N66*'DCF Lindero'!N67+'DCF Yaramoko'!N70*'DCF Yaramoko'!N71)/('DCF Yaramoko'!N70+'DCF Lindero'!N66),IF(AND('DCF Yaramoko'!N70&gt;=0,'DCF San Jose'!N84&gt;=0),('DCF San Jose'!N84*'DCF San Jose'!N86+'DCF Yaramoko'!N70*'DCF Yaramoko'!N71)/('DCF Yaramoko'!N70+'DCF San Jose'!N84),IF(AND('DCF Yaramoko'!N70&gt;=0,'DCF Caylloma'!N104&gt;=0),('DCF Caylloma'!N104*'DCF Caylloma'!N106+'DCF Yaramoko'!N70*'DCF Yaramoko'!N71)/('DCF Yaramoko'!N70+'DCF Caylloma'!N104),IF(AND('DCF Caylloma'!N104&gt;=0,'DCF San Jose'!N84&gt;=0),('DCF San Jose'!N84*'DCF San Jose'!N86+'DCF Caylloma'!N104*'DCF Caylloma'!N106)/('DCF Caylloma'!N104+'DCF San Jose'!N84),IF(AND('DCF Caylloma'!N104&gt;=0,'DCF Lindero'!N66&gt;=0),('DCF Lindero'!N66*'DCF Lindero'!N67+'DCF Caylloma'!N104*'DCF Caylloma'!N106)/('DCF Caylloma'!N104+'DCF Lindero'!N66),IF(AND('DCF Caylloma'!N104&gt;=0,'DCF Seguela'!J64&gt;=0),('DCF Seguela'!J64*'DCF Seguela'!J65+'DCF Caylloma'!N104*'DCF Caylloma'!N106)/('DCF Caylloma'!N104+'DCF Seguela'!J64),IF(AND('DCF San Jose'!N84&gt;=0,'DCF Lindero'!N66&gt;=0),('DCF Lindero'!N66*'DCF Lindero'!N67+'DCF San Jose'!N84*'DCF San Jose'!N86)/('DCF San Jose'!N84+'DCF Lindero'!N66),IF(AND('DCF San Jose'!N84&gt;=0,'DCF Seguela'!J64&gt;=0),('DCF Seguela'!J64*'DCF Seguela'!J65+'DCF San Jose'!N84*'DCF San Jose'!N86)/('DCF San Jose'!N84+'DCF Seguela'!J64),IF(AND('DCF Lindero'!N66&gt;=0,'DCF Seguela'!J64&gt;=0),('DCF Seguela'!J64*'DCF Seguela'!J65+'DCF Lindero'!N66*'DCF Lindero'!N67)/('DCF Lindero'!N66+'DCF Seguela'!J64),IF('DCF Seguela'!J64&gt;=0,'DCF Seguela'!J65,IF('DCF Yaramoko'!M70&gt;=0,'DCF Yaramoko'!M71,IF('DCF Lindero'!N66&gt;=0,'DCF Lindero'!N67,IF('DCF San Jose'!N84&gt;=0,'DCF San Jose'!N86,IF('DCF Caylloma'!N104&gt;=0,'DCF Caylloma'!N106,0))))))))))))))))))))))))))))))))</f>
        <v>0.31379268097841595</v>
      </c>
      <c r="O118" s="28">
        <f>IF(AND('DCF Caylloma'!O104&lt;=0,'DCF San Jose'!O84&lt;=0,'DCF Lindero'!O66&lt;=0,'DCF Yaramoko'!O70&lt;=0,'DCF Seguela'!K64&lt;=0),0,IF(AND('DCF Caylloma'!O104&gt;=0,'DCF San Jose'!O84&gt;=0,'DCF Lindero'!O66&gt;=0,'DCF Yaramoko'!O70&gt;=0,'DCF Seguela'!K64&gt;=0),('DCF Seguela'!K64*'DCF Seguela'!K65+'DCF Yaramoko'!O70*'DCF Yaramoko'!O71+'DCF Lindero'!O66*'DCF Lindero'!O67+'DCF San Jose'!O84*'DCF San Jose'!O86+'DCF Caylloma'!O104*'DCF Caylloma'!O106)/('DCF Caylloma'!O104+'DCF San Jose'!O84+'DCF Lindero'!O66+'DCF Yaramoko'!O70+'DCF Seguela'!K64),IF(AND('DCF Caylloma'!O104&gt;=0,'DCF San Jose'!O84&gt;=0,'DCF Lindero'!O66&gt;=0,'DCF Yaramoko'!O70&gt;=0),('DCF Yaramoko'!O70*'DCF Yaramoko'!O71+'DCF Lindero'!O66*'DCF Lindero'!O67+'DCF San Jose'!O84*'DCF San Jose'!O86+'DCF Caylloma'!O104*'DCF Caylloma'!O106)/('DCF Caylloma'!O104+'DCF San Jose'!O84+'DCF Lindero'!O66+'DCF Yaramoko'!O70),IF(AND('DCF Caylloma'!O104&gt;=0,'DCF San Jose'!O84&gt;=0,'DCF Lindero'!O66&gt;=0,'DCF Seguela'!K64&gt;=0),('DCF Seguela'!K64*'DCF Seguela'!K65+'DCF Lindero'!O66*'DCF Lindero'!O67+'DCF San Jose'!O84*'DCF San Jose'!O86+'DCF Caylloma'!O104*'DCF Caylloma'!O106)/('DCF Caylloma'!O104+'DCF San Jose'!O84+'DCF Lindero'!O66+'DCF Seguela'!K64),IF(AND('DCF Seguela'!K64&gt;=0,'DCF Yaramoko'!O70&gt;=0,'DCF San Jose'!O84&gt;=0,'DCF Caylloma'!O104&gt;=0),('DCF Caylloma'!O104*'DCF Caylloma'!O106+'DCF San Jose'!O84*'DCF San Jose'!O86+'DCF Yaramoko'!O70*'DCF Yaramoko'!O71+'DCF Seguela'!K64*'DCF Seguela'!K65)/('DCF Seguela'!K64+'DCF Yaramoko'!O70+'DCF San Jose'!O84+'DCF Caylloma'!O104),IF(AND('DCF Caylloma'!O104&gt;=0,'DCF Lindero'!O66&gt;=0,'DCF Yaramoko'!O70&gt;=0,'DCF Seguela'!K64&gt;=0),('DCF Seguela'!K64*'DCF Seguela'!K65+'DCF Yaramoko'!O70*'DCF Yaramoko'!O71+'DCF Lindero'!O66*'DCF Lindero'!O67+'DCF Caylloma'!O104*'DCF Caylloma'!O106)/('DCF Caylloma'!O104+'DCF Lindero'!O66+'DCF Yaramoko'!O70+'DCF Seguela'!K64),IF(AND('DCF Seguela'!K64&gt;=0,'DCF Yaramoko'!O70&gt;=0,'DCF Lindero'!O66&gt;=0,'DCF San Jose'!O84&gt;=0),('DCF San Jose'!O84*'DCF San Jose'!O86+'DCF Lindero'!O66*'DCF Lindero'!O67+'DCF Yaramoko'!O70*'DCF Yaramoko'!O71+'DCF Seguela'!K64*'DCF Seguela'!K65)/('DCF Seguela'!K64+'DCF Yaramoko'!O70+'DCF Lindero'!O66+'DCF San Jose'!O84),IF(AND('DCF Lindero'!O66&gt;=0,'DCF Yaramoko'!O70&gt;=0,'DCF Seguela'!K64&gt;=0),('DCF Seguela'!K64*'DCF Seguela'!K65+'DCF Yaramoko'!O70*'DCF Yaramoko'!O71+'DCF Lindero'!O66*'DCF Lindero'!O67)/('DCF Lindero'!O66+'DCF Yaramoko'!O70+'DCF Seguela'!K64),IF(AND('DCF San Jose'!O84&gt;=0,'DCF Yaramoko'!O70&gt;=0,'DCF Seguela'!K64&gt;=0),('DCF Seguela'!K64*'DCF Seguela'!K65+'DCF Yaramoko'!O70*'DCF Yaramoko'!O71+'DCF San Jose'!O84*'DCF San Jose'!O86)/('DCF San Jose'!O84+'DCF Yaramoko'!O70+'DCF Seguela'!K64),IF(AND('DCF San Jose'!O84&gt;=0,'DCF Lindero'!O66&gt;=0,'DCF Seguela'!K64&gt;=0),('DCF Seguela'!K64*'DCF Seguela'!K65+'DCF Lindero'!O66*'DCF Lindero'!O67+'DCF San Jose'!O84*'DCF San Jose'!O86)/('DCF San Jose'!O84+'DCF Lindero'!O66+'DCF Seguela'!K64),IF(AND('DCF Yaramoko'!O70&gt;=0,'DCF Lindero'!O66&gt;=0,'DCF San Jose'!O84&gt;=0),('DCF San Jose'!O84*'DCF San Jose'!O86+'DCF Lindero'!O66*'DCF Lindero'!O67+'DCF Yaramoko'!O70*'DCF Yaramoko'!O71)/('DCF Yaramoko'!O70+'DCF Lindero'!O66+'DCF San Jose'!O84),IF(AND('DCF Caylloma'!O104&gt;=0,'DCF Yaramoko'!O70&gt;=0,'DCF Seguela'!K64&gt;=0),('DCF Seguela'!K64*'DCF Seguela'!K65+'DCF Yaramoko'!O70*'DCF Yaramoko'!O71+'DCF Caylloma'!O104*'DCF Caylloma'!O106)/('DCF Caylloma'!O104+'DCF Yaramoko'!O70+'DCF Seguela'!K64),IF(AND('DCF Caylloma'!O104&gt;=0,'DCF Lindero'!O66&gt;=0,'DCF Seguela'!K64&gt;=0),('DCF Seguela'!K64*'DCF Seguela'!K65+'DCF Lindero'!O66*'DCF Lindero'!O67+'DCF Caylloma'!O104*'DCF Caylloma'!O106)/('DCF Caylloma'!O104+'DCF Lindero'!O66+'DCF Seguela'!K64),IF(AND('DCF Caylloma'!O104&gt;=0,'DCF Lindero'!O66&gt;=0,'DCF Yaramoko'!O70&gt;=0),('DCF Yaramoko'!O70*'DCF Yaramoko'!O71+'DCF Lindero'!O66*'DCF Lindero'!O67+'DCF Caylloma'!O104*'DCF Caylloma'!O106)/('DCF Caylloma'!O104+'DCF Lindero'!O66+'DCF Yaramoko'!O70),IF(AND('DCF Seguela'!K64&gt;=0,'DCF San Jose'!O84&gt;=0,'DCF Caylloma'!O104&gt;=0),('DCF Caylloma'!O104*'DCF Caylloma'!O106+'DCF San Jose'!O84*'DCF San Jose'!O86+'DCF Seguela'!K64*'DCF Seguela'!K65)/('DCF Seguela'!K64+'DCF San Jose'!O84+'DCF Caylloma'!O104),IF(AND('DCF Caylloma'!O104&gt;=0,'DCF San Jose'!O84&gt;=0,'DCF Yaramoko'!O70&gt;=0),('DCF Yaramoko'!O70*'DCF Yaramoko'!O71+'DCF San Jose'!O84*'DCF San Jose'!O86+'DCF Caylloma'!O104*'DCF Caylloma'!O106)/('DCF Caylloma'!O104+'DCF San Jose'!O84+'DCF Yaramoko'!O70),IF(AND('DCF Lindero'!O66&gt;=0,'DCF San Jose'!O84&gt;=0,'DCF Caylloma'!O104&gt;=0),('DCF Caylloma'!O104*'DCF Caylloma'!O106+'DCF San Jose'!O84*'DCF San Jose'!O86+'DCF Lindero'!O66*'DCF Lindero'!O67)/('DCF Lindero'!O66+'DCF San Jose'!O84+'DCF Caylloma'!O104),IF(AND('DCF Seguela'!K64&gt;=0,'DCF Yaramoko'!O70&gt;=0),('DCF Yaramoko'!O70*'DCF Yaramoko'!O71+'DCF Seguela'!K64*'DCF Seguela'!K65)/('DCF Seguela'!K64+'DCF Yaramoko'!O70),IF(AND('DCF Yaramoko'!O70&gt;=0,'DCF Lindero'!O66&gt;=0),('DCF Lindero'!O66*'DCF Lindero'!O67+'DCF Yaramoko'!O70*'DCF Yaramoko'!O71)/('DCF Yaramoko'!O70+'DCF Lindero'!O66),IF(AND('DCF Yaramoko'!O70&gt;=0,'DCF San Jose'!O84&gt;=0),('DCF San Jose'!O84*'DCF San Jose'!O86+'DCF Yaramoko'!O70*'DCF Yaramoko'!O71)/('DCF Yaramoko'!O70+'DCF San Jose'!O84),IF(AND('DCF Yaramoko'!O70&gt;=0,'DCF Caylloma'!O104&gt;=0),('DCF Caylloma'!O104*'DCF Caylloma'!O106+'DCF Yaramoko'!O70*'DCF Yaramoko'!O71)/('DCF Yaramoko'!O70+'DCF Caylloma'!O104),IF(AND('DCF Caylloma'!O104&gt;=0,'DCF San Jose'!O84&gt;=0),('DCF San Jose'!O84*'DCF San Jose'!O86+'DCF Caylloma'!O104*'DCF Caylloma'!O106)/('DCF Caylloma'!O104+'DCF San Jose'!O84),IF(AND('DCF Caylloma'!O104&gt;=0,'DCF Lindero'!O66&gt;=0),('DCF Lindero'!O66*'DCF Lindero'!O67+'DCF Caylloma'!O104*'DCF Caylloma'!O106)/('DCF Caylloma'!O104+'DCF Lindero'!O66),IF(AND('DCF Caylloma'!O104&gt;=0,'DCF Seguela'!K64&gt;=0),('DCF Seguela'!K64*'DCF Seguela'!K65+'DCF Caylloma'!O104*'DCF Caylloma'!O106)/('DCF Caylloma'!O104+'DCF Seguela'!K64),IF(AND('DCF San Jose'!O84&gt;=0,'DCF Lindero'!O66&gt;=0),('DCF Lindero'!O66*'DCF Lindero'!O67+'DCF San Jose'!O84*'DCF San Jose'!O86)/('DCF San Jose'!O84+'DCF Lindero'!O66),IF(AND('DCF San Jose'!O84&gt;=0,'DCF Seguela'!K64&gt;=0),('DCF Seguela'!K64*'DCF Seguela'!K65+'DCF San Jose'!O84*'DCF San Jose'!O86)/('DCF San Jose'!O84+'DCF Seguela'!K64),IF(AND('DCF Lindero'!O66&gt;=0,'DCF Seguela'!K64&gt;=0),('DCF Seguela'!K64*'DCF Seguela'!K65+'DCF Lindero'!O66*'DCF Lindero'!O67)/('DCF Lindero'!O66+'DCF Seguela'!K64),IF('DCF Seguela'!K64&gt;=0,'DCF Seguela'!K65,IF('DCF Yaramoko'!N70&gt;=0,'DCF Yaramoko'!N71,IF('DCF Lindero'!O66&gt;=0,'DCF Lindero'!O67,IF('DCF San Jose'!O84&gt;=0,'DCF San Jose'!O86,IF('DCF Caylloma'!O104&gt;=0,'DCF Caylloma'!O106,0))))))))))))))))))))))))))))))))</f>
        <v>0.30247214739688627</v>
      </c>
      <c r="P118" s="28">
        <f>IF(AND('DCF Caylloma'!P104&lt;=0,'DCF San Jose'!P84&lt;=0,'DCF Lindero'!P66&lt;=0,'DCF Yaramoko'!P70&lt;=0,'DCF Seguela'!L64&lt;=0),0,IF(AND('DCF Caylloma'!P104&gt;=0,'DCF San Jose'!P84&gt;=0,'DCF Lindero'!P66&gt;=0,'DCF Yaramoko'!P70&gt;=0,'DCF Seguela'!L64&gt;=0),('DCF Seguela'!L64*'DCF Seguela'!L65+'DCF Yaramoko'!P70*'DCF Yaramoko'!P71+'DCF Lindero'!P66*'DCF Lindero'!P67+'DCF San Jose'!P84*'DCF San Jose'!P86+'DCF Caylloma'!P104*'DCF Caylloma'!P106)/('DCF Caylloma'!P104+'DCF San Jose'!P84+'DCF Lindero'!P66+'DCF Yaramoko'!P70+'DCF Seguela'!L64),IF(AND('DCF Caylloma'!P104&gt;=0,'DCF San Jose'!P84&gt;=0,'DCF Lindero'!P66&gt;=0,'DCF Yaramoko'!P70&gt;=0),('DCF Yaramoko'!P70*'DCF Yaramoko'!P71+'DCF Lindero'!P66*'DCF Lindero'!P67+'DCF San Jose'!P84*'DCF San Jose'!P86+'DCF Caylloma'!P104*'DCF Caylloma'!P106)/('DCF Caylloma'!P104+'DCF San Jose'!P84+'DCF Lindero'!P66+'DCF Yaramoko'!P70),IF(AND('DCF Caylloma'!P104&gt;=0,'DCF San Jose'!P84&gt;=0,'DCF Lindero'!P66&gt;=0,'DCF Seguela'!L64&gt;=0),('DCF Seguela'!L64*'DCF Seguela'!L65+'DCF Lindero'!P66*'DCF Lindero'!P67+'DCF San Jose'!P84*'DCF San Jose'!P86+'DCF Caylloma'!P104*'DCF Caylloma'!P106)/('DCF Caylloma'!P104+'DCF San Jose'!P84+'DCF Lindero'!P66+'DCF Seguela'!L64),IF(AND('DCF Seguela'!L64&gt;=0,'DCF Yaramoko'!P70&gt;=0,'DCF San Jose'!P84&gt;=0,'DCF Caylloma'!P104&gt;=0),('DCF Caylloma'!P104*'DCF Caylloma'!P106+'DCF San Jose'!P84*'DCF San Jose'!P86+'DCF Yaramoko'!P70*'DCF Yaramoko'!P71+'DCF Seguela'!L64*'DCF Seguela'!L65)/('DCF Seguela'!L64+'DCF Yaramoko'!P70+'DCF San Jose'!P84+'DCF Caylloma'!P104),IF(AND('DCF Caylloma'!P104&gt;=0,'DCF Lindero'!P66&gt;=0,'DCF Yaramoko'!P70&gt;=0,'DCF Seguela'!L64&gt;=0),('DCF Seguela'!L64*'DCF Seguela'!L65+'DCF Yaramoko'!P70*'DCF Yaramoko'!P71+'DCF Lindero'!P66*'DCF Lindero'!P67+'DCF Caylloma'!P104*'DCF Caylloma'!P106)/('DCF Caylloma'!P104+'DCF Lindero'!P66+'DCF Yaramoko'!P70+'DCF Seguela'!L64),IF(AND('DCF Seguela'!L64&gt;=0,'DCF Yaramoko'!P70&gt;=0,'DCF Lindero'!P66&gt;=0,'DCF San Jose'!P84&gt;=0),('DCF San Jose'!P84*'DCF San Jose'!P86+'DCF Lindero'!P66*'DCF Lindero'!P67+'DCF Yaramoko'!P70*'DCF Yaramoko'!P71+'DCF Seguela'!L64*'DCF Seguela'!L65)/('DCF Seguela'!L64+'DCF Yaramoko'!P70+'DCF Lindero'!P66+'DCF San Jose'!P84),IF(AND('DCF Lindero'!P66&gt;=0,'DCF Yaramoko'!P70&gt;=0,'DCF Seguela'!L64&gt;=0),('DCF Seguela'!L64*'DCF Seguela'!L65+'DCF Yaramoko'!P70*'DCF Yaramoko'!P71+'DCF Lindero'!P66*'DCF Lindero'!P67)/('DCF Lindero'!P66+'DCF Yaramoko'!P70+'DCF Seguela'!L64),IF(AND('DCF San Jose'!P84&gt;=0,'DCF Yaramoko'!P70&gt;=0,'DCF Seguela'!L64&gt;=0),('DCF Seguela'!L64*'DCF Seguela'!L65+'DCF Yaramoko'!P70*'DCF Yaramoko'!P71+'DCF San Jose'!P84*'DCF San Jose'!P86)/('DCF San Jose'!P84+'DCF Yaramoko'!P70+'DCF Seguela'!L64),IF(AND('DCF San Jose'!P84&gt;=0,'DCF Lindero'!P66&gt;=0,'DCF Seguela'!L64&gt;=0),('DCF Seguela'!L64*'DCF Seguela'!L65+'DCF Lindero'!P66*'DCF Lindero'!P67+'DCF San Jose'!P84*'DCF San Jose'!P86)/('DCF San Jose'!P84+'DCF Lindero'!P66+'DCF Seguela'!L64),IF(AND('DCF Yaramoko'!P70&gt;=0,'DCF Lindero'!P66&gt;=0,'DCF San Jose'!P84&gt;=0),('DCF San Jose'!P84*'DCF San Jose'!P86+'DCF Lindero'!P66*'DCF Lindero'!P67+'DCF Yaramoko'!P70*'DCF Yaramoko'!P71)/('DCF Yaramoko'!P70+'DCF Lindero'!P66+'DCF San Jose'!P84),IF(AND('DCF Caylloma'!P104&gt;=0,'DCF Yaramoko'!P70&gt;=0,'DCF Seguela'!L64&gt;=0),('DCF Seguela'!L64*'DCF Seguela'!L65+'DCF Yaramoko'!P70*'DCF Yaramoko'!P71+'DCF Caylloma'!P104*'DCF Caylloma'!P106)/('DCF Caylloma'!P104+'DCF Yaramoko'!P70+'DCF Seguela'!L64),IF(AND('DCF Caylloma'!P104&gt;=0,'DCF Lindero'!P66&gt;=0,'DCF Seguela'!L64&gt;=0),('DCF Seguela'!L64*'DCF Seguela'!L65+'DCF Lindero'!P66*'DCF Lindero'!P67+'DCF Caylloma'!P104*'DCF Caylloma'!P106)/('DCF Caylloma'!P104+'DCF Lindero'!P66+'DCF Seguela'!L64),IF(AND('DCF Caylloma'!P104&gt;=0,'DCF Lindero'!P66&gt;=0,'DCF Yaramoko'!P70&gt;=0),('DCF Yaramoko'!P70*'DCF Yaramoko'!P71+'DCF Lindero'!P66*'DCF Lindero'!P67+'DCF Caylloma'!P104*'DCF Caylloma'!P106)/('DCF Caylloma'!P104+'DCF Lindero'!P66+'DCF Yaramoko'!P70),IF(AND('DCF Seguela'!L64&gt;=0,'DCF San Jose'!P84&gt;=0,'DCF Caylloma'!P104&gt;=0),('DCF Caylloma'!P104*'DCF Caylloma'!P106+'DCF San Jose'!P84*'DCF San Jose'!P86+'DCF Seguela'!L64*'DCF Seguela'!L65)/('DCF Seguela'!L64+'DCF San Jose'!P84+'DCF Caylloma'!P104),IF(AND('DCF Caylloma'!P104&gt;=0,'DCF San Jose'!P84&gt;=0,'DCF Yaramoko'!P70&gt;=0),('DCF Yaramoko'!P70*'DCF Yaramoko'!P71+'DCF San Jose'!P84*'DCF San Jose'!P86+'DCF Caylloma'!P104*'DCF Caylloma'!P106)/('DCF Caylloma'!P104+'DCF San Jose'!P84+'DCF Yaramoko'!P70),IF(AND('DCF Lindero'!P66&gt;=0,'DCF San Jose'!P84&gt;=0,'DCF Caylloma'!P104&gt;=0),('DCF Caylloma'!P104*'DCF Caylloma'!P106+'DCF San Jose'!P84*'DCF San Jose'!P86+'DCF Lindero'!P66*'DCF Lindero'!P67)/('DCF Lindero'!P66+'DCF San Jose'!P84+'DCF Caylloma'!P104),IF(AND('DCF Seguela'!L64&gt;=0,'DCF Yaramoko'!P70&gt;=0),('DCF Yaramoko'!P70*'DCF Yaramoko'!P71+'DCF Seguela'!L64*'DCF Seguela'!L65)/('DCF Seguela'!L64+'DCF Yaramoko'!P70),IF(AND('DCF Yaramoko'!P70&gt;=0,'DCF Lindero'!P66&gt;=0),('DCF Lindero'!P66*'DCF Lindero'!P67+'DCF Yaramoko'!P70*'DCF Yaramoko'!P71)/('DCF Yaramoko'!P70+'DCF Lindero'!P66),IF(AND('DCF Yaramoko'!P70&gt;=0,'DCF San Jose'!P84&gt;=0),('DCF San Jose'!P84*'DCF San Jose'!P86+'DCF Yaramoko'!P70*'DCF Yaramoko'!P71)/('DCF Yaramoko'!P70+'DCF San Jose'!P84),IF(AND('DCF Yaramoko'!P70&gt;=0,'DCF Caylloma'!P104&gt;=0),('DCF Caylloma'!P104*'DCF Caylloma'!P106+'DCF Yaramoko'!P70*'DCF Yaramoko'!P71)/('DCF Yaramoko'!P70+'DCF Caylloma'!P104),IF(AND('DCF Caylloma'!P104&gt;=0,'DCF San Jose'!P84&gt;=0),('DCF San Jose'!P84*'DCF San Jose'!P86+'DCF Caylloma'!P104*'DCF Caylloma'!P106)/('DCF Caylloma'!P104+'DCF San Jose'!P84),IF(AND('DCF Caylloma'!P104&gt;=0,'DCF Lindero'!P66&gt;=0),('DCF Lindero'!P66*'DCF Lindero'!P67+'DCF Caylloma'!P104*'DCF Caylloma'!P106)/('DCF Caylloma'!P104+'DCF Lindero'!P66),IF(AND('DCF Caylloma'!P104&gt;=0,'DCF Seguela'!L64&gt;=0),('DCF Seguela'!L64*'DCF Seguela'!L65+'DCF Caylloma'!P104*'DCF Caylloma'!P106)/('DCF Caylloma'!P104+'DCF Seguela'!L64),IF(AND('DCF San Jose'!P84&gt;=0,'DCF Lindero'!P66&gt;=0),('DCF Lindero'!P66*'DCF Lindero'!P67+'DCF San Jose'!P84*'DCF San Jose'!P86)/('DCF San Jose'!P84+'DCF Lindero'!P66),IF(AND('DCF San Jose'!P84&gt;=0,'DCF Seguela'!L64&gt;=0),('DCF Seguela'!L64*'DCF Seguela'!L65+'DCF San Jose'!P84*'DCF San Jose'!P86)/('DCF San Jose'!P84+'DCF Seguela'!L64),IF(AND('DCF Lindero'!P66&gt;=0,'DCF Seguela'!L64&gt;=0),('DCF Seguela'!L64*'DCF Seguela'!L65+'DCF Lindero'!P66*'DCF Lindero'!P67)/('DCF Lindero'!P66+'DCF Seguela'!L64),IF('DCF Seguela'!L64&gt;=0,'DCF Seguela'!L65,IF('DCF Yaramoko'!O70&gt;=0,'DCF Yaramoko'!O71,IF('DCF Lindero'!P66&gt;=0,'DCF Lindero'!P67,IF('DCF San Jose'!P84&gt;=0,'DCF San Jose'!P86,IF('DCF Caylloma'!P104&gt;=0,'DCF Caylloma'!P106,0))))))))))))))))))))))))))))))))</f>
        <v>0.30672136332522931</v>
      </c>
      <c r="Q118" s="28">
        <f>IF(AND('DCF Caylloma'!Q104&lt;=0,'DCF San Jose'!Q84&lt;=0,'DCF Lindero'!Q66&lt;=0,'DCF Yaramoko'!Q70&lt;=0,'DCF Seguela'!M64&lt;=0),0,IF(AND('DCF Caylloma'!Q104&gt;=0,'DCF San Jose'!Q84&gt;=0,'DCF Lindero'!Q66&gt;=0,'DCF Yaramoko'!Q70&gt;=0,'DCF Seguela'!M64&gt;=0),('DCF Seguela'!M64*'DCF Seguela'!M65+'DCF Yaramoko'!Q70*'DCF Yaramoko'!Q71+'DCF Lindero'!Q66*'DCF Lindero'!Q67+'DCF San Jose'!Q84*'DCF San Jose'!Q86+'DCF Caylloma'!Q104*'DCF Caylloma'!Q106)/('DCF Caylloma'!Q104+'DCF San Jose'!Q84+'DCF Lindero'!Q66+'DCF Yaramoko'!Q70+'DCF Seguela'!M64),IF(AND('DCF Caylloma'!Q104&gt;=0,'DCF San Jose'!Q84&gt;=0,'DCF Lindero'!Q66&gt;=0,'DCF Yaramoko'!Q70&gt;=0),('DCF Yaramoko'!Q70*'DCF Yaramoko'!Q71+'DCF Lindero'!Q66*'DCF Lindero'!Q67+'DCF San Jose'!Q84*'DCF San Jose'!Q86+'DCF Caylloma'!Q104*'DCF Caylloma'!Q106)/('DCF Caylloma'!Q104+'DCF San Jose'!Q84+'DCF Lindero'!Q66+'DCF Yaramoko'!Q70),IF(AND('DCF Caylloma'!Q104&gt;=0,'DCF San Jose'!Q84&gt;=0,'DCF Lindero'!Q66&gt;=0,'DCF Seguela'!M64&gt;=0),('DCF Seguela'!M64*'DCF Seguela'!M65+'DCF Lindero'!Q66*'DCF Lindero'!Q67+'DCF San Jose'!Q84*'DCF San Jose'!Q86+'DCF Caylloma'!Q104*'DCF Caylloma'!Q106)/('DCF Caylloma'!Q104+'DCF San Jose'!Q84+'DCF Lindero'!Q66+'DCF Seguela'!M64),IF(AND('DCF Seguela'!M64&gt;=0,'DCF Yaramoko'!Q70&gt;=0,'DCF San Jose'!Q84&gt;=0,'DCF Caylloma'!Q104&gt;=0),('DCF Caylloma'!Q104*'DCF Caylloma'!Q106+'DCF San Jose'!Q84*'DCF San Jose'!Q86+'DCF Yaramoko'!Q70*'DCF Yaramoko'!Q71+'DCF Seguela'!M64*'DCF Seguela'!M65)/('DCF Seguela'!M64+'DCF Yaramoko'!Q70+'DCF San Jose'!Q84+'DCF Caylloma'!Q104),IF(AND('DCF Caylloma'!Q104&gt;=0,'DCF Lindero'!Q66&gt;=0,'DCF Yaramoko'!Q70&gt;=0,'DCF Seguela'!M64&gt;=0),('DCF Seguela'!M64*'DCF Seguela'!M65+'DCF Yaramoko'!Q70*'DCF Yaramoko'!Q71+'DCF Lindero'!Q66*'DCF Lindero'!Q67+'DCF Caylloma'!Q104*'DCF Caylloma'!Q106)/('DCF Caylloma'!Q104+'DCF Lindero'!Q66+'DCF Yaramoko'!Q70+'DCF Seguela'!M64),IF(AND('DCF Seguela'!M64&gt;=0,'DCF Yaramoko'!Q70&gt;=0,'DCF Lindero'!Q66&gt;=0,'DCF San Jose'!Q84&gt;=0),('DCF San Jose'!Q84*'DCF San Jose'!Q86+'DCF Lindero'!Q66*'DCF Lindero'!Q67+'DCF Yaramoko'!Q70*'DCF Yaramoko'!Q71+'DCF Seguela'!M64*'DCF Seguela'!M65)/('DCF Seguela'!M64+'DCF Yaramoko'!Q70+'DCF Lindero'!Q66+'DCF San Jose'!Q84),IF(AND('DCF Lindero'!Q66&gt;=0,'DCF Yaramoko'!Q70&gt;=0,'DCF Seguela'!M64&gt;=0),('DCF Seguela'!M64*'DCF Seguela'!M65+'DCF Yaramoko'!Q70*'DCF Yaramoko'!Q71+'DCF Lindero'!Q66*'DCF Lindero'!Q67)/('DCF Lindero'!Q66+'DCF Yaramoko'!Q70+'DCF Seguela'!M64),IF(AND('DCF San Jose'!Q84&gt;=0,'DCF Yaramoko'!Q70&gt;=0,'DCF Seguela'!M64&gt;=0),('DCF Seguela'!M64*'DCF Seguela'!M65+'DCF Yaramoko'!Q70*'DCF Yaramoko'!Q71+'DCF San Jose'!Q84*'DCF San Jose'!Q86)/('DCF San Jose'!Q84+'DCF Yaramoko'!Q70+'DCF Seguela'!M64),IF(AND('DCF San Jose'!Q84&gt;=0,'DCF Lindero'!Q66&gt;=0,'DCF Seguela'!M64&gt;=0),('DCF Seguela'!M64*'DCF Seguela'!M65+'DCF Lindero'!Q66*'DCF Lindero'!Q67+'DCF San Jose'!Q84*'DCF San Jose'!Q86)/('DCF San Jose'!Q84+'DCF Lindero'!Q66+'DCF Seguela'!M64),IF(AND('DCF Yaramoko'!Q70&gt;=0,'DCF Lindero'!Q66&gt;=0,'DCF San Jose'!Q84&gt;=0),('DCF San Jose'!Q84*'DCF San Jose'!Q86+'DCF Lindero'!Q66*'DCF Lindero'!Q67+'DCF Yaramoko'!Q70*'DCF Yaramoko'!Q71)/('DCF Yaramoko'!Q70+'DCF Lindero'!Q66+'DCF San Jose'!Q84),IF(AND('DCF Caylloma'!Q104&gt;=0,'DCF Yaramoko'!Q70&gt;=0,'DCF Seguela'!M64&gt;=0),('DCF Seguela'!M64*'DCF Seguela'!M65+'DCF Yaramoko'!Q70*'DCF Yaramoko'!Q71+'DCF Caylloma'!Q104*'DCF Caylloma'!Q106)/('DCF Caylloma'!Q104+'DCF Yaramoko'!Q70+'DCF Seguela'!M64),IF(AND('DCF Caylloma'!Q104&gt;=0,'DCF Lindero'!Q66&gt;=0,'DCF Seguela'!M64&gt;=0),('DCF Seguela'!M64*'DCF Seguela'!M65+'DCF Lindero'!Q66*'DCF Lindero'!Q67+'DCF Caylloma'!Q104*'DCF Caylloma'!Q106)/('DCF Caylloma'!Q104+'DCF Lindero'!Q66+'DCF Seguela'!M64),IF(AND('DCF Caylloma'!Q104&gt;=0,'DCF Lindero'!Q66&gt;=0,'DCF Yaramoko'!Q70&gt;=0),('DCF Yaramoko'!Q70*'DCF Yaramoko'!Q71+'DCF Lindero'!Q66*'DCF Lindero'!Q67+'DCF Caylloma'!Q104*'DCF Caylloma'!Q106)/('DCF Caylloma'!Q104+'DCF Lindero'!Q66+'DCF Yaramoko'!Q70),IF(AND('DCF Seguela'!M64&gt;=0,'DCF San Jose'!Q84&gt;=0,'DCF Caylloma'!Q104&gt;=0),('DCF Caylloma'!Q104*'DCF Caylloma'!Q106+'DCF San Jose'!Q84*'DCF San Jose'!Q86+'DCF Seguela'!M64*'DCF Seguela'!M65)/('DCF Seguela'!M64+'DCF San Jose'!Q84+'DCF Caylloma'!Q104),IF(AND('DCF Caylloma'!Q104&gt;=0,'DCF San Jose'!Q84&gt;=0,'DCF Yaramoko'!Q70&gt;=0),('DCF Yaramoko'!Q70*'DCF Yaramoko'!Q71+'DCF San Jose'!Q84*'DCF San Jose'!Q86+'DCF Caylloma'!Q104*'DCF Caylloma'!Q106)/('DCF Caylloma'!Q104+'DCF San Jose'!Q84+'DCF Yaramoko'!Q70),IF(AND('DCF Lindero'!Q66&gt;=0,'DCF San Jose'!Q84&gt;=0,'DCF Caylloma'!Q104&gt;=0),('DCF Caylloma'!Q104*'DCF Caylloma'!Q106+'DCF San Jose'!Q84*'DCF San Jose'!Q86+'DCF Lindero'!Q66*'DCF Lindero'!Q67)/('DCF Lindero'!Q66+'DCF San Jose'!Q84+'DCF Caylloma'!Q104),IF(AND('DCF Seguela'!M64&gt;=0,'DCF Yaramoko'!Q70&gt;=0),('DCF Yaramoko'!Q70*'DCF Yaramoko'!Q71+'DCF Seguela'!M64*'DCF Seguela'!M65)/('DCF Seguela'!M64+'DCF Yaramoko'!Q70),IF(AND('DCF Yaramoko'!Q70&gt;=0,'DCF Lindero'!Q66&gt;=0),('DCF Lindero'!Q66*'DCF Lindero'!Q67+'DCF Yaramoko'!Q70*'DCF Yaramoko'!Q71)/('DCF Yaramoko'!Q70+'DCF Lindero'!Q66),IF(AND('DCF Yaramoko'!Q70&gt;=0,'DCF San Jose'!Q84&gt;=0),('DCF San Jose'!Q84*'DCF San Jose'!Q86+'DCF Yaramoko'!Q70*'DCF Yaramoko'!Q71)/('DCF Yaramoko'!Q70+'DCF San Jose'!Q84),IF(AND('DCF Yaramoko'!Q70&gt;=0,'DCF Caylloma'!Q104&gt;=0),('DCF Caylloma'!Q104*'DCF Caylloma'!Q106+'DCF Yaramoko'!Q70*'DCF Yaramoko'!Q71)/('DCF Yaramoko'!Q70+'DCF Caylloma'!Q104),IF(AND('DCF Caylloma'!Q104&gt;=0,'DCF San Jose'!Q84&gt;=0),('DCF San Jose'!Q84*'DCF San Jose'!Q86+'DCF Caylloma'!Q104*'DCF Caylloma'!Q106)/('DCF Caylloma'!Q104+'DCF San Jose'!Q84),IF(AND('DCF Caylloma'!Q104&gt;=0,'DCF Lindero'!Q66&gt;=0),('DCF Lindero'!Q66*'DCF Lindero'!Q67+'DCF Caylloma'!Q104*'DCF Caylloma'!Q106)/('DCF Caylloma'!Q104+'DCF Lindero'!Q66),IF(AND('DCF Caylloma'!Q104&gt;=0,'DCF Seguela'!M64&gt;=0),('DCF Seguela'!M64*'DCF Seguela'!M65+'DCF Caylloma'!Q104*'DCF Caylloma'!Q106)/('DCF Caylloma'!Q104+'DCF Seguela'!M64),IF(AND('DCF San Jose'!Q84&gt;=0,'DCF Lindero'!Q66&gt;=0),('DCF Lindero'!Q66*'DCF Lindero'!Q67+'DCF San Jose'!Q84*'DCF San Jose'!Q86)/('DCF San Jose'!Q84+'DCF Lindero'!Q66),IF(AND('DCF San Jose'!Q84&gt;=0,'DCF Seguela'!M64&gt;=0),('DCF Seguela'!M64*'DCF Seguela'!M65+'DCF San Jose'!Q84*'DCF San Jose'!Q86)/('DCF San Jose'!Q84+'DCF Seguela'!M64),IF(AND('DCF Lindero'!Q66&gt;=0,'DCF Seguela'!M64&gt;=0),('DCF Seguela'!M64*'DCF Seguela'!M65+'DCF Lindero'!Q66*'DCF Lindero'!Q67)/('DCF Lindero'!Q66+'DCF Seguela'!M64),IF('DCF Seguela'!M64&gt;=0,'DCF Seguela'!M65,IF('DCF Yaramoko'!P70&gt;=0,'DCF Yaramoko'!P71,IF('DCF Lindero'!Q66&gt;=0,'DCF Lindero'!Q67,IF('DCF San Jose'!Q84&gt;=0,'DCF San Jose'!Q86,IF('DCF Caylloma'!Q104&gt;=0,'DCF Caylloma'!Q106,0))))))))))))))))))))))))))))))))</f>
        <v>0.29356573964967292</v>
      </c>
      <c r="R118" s="28">
        <f>IF(AND('DCF Caylloma'!R104&lt;=0,'DCF San Jose'!R84&lt;=0,'DCF Lindero'!R66&lt;=0,'DCF Yaramoko'!R70&lt;=0,'DCF Seguela'!N64&lt;=0),0,IF(AND('DCF Caylloma'!R104&gt;=0,'DCF San Jose'!R84&gt;=0,'DCF Lindero'!R66&gt;=0,'DCF Yaramoko'!R70&gt;=0,'DCF Seguela'!N64&gt;=0),('DCF Seguela'!N64*'DCF Seguela'!N65+'DCF Yaramoko'!R70*'DCF Yaramoko'!R71+'DCF Lindero'!R66*'DCF Lindero'!R67+'DCF San Jose'!R84*'DCF San Jose'!R86+'DCF Caylloma'!R104*'DCF Caylloma'!R106)/('DCF Caylloma'!R104+'DCF San Jose'!R84+'DCF Lindero'!R66+'DCF Yaramoko'!R70+'DCF Seguela'!N64),IF(AND('DCF Caylloma'!R104&gt;=0,'DCF San Jose'!R84&gt;=0,'DCF Lindero'!R66&gt;=0,'DCF Yaramoko'!R70&gt;=0),('DCF Yaramoko'!R70*'DCF Yaramoko'!R71+'DCF Lindero'!R66*'DCF Lindero'!R67+'DCF San Jose'!R84*'DCF San Jose'!R86+'DCF Caylloma'!R104*'DCF Caylloma'!R106)/('DCF Caylloma'!R104+'DCF San Jose'!R84+'DCF Lindero'!R66+'DCF Yaramoko'!R70),IF(AND('DCF Caylloma'!R104&gt;=0,'DCF San Jose'!R84&gt;=0,'DCF Lindero'!R66&gt;=0,'DCF Seguela'!N64&gt;=0),('DCF Seguela'!N64*'DCF Seguela'!N65+'DCF Lindero'!R66*'DCF Lindero'!R67+'DCF San Jose'!R84*'DCF San Jose'!R86+'DCF Caylloma'!R104*'DCF Caylloma'!R106)/('DCF Caylloma'!R104+'DCF San Jose'!R84+'DCF Lindero'!R66+'DCF Seguela'!N64),IF(AND('DCF Seguela'!N64&gt;=0,'DCF Yaramoko'!R70&gt;=0,'DCF San Jose'!R84&gt;=0,'DCF Caylloma'!R104&gt;=0),('DCF Caylloma'!R104*'DCF Caylloma'!R106+'DCF San Jose'!R84*'DCF San Jose'!R86+'DCF Yaramoko'!R70*'DCF Yaramoko'!R71+'DCF Seguela'!N64*'DCF Seguela'!N65)/('DCF Seguela'!N64+'DCF Yaramoko'!R70+'DCF San Jose'!R84+'DCF Caylloma'!R104),IF(AND('DCF Caylloma'!R104&gt;=0,'DCF Lindero'!R66&gt;=0,'DCF Yaramoko'!R70&gt;=0,'DCF Seguela'!N64&gt;=0),('DCF Seguela'!N64*'DCF Seguela'!N65+'DCF Yaramoko'!R70*'DCF Yaramoko'!R71+'DCF Lindero'!R66*'DCF Lindero'!R67+'DCF Caylloma'!R104*'DCF Caylloma'!R106)/('DCF Caylloma'!R104+'DCF Lindero'!R66+'DCF Yaramoko'!R70+'DCF Seguela'!N64),IF(AND('DCF Seguela'!N64&gt;=0,'DCF Yaramoko'!R70&gt;=0,'DCF Lindero'!R66&gt;=0,'DCF San Jose'!R84&gt;=0),('DCF San Jose'!R84*'DCF San Jose'!R86+'DCF Lindero'!R66*'DCF Lindero'!R67+'DCF Yaramoko'!R70*'DCF Yaramoko'!R71+'DCF Seguela'!N64*'DCF Seguela'!N65)/('DCF Seguela'!N64+'DCF Yaramoko'!R70+'DCF Lindero'!R66+'DCF San Jose'!R84),IF(AND('DCF Lindero'!R66&gt;=0,'DCF Yaramoko'!R70&gt;=0,'DCF Seguela'!N64&gt;=0),('DCF Seguela'!N64*'DCF Seguela'!N65+'DCF Yaramoko'!R70*'DCF Yaramoko'!R71+'DCF Lindero'!R66*'DCF Lindero'!R67)/('DCF Lindero'!R66+'DCF Yaramoko'!R70+'DCF Seguela'!N64),IF(AND('DCF San Jose'!R84&gt;=0,'DCF Yaramoko'!R70&gt;=0,'DCF Seguela'!N64&gt;=0),('DCF Seguela'!N64*'DCF Seguela'!N65+'DCF Yaramoko'!R70*'DCF Yaramoko'!R71+'DCF San Jose'!R84*'DCF San Jose'!R86)/('DCF San Jose'!R84+'DCF Yaramoko'!R70+'DCF Seguela'!N64),IF(AND('DCF San Jose'!R84&gt;=0,'DCF Lindero'!R66&gt;=0,'DCF Seguela'!N64&gt;=0),('DCF Seguela'!N64*'DCF Seguela'!N65+'DCF Lindero'!R66*'DCF Lindero'!R67+'DCF San Jose'!R84*'DCF San Jose'!R86)/('DCF San Jose'!R84+'DCF Lindero'!R66+'DCF Seguela'!N64),IF(AND('DCF Yaramoko'!R70&gt;=0,'DCF Lindero'!R66&gt;=0,'DCF San Jose'!R84&gt;=0),('DCF San Jose'!R84*'DCF San Jose'!R86+'DCF Lindero'!R66*'DCF Lindero'!R67+'DCF Yaramoko'!R70*'DCF Yaramoko'!R71)/('DCF Yaramoko'!R70+'DCF Lindero'!R66+'DCF San Jose'!R84),IF(AND('DCF Caylloma'!R104&gt;=0,'DCF Yaramoko'!R70&gt;=0,'DCF Seguela'!N64&gt;=0),('DCF Seguela'!N64*'DCF Seguela'!N65+'DCF Yaramoko'!R70*'DCF Yaramoko'!R71+'DCF Caylloma'!R104*'DCF Caylloma'!R106)/('DCF Caylloma'!R104+'DCF Yaramoko'!R70+'DCF Seguela'!N64),IF(AND('DCF Caylloma'!R104&gt;=0,'DCF Lindero'!R66&gt;=0,'DCF Seguela'!N64&gt;=0),('DCF Seguela'!N64*'DCF Seguela'!N65+'DCF Lindero'!R66*'DCF Lindero'!R67+'DCF Caylloma'!R104*'DCF Caylloma'!R106)/('DCF Caylloma'!R104+'DCF Lindero'!R66+'DCF Seguela'!N64),IF(AND('DCF Caylloma'!R104&gt;=0,'DCF Lindero'!R66&gt;=0,'DCF Yaramoko'!R70&gt;=0),('DCF Yaramoko'!R70*'DCF Yaramoko'!R71+'DCF Lindero'!R66*'DCF Lindero'!R67+'DCF Caylloma'!R104*'DCF Caylloma'!R106)/('DCF Caylloma'!R104+'DCF Lindero'!R66+'DCF Yaramoko'!R70),IF(AND('DCF Seguela'!N64&gt;=0,'DCF San Jose'!R84&gt;=0,'DCF Caylloma'!R104&gt;=0),('DCF Caylloma'!R104*'DCF Caylloma'!R106+'DCF San Jose'!R84*'DCF San Jose'!R86+'DCF Seguela'!N64*'DCF Seguela'!N65)/('DCF Seguela'!N64+'DCF San Jose'!R84+'DCF Caylloma'!R104),IF(AND('DCF Caylloma'!R104&gt;=0,'DCF San Jose'!R84&gt;=0,'DCF Yaramoko'!R70&gt;=0),('DCF Yaramoko'!R70*'DCF Yaramoko'!R71+'DCF San Jose'!R84*'DCF San Jose'!R86+'DCF Caylloma'!R104*'DCF Caylloma'!R106)/('DCF Caylloma'!R104+'DCF San Jose'!R84+'DCF Yaramoko'!R70),IF(AND('DCF Lindero'!R66&gt;=0,'DCF San Jose'!R84&gt;=0,'DCF Caylloma'!R104&gt;=0),('DCF Caylloma'!R104*'DCF Caylloma'!R106+'DCF San Jose'!R84*'DCF San Jose'!R86+'DCF Lindero'!R66*'DCF Lindero'!R67)/('DCF Lindero'!R66+'DCF San Jose'!R84+'DCF Caylloma'!R104),IF(AND('DCF Seguela'!N64&gt;=0,'DCF Yaramoko'!R70&gt;=0),('DCF Yaramoko'!R70*'DCF Yaramoko'!R71+'DCF Seguela'!N64*'DCF Seguela'!N65)/('DCF Seguela'!N64+'DCF Yaramoko'!R70),IF(AND('DCF Yaramoko'!R70&gt;=0,'DCF Lindero'!R66&gt;=0),('DCF Lindero'!R66*'DCF Lindero'!R67+'DCF Yaramoko'!R70*'DCF Yaramoko'!R71)/('DCF Yaramoko'!R70+'DCF Lindero'!R66),IF(AND('DCF Yaramoko'!R70&gt;=0,'DCF San Jose'!R84&gt;=0),('DCF San Jose'!R84*'DCF San Jose'!R86+'DCF Yaramoko'!R70*'DCF Yaramoko'!R71)/('DCF Yaramoko'!R70+'DCF San Jose'!R84),IF(AND('DCF Yaramoko'!R70&gt;=0,'DCF Caylloma'!R104&gt;=0),('DCF Caylloma'!R104*'DCF Caylloma'!R106+'DCF Yaramoko'!R70*'DCF Yaramoko'!R71)/('DCF Yaramoko'!R70+'DCF Caylloma'!R104),IF(AND('DCF Caylloma'!R104&gt;=0,'DCF San Jose'!R84&gt;=0),('DCF San Jose'!R84*'DCF San Jose'!R86+'DCF Caylloma'!R104*'DCF Caylloma'!R106)/('DCF Caylloma'!R104+'DCF San Jose'!R84),IF(AND('DCF Caylloma'!R104&gt;=0,'DCF Lindero'!R66&gt;=0),('DCF Lindero'!R66*'DCF Lindero'!R67+'DCF Caylloma'!R104*'DCF Caylloma'!R106)/('DCF Caylloma'!R104+'DCF Lindero'!R66),IF(AND('DCF Caylloma'!R104&gt;=0,'DCF Seguela'!N64&gt;=0),('DCF Seguela'!N64*'DCF Seguela'!N65+'DCF Caylloma'!R104*'DCF Caylloma'!R106)/('DCF Caylloma'!R104+'DCF Seguela'!N64),IF(AND('DCF San Jose'!R84&gt;=0,'DCF Lindero'!R66&gt;=0),('DCF Lindero'!R66*'DCF Lindero'!R67+'DCF San Jose'!R84*'DCF San Jose'!R86)/('DCF San Jose'!R84+'DCF Lindero'!R66),IF(AND('DCF San Jose'!R84&gt;=0,'DCF Seguela'!N64&gt;=0),('DCF Seguela'!N64*'DCF Seguela'!N65+'DCF San Jose'!R84*'DCF San Jose'!R86)/('DCF San Jose'!R84+'DCF Seguela'!N64),IF(AND('DCF Lindero'!R66&gt;=0,'DCF Seguela'!N64&gt;=0),('DCF Seguela'!N64*'DCF Seguela'!N65+'DCF Lindero'!R66*'DCF Lindero'!R67)/('DCF Lindero'!R66+'DCF Seguela'!N64),IF('DCF Seguela'!N64&gt;=0,'DCF Seguela'!N65,IF('DCF Yaramoko'!Q70&gt;=0,'DCF Yaramoko'!Q71,IF('DCF Lindero'!R66&gt;=0,'DCF Lindero'!R67,IF('DCF San Jose'!R84&gt;=0,'DCF San Jose'!R86,IF('DCF Caylloma'!R104&gt;=0,'DCF Caylloma'!R106,0))))))))))))))))))))))))))))))))</f>
        <v>0.29722873822099982</v>
      </c>
      <c r="S118" s="28">
        <f>IF(AND('DCF Caylloma'!S104&lt;=0,'DCF San Jose'!S84&lt;=0,'DCF Lindero'!S66&lt;=0,'DCF Yaramoko'!S70&lt;=0,'DCF Seguela'!O64&lt;=0),0,IF(AND('DCF Caylloma'!S104&gt;=0,'DCF San Jose'!S84&gt;=0,'DCF Lindero'!S66&gt;=0,'DCF Yaramoko'!S70&gt;=0,'DCF Seguela'!O64&gt;=0),('DCF Seguela'!O64*'DCF Seguela'!O65+'DCF Yaramoko'!S70*'DCF Yaramoko'!S71+'DCF Lindero'!S66*'DCF Lindero'!S67+'DCF San Jose'!S84*'DCF San Jose'!S86+'DCF Caylloma'!S104*'DCF Caylloma'!S106)/('DCF Caylloma'!S104+'DCF San Jose'!S84+'DCF Lindero'!S66+'DCF Yaramoko'!S70+'DCF Seguela'!O64),IF(AND('DCF Caylloma'!S104&gt;=0,'DCF San Jose'!S84&gt;=0,'DCF Lindero'!S66&gt;=0,'DCF Yaramoko'!S70&gt;=0),('DCF Yaramoko'!S70*'DCF Yaramoko'!S71+'DCF Lindero'!S66*'DCF Lindero'!S67+'DCF San Jose'!S84*'DCF San Jose'!S86+'DCF Caylloma'!S104*'DCF Caylloma'!S106)/('DCF Caylloma'!S104+'DCF San Jose'!S84+'DCF Lindero'!S66+'DCF Yaramoko'!S70),IF(AND('DCF Caylloma'!S104&gt;=0,'DCF San Jose'!S84&gt;=0,'DCF Lindero'!S66&gt;=0,'DCF Seguela'!O64&gt;=0),('DCF Seguela'!O64*'DCF Seguela'!O65+'DCF Lindero'!S66*'DCF Lindero'!S67+'DCF San Jose'!S84*'DCF San Jose'!S86+'DCF Caylloma'!S104*'DCF Caylloma'!S106)/('DCF Caylloma'!S104+'DCF San Jose'!S84+'DCF Lindero'!S66+'DCF Seguela'!O64),IF(AND('DCF Seguela'!O64&gt;=0,'DCF Yaramoko'!S70&gt;=0,'DCF San Jose'!S84&gt;=0,'DCF Caylloma'!S104&gt;=0),('DCF Caylloma'!S104*'DCF Caylloma'!S106+'DCF San Jose'!S84*'DCF San Jose'!S86+'DCF Yaramoko'!S70*'DCF Yaramoko'!S71+'DCF Seguela'!O64*'DCF Seguela'!O65)/('DCF Seguela'!O64+'DCF Yaramoko'!S70+'DCF San Jose'!S84+'DCF Caylloma'!S104),IF(AND('DCF Caylloma'!S104&gt;=0,'DCF Lindero'!S66&gt;=0,'DCF Yaramoko'!S70&gt;=0,'DCF Seguela'!O64&gt;=0),('DCF Seguela'!O64*'DCF Seguela'!O65+'DCF Yaramoko'!S70*'DCF Yaramoko'!S71+'DCF Lindero'!S66*'DCF Lindero'!S67+'DCF Caylloma'!S104*'DCF Caylloma'!S106)/('DCF Caylloma'!S104+'DCF Lindero'!S66+'DCF Yaramoko'!S70+'DCF Seguela'!O64),IF(AND('DCF Seguela'!O64&gt;=0,'DCF Yaramoko'!S70&gt;=0,'DCF Lindero'!S66&gt;=0,'DCF San Jose'!S84&gt;=0),('DCF San Jose'!S84*'DCF San Jose'!S86+'DCF Lindero'!S66*'DCF Lindero'!S67+'DCF Yaramoko'!S70*'DCF Yaramoko'!S71+'DCF Seguela'!O64*'DCF Seguela'!O65)/('DCF Seguela'!O64+'DCF Yaramoko'!S70+'DCF Lindero'!S66+'DCF San Jose'!S84),IF(AND('DCF Lindero'!S66&gt;=0,'DCF Yaramoko'!S70&gt;=0,'DCF Seguela'!O64&gt;=0),('DCF Seguela'!O64*'DCF Seguela'!O65+'DCF Yaramoko'!S70*'DCF Yaramoko'!S71+'DCF Lindero'!S66*'DCF Lindero'!S67)/('DCF Lindero'!S66+'DCF Yaramoko'!S70+'DCF Seguela'!O64),IF(AND('DCF San Jose'!S84&gt;=0,'DCF Yaramoko'!S70&gt;=0,'DCF Seguela'!O64&gt;=0),('DCF Seguela'!O64*'DCF Seguela'!O65+'DCF Yaramoko'!S70*'DCF Yaramoko'!S71+'DCF San Jose'!S84*'DCF San Jose'!S86)/('DCF San Jose'!S84+'DCF Yaramoko'!S70+'DCF Seguela'!O64),IF(AND('DCF San Jose'!S84&gt;=0,'DCF Lindero'!S66&gt;=0,'DCF Seguela'!O64&gt;=0),('DCF Seguela'!O64*'DCF Seguela'!O65+'DCF Lindero'!S66*'DCF Lindero'!S67+'DCF San Jose'!S84*'DCF San Jose'!S86)/('DCF San Jose'!S84+'DCF Lindero'!S66+'DCF Seguela'!O64),IF(AND('DCF Yaramoko'!S70&gt;=0,'DCF Lindero'!S66&gt;=0,'DCF San Jose'!S84&gt;=0),('DCF San Jose'!S84*'DCF San Jose'!S86+'DCF Lindero'!S66*'DCF Lindero'!S67+'DCF Yaramoko'!S70*'DCF Yaramoko'!S71)/('DCF Yaramoko'!S70+'DCF Lindero'!S66+'DCF San Jose'!S84),IF(AND('DCF Caylloma'!S104&gt;=0,'DCF Yaramoko'!S70&gt;=0,'DCF Seguela'!O64&gt;=0),('DCF Seguela'!O64*'DCF Seguela'!O65+'DCF Yaramoko'!S70*'DCF Yaramoko'!S71+'DCF Caylloma'!S104*'DCF Caylloma'!S106)/('DCF Caylloma'!S104+'DCF Yaramoko'!S70+'DCF Seguela'!O64),IF(AND('DCF Caylloma'!S104&gt;=0,'DCF Lindero'!S66&gt;=0,'DCF Seguela'!O64&gt;=0),('DCF Seguela'!O64*'DCF Seguela'!O65+'DCF Lindero'!S66*'DCF Lindero'!S67+'DCF Caylloma'!S104*'DCF Caylloma'!S106)/('DCF Caylloma'!S104+'DCF Lindero'!S66+'DCF Seguela'!O64),IF(AND('DCF Caylloma'!S104&gt;=0,'DCF Lindero'!S66&gt;=0,'DCF Yaramoko'!S70&gt;=0),('DCF Yaramoko'!S70*'DCF Yaramoko'!S71+'DCF Lindero'!S66*'DCF Lindero'!S67+'DCF Caylloma'!S104*'DCF Caylloma'!S106)/('DCF Caylloma'!S104+'DCF Lindero'!S66+'DCF Yaramoko'!S70),IF(AND('DCF Seguela'!O64&gt;=0,'DCF San Jose'!S84&gt;=0,'DCF Caylloma'!S104&gt;=0),('DCF Caylloma'!S104*'DCF Caylloma'!S106+'DCF San Jose'!S84*'DCF San Jose'!S86+'DCF Seguela'!O64*'DCF Seguela'!O65)/('DCF Seguela'!O64+'DCF San Jose'!S84+'DCF Caylloma'!S104),IF(AND('DCF Caylloma'!S104&gt;=0,'DCF San Jose'!S84&gt;=0,'DCF Yaramoko'!S70&gt;=0),('DCF Yaramoko'!S70*'DCF Yaramoko'!S71+'DCF San Jose'!S84*'DCF San Jose'!S86+'DCF Caylloma'!S104*'DCF Caylloma'!S106)/('DCF Caylloma'!S104+'DCF San Jose'!S84+'DCF Yaramoko'!S70),IF(AND('DCF Lindero'!S66&gt;=0,'DCF San Jose'!S84&gt;=0,'DCF Caylloma'!S104&gt;=0),('DCF Caylloma'!S104*'DCF Caylloma'!S106+'DCF San Jose'!S84*'DCF San Jose'!S86+'DCF Lindero'!S66*'DCF Lindero'!S67)/('DCF Lindero'!S66+'DCF San Jose'!S84+'DCF Caylloma'!S104),IF(AND('DCF Seguela'!O64&gt;=0,'DCF Yaramoko'!S70&gt;=0),('DCF Yaramoko'!S70*'DCF Yaramoko'!S71+'DCF Seguela'!O64*'DCF Seguela'!O65)/('DCF Seguela'!O64+'DCF Yaramoko'!S70),IF(AND('DCF Yaramoko'!S70&gt;=0,'DCF Lindero'!S66&gt;=0),('DCF Lindero'!S66*'DCF Lindero'!S67+'DCF Yaramoko'!S70*'DCF Yaramoko'!S71)/('DCF Yaramoko'!S70+'DCF Lindero'!S66),IF(AND('DCF Yaramoko'!S70&gt;=0,'DCF San Jose'!S84&gt;=0),('DCF San Jose'!S84*'DCF San Jose'!S86+'DCF Yaramoko'!S70*'DCF Yaramoko'!S71)/('DCF Yaramoko'!S70+'DCF San Jose'!S84),IF(AND('DCF Yaramoko'!S70&gt;=0,'DCF Caylloma'!S104&gt;=0),('DCF Caylloma'!S104*'DCF Caylloma'!S106+'DCF Yaramoko'!S70*'DCF Yaramoko'!S71)/('DCF Yaramoko'!S70+'DCF Caylloma'!S104),IF(AND('DCF Caylloma'!S104&gt;=0,'DCF San Jose'!S84&gt;=0),('DCF San Jose'!S84*'DCF San Jose'!S86+'DCF Caylloma'!S104*'DCF Caylloma'!S106)/('DCF Caylloma'!S104+'DCF San Jose'!S84),IF(AND('DCF Caylloma'!S104&gt;=0,'DCF Lindero'!S66&gt;=0),('DCF Lindero'!S66*'DCF Lindero'!S67+'DCF Caylloma'!S104*'DCF Caylloma'!S106)/('DCF Caylloma'!S104+'DCF Lindero'!S66),IF(AND('DCF Caylloma'!S104&gt;=0,'DCF Seguela'!O64&gt;=0),('DCF Seguela'!O64*'DCF Seguela'!O65+'DCF Caylloma'!S104*'DCF Caylloma'!S106)/('DCF Caylloma'!S104+'DCF Seguela'!O64),IF(AND('DCF San Jose'!S84&gt;=0,'DCF Lindero'!S66&gt;=0),('DCF Lindero'!S66*'DCF Lindero'!S67+'DCF San Jose'!S84*'DCF San Jose'!S86)/('DCF San Jose'!S84+'DCF Lindero'!S66),IF(AND('DCF San Jose'!S84&gt;=0,'DCF Seguela'!O64&gt;=0),('DCF Seguela'!O64*'DCF Seguela'!O65+'DCF San Jose'!S84*'DCF San Jose'!S86)/('DCF San Jose'!S84+'DCF Seguela'!O64),IF(AND('DCF Lindero'!S66&gt;=0,'DCF Seguela'!O64&gt;=0),('DCF Seguela'!O64*'DCF Seguela'!O65+'DCF Lindero'!S66*'DCF Lindero'!S67)/('DCF Lindero'!S66+'DCF Seguela'!O64),IF('DCF Seguela'!O64&gt;=0,'DCF Seguela'!O65,IF('DCF Yaramoko'!R70&gt;=0,'DCF Yaramoko'!R71,IF('DCF Lindero'!S66&gt;=0,'DCF Lindero'!S67,IF('DCF San Jose'!S84&gt;=0,'DCF San Jose'!S86,IF('DCF Caylloma'!S104&gt;=0,'DCF Caylloma'!S106,0))))))))))))))))))))))))))))))))</f>
        <v>0.30575303478702365</v>
      </c>
      <c r="T118" s="28">
        <f>IF(AND('DCF Caylloma'!T104&lt;=0,'DCF San Jose'!T84&lt;=0,'DCF Lindero'!T66&lt;=0,'DCF Yaramoko'!T70&lt;=0,'DCF Seguela'!P64&lt;=0),0,IF(AND('DCF Caylloma'!T104&gt;=0,'DCF San Jose'!T84&gt;=0,'DCF Lindero'!T66&gt;=0,'DCF Yaramoko'!T70&gt;=0,'DCF Seguela'!P64&gt;=0),('DCF Seguela'!P64*'DCF Seguela'!P65+'DCF Yaramoko'!T70*'DCF Yaramoko'!T71+'DCF Lindero'!T66*'DCF Lindero'!T67+'DCF San Jose'!T84*'DCF San Jose'!T86+'DCF Caylloma'!T104*'DCF Caylloma'!T106)/('DCF Caylloma'!T104+'DCF San Jose'!T84+'DCF Lindero'!T66+'DCF Yaramoko'!T70+'DCF Seguela'!P64),IF(AND('DCF Caylloma'!T104&gt;=0,'DCF San Jose'!T84&gt;=0,'DCF Lindero'!T66&gt;=0,'DCF Yaramoko'!T70&gt;=0),('DCF Yaramoko'!T70*'DCF Yaramoko'!T71+'DCF Lindero'!T66*'DCF Lindero'!T67+'DCF San Jose'!T84*'DCF San Jose'!T86+'DCF Caylloma'!T104*'DCF Caylloma'!T106)/('DCF Caylloma'!T104+'DCF San Jose'!T84+'DCF Lindero'!T66+'DCF Yaramoko'!T70),IF(AND('DCF Caylloma'!T104&gt;=0,'DCF San Jose'!T84&gt;=0,'DCF Lindero'!T66&gt;=0,'DCF Seguela'!P64&gt;=0),('DCF Seguela'!P64*'DCF Seguela'!P65+'DCF Lindero'!T66*'DCF Lindero'!T67+'DCF San Jose'!T84*'DCF San Jose'!T86+'DCF Caylloma'!T104*'DCF Caylloma'!T106)/('DCF Caylloma'!T104+'DCF San Jose'!T84+'DCF Lindero'!T66+'DCF Seguela'!P64),IF(AND('DCF Seguela'!P64&gt;=0,'DCF Yaramoko'!T70&gt;=0,'DCF San Jose'!T84&gt;=0,'DCF Caylloma'!T104&gt;=0),('DCF Caylloma'!T104*'DCF Caylloma'!T106+'DCF San Jose'!T84*'DCF San Jose'!T86+'DCF Yaramoko'!T70*'DCF Yaramoko'!T71+'DCF Seguela'!P64*'DCF Seguela'!P65)/('DCF Seguela'!P64+'DCF Yaramoko'!T70+'DCF San Jose'!T84+'DCF Caylloma'!T104),IF(AND('DCF Caylloma'!T104&gt;=0,'DCF Lindero'!T66&gt;=0,'DCF Yaramoko'!T70&gt;=0,'DCF Seguela'!P64&gt;=0),('DCF Seguela'!P64*'DCF Seguela'!P65+'DCF Yaramoko'!T70*'DCF Yaramoko'!T71+'DCF Lindero'!T66*'DCF Lindero'!T67+'DCF Caylloma'!T104*'DCF Caylloma'!T106)/('DCF Caylloma'!T104+'DCF Lindero'!T66+'DCF Yaramoko'!T70+'DCF Seguela'!P64),IF(AND('DCF Seguela'!P64&gt;=0,'DCF Yaramoko'!T70&gt;=0,'DCF Lindero'!T66&gt;=0,'DCF San Jose'!T84&gt;=0),('DCF San Jose'!T84*'DCF San Jose'!T86+'DCF Lindero'!T66*'DCF Lindero'!T67+'DCF Yaramoko'!T70*'DCF Yaramoko'!T71+'DCF Seguela'!P64*'DCF Seguela'!P65)/('DCF Seguela'!P64+'DCF Yaramoko'!T70+'DCF Lindero'!T66+'DCF San Jose'!T84),IF(AND('DCF Lindero'!T66&gt;=0,'DCF Yaramoko'!T70&gt;=0,'DCF Seguela'!P64&gt;=0),('DCF Seguela'!P64*'DCF Seguela'!P65+'DCF Yaramoko'!T70*'DCF Yaramoko'!T71+'DCF Lindero'!T66*'DCF Lindero'!T67)/('DCF Lindero'!T66+'DCF Yaramoko'!T70+'DCF Seguela'!P64),IF(AND('DCF San Jose'!T84&gt;=0,'DCF Yaramoko'!T70&gt;=0,'DCF Seguela'!P64&gt;=0),('DCF Seguela'!P64*'DCF Seguela'!P65+'DCF Yaramoko'!T70*'DCF Yaramoko'!T71+'DCF San Jose'!T84*'DCF San Jose'!T86)/('DCF San Jose'!T84+'DCF Yaramoko'!T70+'DCF Seguela'!P64),IF(AND('DCF San Jose'!T84&gt;=0,'DCF Lindero'!T66&gt;=0,'DCF Seguela'!P64&gt;=0),('DCF Seguela'!P64*'DCF Seguela'!P65+'DCF Lindero'!T66*'DCF Lindero'!T67+'DCF San Jose'!T84*'DCF San Jose'!T86)/('DCF San Jose'!T84+'DCF Lindero'!T66+'DCF Seguela'!P64),IF(AND('DCF Yaramoko'!T70&gt;=0,'DCF Lindero'!T66&gt;=0,'DCF San Jose'!T84&gt;=0),('DCF San Jose'!T84*'DCF San Jose'!T86+'DCF Lindero'!T66*'DCF Lindero'!T67+'DCF Yaramoko'!T70*'DCF Yaramoko'!T71)/('DCF Yaramoko'!T70+'DCF Lindero'!T66+'DCF San Jose'!T84),IF(AND('DCF Caylloma'!T104&gt;=0,'DCF Yaramoko'!T70&gt;=0,'DCF Seguela'!P64&gt;=0),('DCF Seguela'!P64*'DCF Seguela'!P65+'DCF Yaramoko'!T70*'DCF Yaramoko'!T71+'DCF Caylloma'!T104*'DCF Caylloma'!T106)/('DCF Caylloma'!T104+'DCF Yaramoko'!T70+'DCF Seguela'!P64),IF(AND('DCF Caylloma'!T104&gt;=0,'DCF Lindero'!T66&gt;=0,'DCF Seguela'!P64&gt;=0),('DCF Seguela'!P64*'DCF Seguela'!P65+'DCF Lindero'!T66*'DCF Lindero'!T67+'DCF Caylloma'!T104*'DCF Caylloma'!T106)/('DCF Caylloma'!T104+'DCF Lindero'!T66+'DCF Seguela'!P64),IF(AND('DCF Caylloma'!T104&gt;=0,'DCF Lindero'!T66&gt;=0,'DCF Yaramoko'!T70&gt;=0),('DCF Yaramoko'!T70*'DCF Yaramoko'!T71+'DCF Lindero'!T66*'DCF Lindero'!T67+'DCF Caylloma'!T104*'DCF Caylloma'!T106)/('DCF Caylloma'!T104+'DCF Lindero'!T66+'DCF Yaramoko'!T70),IF(AND('DCF Seguela'!P64&gt;=0,'DCF San Jose'!T84&gt;=0,'DCF Caylloma'!T104&gt;=0),('DCF Caylloma'!T104*'DCF Caylloma'!T106+'DCF San Jose'!T84*'DCF San Jose'!T86+'DCF Seguela'!P64*'DCF Seguela'!P65)/('DCF Seguela'!P64+'DCF San Jose'!T84+'DCF Caylloma'!T104),IF(AND('DCF Caylloma'!T104&gt;=0,'DCF San Jose'!T84&gt;=0,'DCF Yaramoko'!T70&gt;=0),('DCF Yaramoko'!T70*'DCF Yaramoko'!T71+'DCF San Jose'!T84*'DCF San Jose'!T86+'DCF Caylloma'!T104*'DCF Caylloma'!T106)/('DCF Caylloma'!T104+'DCF San Jose'!T84+'DCF Yaramoko'!T70),IF(AND('DCF Lindero'!T66&gt;=0,'DCF San Jose'!T84&gt;=0,'DCF Caylloma'!T104&gt;=0),('DCF Caylloma'!T104*'DCF Caylloma'!T106+'DCF San Jose'!T84*'DCF San Jose'!T86+'DCF Lindero'!T66*'DCF Lindero'!T67)/('DCF Lindero'!T66+'DCF San Jose'!T84+'DCF Caylloma'!T104),IF(AND('DCF Seguela'!P64&gt;=0,'DCF Yaramoko'!T70&gt;=0),('DCF Yaramoko'!T70*'DCF Yaramoko'!T71+'DCF Seguela'!P64*'DCF Seguela'!P65)/('DCF Seguela'!P64+'DCF Yaramoko'!T70),IF(AND('DCF Yaramoko'!T70&gt;=0,'DCF Lindero'!T66&gt;=0),('DCF Lindero'!T66*'DCF Lindero'!T67+'DCF Yaramoko'!T70*'DCF Yaramoko'!T71)/('DCF Yaramoko'!T70+'DCF Lindero'!T66),IF(AND('DCF Yaramoko'!T70&gt;=0,'DCF San Jose'!T84&gt;=0),('DCF San Jose'!T84*'DCF San Jose'!T86+'DCF Yaramoko'!T70*'DCF Yaramoko'!T71)/('DCF Yaramoko'!T70+'DCF San Jose'!T84),IF(AND('DCF Yaramoko'!T70&gt;=0,'DCF Caylloma'!T104&gt;=0),('DCF Caylloma'!T104*'DCF Caylloma'!T106+'DCF Yaramoko'!T70*'DCF Yaramoko'!T71)/('DCF Yaramoko'!T70+'DCF Caylloma'!T104),IF(AND('DCF Caylloma'!T104&gt;=0,'DCF San Jose'!T84&gt;=0),('DCF San Jose'!T84*'DCF San Jose'!T86+'DCF Caylloma'!T104*'DCF Caylloma'!T106)/('DCF Caylloma'!T104+'DCF San Jose'!T84),IF(AND('DCF Caylloma'!T104&gt;=0,'DCF Lindero'!T66&gt;=0),('DCF Lindero'!T66*'DCF Lindero'!T67+'DCF Caylloma'!T104*'DCF Caylloma'!T106)/('DCF Caylloma'!T104+'DCF Lindero'!T66),IF(AND('DCF Caylloma'!T104&gt;=0,'DCF Seguela'!P64&gt;=0),('DCF Seguela'!P64*'DCF Seguela'!P65+'DCF Caylloma'!T104*'DCF Caylloma'!T106)/('DCF Caylloma'!T104+'DCF Seguela'!P64),IF(AND('DCF San Jose'!T84&gt;=0,'DCF Lindero'!T66&gt;=0),('DCF Lindero'!T66*'DCF Lindero'!T67+'DCF San Jose'!T84*'DCF San Jose'!T86)/('DCF San Jose'!T84+'DCF Lindero'!T66),IF(AND('DCF San Jose'!T84&gt;=0,'DCF Seguela'!P64&gt;=0),('DCF Seguela'!P64*'DCF Seguela'!P65+'DCF San Jose'!T84*'DCF San Jose'!T86)/('DCF San Jose'!T84+'DCF Seguela'!P64),IF(AND('DCF Lindero'!T66&gt;=0,'DCF Seguela'!P64&gt;=0),('DCF Seguela'!P64*'DCF Seguela'!P65+'DCF Lindero'!T66*'DCF Lindero'!T67)/('DCF Lindero'!T66+'DCF Seguela'!P64),IF('DCF Seguela'!P64&gt;=0,'DCF Seguela'!P65,IF('DCF Yaramoko'!S70&gt;=0,'DCF Yaramoko'!S71,IF('DCF Lindero'!T66&gt;=0,'DCF Lindero'!T67,IF('DCF San Jose'!T84&gt;=0,'DCF San Jose'!T86,IF('DCF Caylloma'!T104&gt;=0,'DCF Caylloma'!T106,0))))))))))))))))))))))))))))))))</f>
        <v>0.27724423355590028</v>
      </c>
      <c r="U118" s="28">
        <f>IF(AND('DCF Caylloma'!U104&lt;=0,'DCF San Jose'!U84&lt;=0,'DCF Lindero'!U66&lt;=0,'DCF Yaramoko'!U70&lt;=0,'DCF Seguela'!Q64&lt;=0),0,IF(AND('DCF Caylloma'!U104&gt;=0,'DCF San Jose'!U84&gt;=0,'DCF Lindero'!U66&gt;=0,'DCF Yaramoko'!U70&gt;=0,'DCF Seguela'!Q64&gt;=0),('DCF Seguela'!Q64*'DCF Seguela'!Q65+'DCF Yaramoko'!U70*'DCF Yaramoko'!U71+'DCF Lindero'!U66*'DCF Lindero'!U67+'DCF San Jose'!U84*'DCF San Jose'!U86+'DCF Caylloma'!U104*'DCF Caylloma'!U106)/('DCF Caylloma'!U104+'DCF San Jose'!U84+'DCF Lindero'!U66+'DCF Yaramoko'!U70+'DCF Seguela'!Q64),IF(AND('DCF Caylloma'!U104&gt;=0,'DCF San Jose'!U84&gt;=0,'DCF Lindero'!U66&gt;=0,'DCF Yaramoko'!U70&gt;=0),('DCF Yaramoko'!U70*'DCF Yaramoko'!U71+'DCF Lindero'!U66*'DCF Lindero'!U67+'DCF San Jose'!U84*'DCF San Jose'!U86+'DCF Caylloma'!U104*'DCF Caylloma'!U106)/('DCF Caylloma'!U104+'DCF San Jose'!U84+'DCF Lindero'!U66+'DCF Yaramoko'!U70),IF(AND('DCF Caylloma'!U104&gt;=0,'DCF San Jose'!U84&gt;=0,'DCF Lindero'!U66&gt;=0,'DCF Seguela'!Q64&gt;=0),('DCF Seguela'!Q64*'DCF Seguela'!Q65+'DCF Lindero'!U66*'DCF Lindero'!U67+'DCF San Jose'!U84*'DCF San Jose'!U86+'DCF Caylloma'!U104*'DCF Caylloma'!U106)/('DCF Caylloma'!U104+'DCF San Jose'!U84+'DCF Lindero'!U66+'DCF Seguela'!Q64),IF(AND('DCF Seguela'!Q64&gt;=0,'DCF Yaramoko'!U70&gt;=0,'DCF San Jose'!U84&gt;=0,'DCF Caylloma'!U104&gt;=0),('DCF Caylloma'!U104*'DCF Caylloma'!U106+'DCF San Jose'!U84*'DCF San Jose'!U86+'DCF Yaramoko'!U70*'DCF Yaramoko'!U71+'DCF Seguela'!Q64*'DCF Seguela'!Q65)/('DCF Seguela'!Q64+'DCF Yaramoko'!U70+'DCF San Jose'!U84+'DCF Caylloma'!U104),IF(AND('DCF Caylloma'!U104&gt;=0,'DCF Lindero'!U66&gt;=0,'DCF Yaramoko'!U70&gt;=0,'DCF Seguela'!Q64&gt;=0),('DCF Seguela'!Q64*'DCF Seguela'!Q65+'DCF Yaramoko'!U70*'DCF Yaramoko'!U71+'DCF Lindero'!U66*'DCF Lindero'!U67+'DCF Caylloma'!U104*'DCF Caylloma'!U106)/('DCF Caylloma'!U104+'DCF Lindero'!U66+'DCF Yaramoko'!U70+'DCF Seguela'!Q64),IF(AND('DCF Seguela'!Q64&gt;=0,'DCF Yaramoko'!U70&gt;=0,'DCF Lindero'!U66&gt;=0,'DCF San Jose'!U84&gt;=0),('DCF San Jose'!U84*'DCF San Jose'!U86+'DCF Lindero'!U66*'DCF Lindero'!U67+'DCF Yaramoko'!U70*'DCF Yaramoko'!U71+'DCF Seguela'!Q64*'DCF Seguela'!Q65)/('DCF Seguela'!Q64+'DCF Yaramoko'!U70+'DCF Lindero'!U66+'DCF San Jose'!U84),IF(AND('DCF Lindero'!U66&gt;=0,'DCF Yaramoko'!U70&gt;=0,'DCF Seguela'!Q64&gt;=0),('DCF Seguela'!Q64*'DCF Seguela'!Q65+'DCF Yaramoko'!U70*'DCF Yaramoko'!U71+'DCF Lindero'!U66*'DCF Lindero'!U67)/('DCF Lindero'!U66+'DCF Yaramoko'!U70+'DCF Seguela'!Q64),IF(AND('DCF San Jose'!U84&gt;=0,'DCF Yaramoko'!U70&gt;=0,'DCF Seguela'!Q64&gt;=0),('DCF Seguela'!Q64*'DCF Seguela'!Q65+'DCF Yaramoko'!U70*'DCF Yaramoko'!U71+'DCF San Jose'!U84*'DCF San Jose'!U86)/('DCF San Jose'!U84+'DCF Yaramoko'!U70+'DCF Seguela'!Q64),IF(AND('DCF San Jose'!U84&gt;=0,'DCF Lindero'!U66&gt;=0,'DCF Seguela'!Q64&gt;=0),('DCF Seguela'!Q64*'DCF Seguela'!Q65+'DCF Lindero'!U66*'DCF Lindero'!U67+'DCF San Jose'!U84*'DCF San Jose'!U86)/('DCF San Jose'!U84+'DCF Lindero'!U66+'DCF Seguela'!Q64),IF(AND('DCF Yaramoko'!U70&gt;=0,'DCF Lindero'!U66&gt;=0,'DCF San Jose'!U84&gt;=0),('DCF San Jose'!U84*'DCF San Jose'!U86+'DCF Lindero'!U66*'DCF Lindero'!U67+'DCF Yaramoko'!U70*'DCF Yaramoko'!U71)/('DCF Yaramoko'!U70+'DCF Lindero'!U66+'DCF San Jose'!U84),IF(AND('DCF Caylloma'!U104&gt;=0,'DCF Yaramoko'!U70&gt;=0,'DCF Seguela'!Q64&gt;=0),('DCF Seguela'!Q64*'DCF Seguela'!Q65+'DCF Yaramoko'!U70*'DCF Yaramoko'!U71+'DCF Caylloma'!U104*'DCF Caylloma'!U106)/('DCF Caylloma'!U104+'DCF Yaramoko'!U70+'DCF Seguela'!Q64),IF(AND('DCF Caylloma'!U104&gt;=0,'DCF Lindero'!U66&gt;=0,'DCF Seguela'!Q64&gt;=0),('DCF Seguela'!Q64*'DCF Seguela'!Q65+'DCF Lindero'!U66*'DCF Lindero'!U67+'DCF Caylloma'!U104*'DCF Caylloma'!U106)/('DCF Caylloma'!U104+'DCF Lindero'!U66+'DCF Seguela'!Q64),IF(AND('DCF Caylloma'!U104&gt;=0,'DCF Lindero'!U66&gt;=0,'DCF Yaramoko'!U70&gt;=0),('DCF Yaramoko'!U70*'DCF Yaramoko'!U71+'DCF Lindero'!U66*'DCF Lindero'!U67+'DCF Caylloma'!U104*'DCF Caylloma'!U106)/('DCF Caylloma'!U104+'DCF Lindero'!U66+'DCF Yaramoko'!U70),IF(AND('DCF Seguela'!Q64&gt;=0,'DCF San Jose'!U84&gt;=0,'DCF Caylloma'!U104&gt;=0),('DCF Caylloma'!U104*'DCF Caylloma'!U106+'DCF San Jose'!U84*'DCF San Jose'!U86+'DCF Seguela'!Q64*'DCF Seguela'!Q65)/('DCF Seguela'!Q64+'DCF San Jose'!U84+'DCF Caylloma'!U104),IF(AND('DCF Caylloma'!U104&gt;=0,'DCF San Jose'!U84&gt;=0,'DCF Yaramoko'!U70&gt;=0),('DCF Yaramoko'!U70*'DCF Yaramoko'!U71+'DCF San Jose'!U84*'DCF San Jose'!U86+'DCF Caylloma'!U104*'DCF Caylloma'!U106)/('DCF Caylloma'!U104+'DCF San Jose'!U84+'DCF Yaramoko'!U70),IF(AND('DCF Lindero'!U66&gt;=0,'DCF San Jose'!U84&gt;=0,'DCF Caylloma'!U104&gt;=0),('DCF Caylloma'!U104*'DCF Caylloma'!U106+'DCF San Jose'!U84*'DCF San Jose'!U86+'DCF Lindero'!U66*'DCF Lindero'!U67)/('DCF Lindero'!U66+'DCF San Jose'!U84+'DCF Caylloma'!U104),IF(AND('DCF Seguela'!Q64&gt;=0,'DCF Yaramoko'!U70&gt;=0),('DCF Yaramoko'!U70*'DCF Yaramoko'!U71+'DCF Seguela'!Q64*'DCF Seguela'!Q65)/('DCF Seguela'!Q64+'DCF Yaramoko'!U70),IF(AND('DCF Yaramoko'!U70&gt;=0,'DCF Lindero'!U66&gt;=0),('DCF Lindero'!U66*'DCF Lindero'!U67+'DCF Yaramoko'!U70*'DCF Yaramoko'!U71)/('DCF Yaramoko'!U70+'DCF Lindero'!U66),IF(AND('DCF Yaramoko'!U70&gt;=0,'DCF San Jose'!U84&gt;=0),('DCF San Jose'!U84*'DCF San Jose'!U86+'DCF Yaramoko'!U70*'DCF Yaramoko'!U71)/('DCF Yaramoko'!U70+'DCF San Jose'!U84),IF(AND('DCF Yaramoko'!U70&gt;=0,'DCF Caylloma'!U104&gt;=0),('DCF Caylloma'!U104*'DCF Caylloma'!U106+'DCF Yaramoko'!U70*'DCF Yaramoko'!U71)/('DCF Yaramoko'!U70+'DCF Caylloma'!U104),IF(AND('DCF Caylloma'!U104&gt;=0,'DCF San Jose'!U84&gt;=0),('DCF San Jose'!U84*'DCF San Jose'!U86+'DCF Caylloma'!U104*'DCF Caylloma'!U106)/('DCF Caylloma'!U104+'DCF San Jose'!U84),IF(AND('DCF Caylloma'!U104&gt;=0,'DCF Lindero'!U66&gt;=0),('DCF Lindero'!U66*'DCF Lindero'!U67+'DCF Caylloma'!U104*'DCF Caylloma'!U106)/('DCF Caylloma'!U104+'DCF Lindero'!U66),IF(AND('DCF Caylloma'!U104&gt;=0,'DCF Seguela'!Q64&gt;=0),('DCF Seguela'!Q64*'DCF Seguela'!Q65+'DCF Caylloma'!U104*'DCF Caylloma'!U106)/('DCF Caylloma'!U104+'DCF Seguela'!Q64),IF(AND('DCF San Jose'!U84&gt;=0,'DCF Lindero'!U66&gt;=0),('DCF Lindero'!U66*'DCF Lindero'!U67+'DCF San Jose'!U84*'DCF San Jose'!U86)/('DCF San Jose'!U84+'DCF Lindero'!U66),IF(AND('DCF San Jose'!U84&gt;=0,'DCF Seguela'!Q64&gt;=0),('DCF Seguela'!Q64*'DCF Seguela'!Q65+'DCF San Jose'!U84*'DCF San Jose'!U86)/('DCF San Jose'!U84+'DCF Seguela'!Q64),IF(AND('DCF Lindero'!U66&gt;=0,'DCF Seguela'!Q64&gt;=0),('DCF Seguela'!Q64*'DCF Seguela'!Q65+'DCF Lindero'!U66*'DCF Lindero'!U67)/('DCF Lindero'!U66+'DCF Seguela'!Q64),IF('DCF Seguela'!Q64&gt;=0,'DCF Seguela'!Q65,IF('DCF Yaramoko'!T70&gt;=0,'DCF Yaramoko'!T71,IF('DCF Lindero'!U66&gt;=0,'DCF Lindero'!U67,IF('DCF San Jose'!U84&gt;=0,'DCF San Jose'!U86,IF('DCF Caylloma'!U104&gt;=0,'DCF Caylloma'!U106,0))))))))))))))))))))))))))))))))</f>
        <v>0.26995265850753747</v>
      </c>
      <c r="V118" s="28">
        <f>IF(AND('DCF Caylloma'!V104&lt;=0,'DCF San Jose'!V84&lt;=0,'DCF Lindero'!V66&lt;=0,'DCF Yaramoko'!V70&lt;=0,'DCF Seguela'!R64&lt;=0),0,IF(AND('DCF Caylloma'!V104&gt;=0,'DCF San Jose'!V84&gt;=0,'DCF Lindero'!V66&gt;=0,'DCF Yaramoko'!V70&gt;=0,'DCF Seguela'!R64&gt;=0),('DCF Seguela'!R64*'DCF Seguela'!R65+'DCF Yaramoko'!V70*'DCF Yaramoko'!V71+'DCF Lindero'!V66*'DCF Lindero'!V67+'DCF San Jose'!V84*'DCF San Jose'!V86+'DCF Caylloma'!V104*'DCF Caylloma'!V106)/('DCF Caylloma'!V104+'DCF San Jose'!V84+'DCF Lindero'!V66+'DCF Yaramoko'!V70+'DCF Seguela'!R64),IF(AND('DCF Caylloma'!V104&gt;=0,'DCF San Jose'!V84&gt;=0,'DCF Lindero'!V66&gt;=0,'DCF Yaramoko'!V70&gt;=0),('DCF Yaramoko'!V70*'DCF Yaramoko'!V71+'DCF Lindero'!V66*'DCF Lindero'!V67+'DCF San Jose'!V84*'DCF San Jose'!V86+'DCF Caylloma'!V104*'DCF Caylloma'!V106)/('DCF Caylloma'!V104+'DCF San Jose'!V84+'DCF Lindero'!V66+'DCF Yaramoko'!V70),IF(AND('DCF Caylloma'!V104&gt;=0,'DCF San Jose'!V84&gt;=0,'DCF Lindero'!V66&gt;=0,'DCF Seguela'!R64&gt;=0),('DCF Seguela'!R64*'DCF Seguela'!R65+'DCF Lindero'!V66*'DCF Lindero'!V67+'DCF San Jose'!V84*'DCF San Jose'!V86+'DCF Caylloma'!V104*'DCF Caylloma'!V106)/('DCF Caylloma'!V104+'DCF San Jose'!V84+'DCF Lindero'!V66+'DCF Seguela'!R64),IF(AND('DCF Seguela'!R64&gt;=0,'DCF Yaramoko'!V70&gt;=0,'DCF San Jose'!V84&gt;=0,'DCF Caylloma'!V104&gt;=0),('DCF Caylloma'!V104*'DCF Caylloma'!V106+'DCF San Jose'!V84*'DCF San Jose'!V86+'DCF Yaramoko'!V70*'DCF Yaramoko'!V71+'DCF Seguela'!R64*'DCF Seguela'!R65)/('DCF Seguela'!R64+'DCF Yaramoko'!V70+'DCF San Jose'!V84+'DCF Caylloma'!V104),IF(AND('DCF Caylloma'!V104&gt;=0,'DCF Lindero'!V66&gt;=0,'DCF Yaramoko'!V70&gt;=0,'DCF Seguela'!R64&gt;=0),('DCF Seguela'!R64*'DCF Seguela'!R65+'DCF Yaramoko'!V70*'DCF Yaramoko'!V71+'DCF Lindero'!V66*'DCF Lindero'!V67+'DCF Caylloma'!V104*'DCF Caylloma'!V106)/('DCF Caylloma'!V104+'DCF Lindero'!V66+'DCF Yaramoko'!V70+'DCF Seguela'!R64),IF(AND('DCF Seguela'!R64&gt;=0,'DCF Yaramoko'!V70&gt;=0,'DCF Lindero'!V66&gt;=0,'DCF San Jose'!V84&gt;=0),('DCF San Jose'!V84*'DCF San Jose'!V86+'DCF Lindero'!V66*'DCF Lindero'!V67+'DCF Yaramoko'!V70*'DCF Yaramoko'!V71+'DCF Seguela'!R64*'DCF Seguela'!R65)/('DCF Seguela'!R64+'DCF Yaramoko'!V70+'DCF Lindero'!V66+'DCF San Jose'!V84),IF(AND('DCF Lindero'!V66&gt;=0,'DCF Yaramoko'!V70&gt;=0,'DCF Seguela'!R64&gt;=0),('DCF Seguela'!R64*'DCF Seguela'!R65+'DCF Yaramoko'!V70*'DCF Yaramoko'!V71+'DCF Lindero'!V66*'DCF Lindero'!V67)/('DCF Lindero'!V66+'DCF Yaramoko'!V70+'DCF Seguela'!R64),IF(AND('DCF San Jose'!V84&gt;=0,'DCF Yaramoko'!V70&gt;=0,'DCF Seguela'!R64&gt;=0),('DCF Seguela'!R64*'DCF Seguela'!R65+'DCF Yaramoko'!V70*'DCF Yaramoko'!V71+'DCF San Jose'!V84*'DCF San Jose'!V86)/('DCF San Jose'!V84+'DCF Yaramoko'!V70+'DCF Seguela'!R64),IF(AND('DCF San Jose'!V84&gt;=0,'DCF Lindero'!V66&gt;=0,'DCF Seguela'!R64&gt;=0),('DCF Seguela'!R64*'DCF Seguela'!R65+'DCF Lindero'!V66*'DCF Lindero'!V67+'DCF San Jose'!V84*'DCF San Jose'!V86)/('DCF San Jose'!V84+'DCF Lindero'!V66+'DCF Seguela'!R64),IF(AND('DCF Yaramoko'!V70&gt;=0,'DCF Lindero'!V66&gt;=0,'DCF San Jose'!V84&gt;=0),('DCF San Jose'!V84*'DCF San Jose'!V86+'DCF Lindero'!V66*'DCF Lindero'!V67+'DCF Yaramoko'!V70*'DCF Yaramoko'!V71)/('DCF Yaramoko'!V70+'DCF Lindero'!V66+'DCF San Jose'!V84),IF(AND('DCF Caylloma'!V104&gt;=0,'DCF Yaramoko'!V70&gt;=0,'DCF Seguela'!R64&gt;=0),('DCF Seguela'!R64*'DCF Seguela'!R65+'DCF Yaramoko'!V70*'DCF Yaramoko'!V71+'DCF Caylloma'!V104*'DCF Caylloma'!V106)/('DCF Caylloma'!V104+'DCF Yaramoko'!V70+'DCF Seguela'!R64),IF(AND('DCF Caylloma'!V104&gt;=0,'DCF Lindero'!V66&gt;=0,'DCF Seguela'!R64&gt;=0),('DCF Seguela'!R64*'DCF Seguela'!R65+'DCF Lindero'!V66*'DCF Lindero'!V67+'DCF Caylloma'!V104*'DCF Caylloma'!V106)/('DCF Caylloma'!V104+'DCF Lindero'!V66+'DCF Seguela'!R64),IF(AND('DCF Caylloma'!V104&gt;=0,'DCF Lindero'!V66&gt;=0,'DCF Yaramoko'!V70&gt;=0),('DCF Yaramoko'!V70*'DCF Yaramoko'!V71+'DCF Lindero'!V66*'DCF Lindero'!V67+'DCF Caylloma'!V104*'DCF Caylloma'!V106)/('DCF Caylloma'!V104+'DCF Lindero'!V66+'DCF Yaramoko'!V70),IF(AND('DCF Seguela'!R64&gt;=0,'DCF San Jose'!V84&gt;=0,'DCF Caylloma'!V104&gt;=0),('DCF Caylloma'!V104*'DCF Caylloma'!V106+'DCF San Jose'!V84*'DCF San Jose'!V86+'DCF Seguela'!R64*'DCF Seguela'!R65)/('DCF Seguela'!R64+'DCF San Jose'!V84+'DCF Caylloma'!V104),IF(AND('DCF Caylloma'!V104&gt;=0,'DCF San Jose'!V84&gt;=0,'DCF Yaramoko'!V70&gt;=0),('DCF Yaramoko'!V70*'DCF Yaramoko'!V71+'DCF San Jose'!V84*'DCF San Jose'!V86+'DCF Caylloma'!V104*'DCF Caylloma'!V106)/('DCF Caylloma'!V104+'DCF San Jose'!V84+'DCF Yaramoko'!V70),IF(AND('DCF Lindero'!V66&gt;=0,'DCF San Jose'!V84&gt;=0,'DCF Caylloma'!V104&gt;=0),('DCF Caylloma'!V104*'DCF Caylloma'!V106+'DCF San Jose'!V84*'DCF San Jose'!V86+'DCF Lindero'!V66*'DCF Lindero'!V67)/('DCF Lindero'!V66+'DCF San Jose'!V84+'DCF Caylloma'!V104),IF(AND('DCF Seguela'!R64&gt;=0,'DCF Yaramoko'!V70&gt;=0),('DCF Yaramoko'!V70*'DCF Yaramoko'!V71+'DCF Seguela'!R64*'DCF Seguela'!R65)/('DCF Seguela'!R64+'DCF Yaramoko'!V70),IF(AND('DCF Yaramoko'!V70&gt;=0,'DCF Lindero'!V66&gt;=0),('DCF Lindero'!V66*'DCF Lindero'!V67+'DCF Yaramoko'!V70*'DCF Yaramoko'!V71)/('DCF Yaramoko'!V70+'DCF Lindero'!V66),IF(AND('DCF Yaramoko'!V70&gt;=0,'DCF San Jose'!V84&gt;=0),('DCF San Jose'!V84*'DCF San Jose'!V86+'DCF Yaramoko'!V70*'DCF Yaramoko'!V71)/('DCF Yaramoko'!V70+'DCF San Jose'!V84),IF(AND('DCF Yaramoko'!V70&gt;=0,'DCF Caylloma'!V104&gt;=0),('DCF Caylloma'!V104*'DCF Caylloma'!V106+'DCF Yaramoko'!V70*'DCF Yaramoko'!V71)/('DCF Yaramoko'!V70+'DCF Caylloma'!V104),IF(AND('DCF Caylloma'!V104&gt;=0,'DCF San Jose'!V84&gt;=0),('DCF San Jose'!V84*'DCF San Jose'!V86+'DCF Caylloma'!V104*'DCF Caylloma'!V106)/('DCF Caylloma'!V104+'DCF San Jose'!V84),IF(AND('DCF Caylloma'!V104&gt;=0,'DCF Lindero'!V66&gt;=0),('DCF Lindero'!V66*'DCF Lindero'!V67+'DCF Caylloma'!V104*'DCF Caylloma'!V106)/('DCF Caylloma'!V104+'DCF Lindero'!V66),IF(AND('DCF Caylloma'!V104&gt;=0,'DCF Seguela'!R64&gt;=0),('DCF Seguela'!R64*'DCF Seguela'!R65+'DCF Caylloma'!V104*'DCF Caylloma'!V106)/('DCF Caylloma'!V104+'DCF Seguela'!R64),IF(AND('DCF San Jose'!V84&gt;=0,'DCF Lindero'!V66&gt;=0),('DCF Lindero'!V66*'DCF Lindero'!V67+'DCF San Jose'!V84*'DCF San Jose'!V86)/('DCF San Jose'!V84+'DCF Lindero'!V66),IF(AND('DCF San Jose'!V84&gt;=0,'DCF Seguela'!R64&gt;=0),('DCF Seguela'!R64*'DCF Seguela'!R65+'DCF San Jose'!V84*'DCF San Jose'!V86)/('DCF San Jose'!V84+'DCF Seguela'!R64),IF(AND('DCF Lindero'!V66&gt;=0,'DCF Seguela'!R64&gt;=0),('DCF Seguela'!R64*'DCF Seguela'!R65+'DCF Lindero'!V66*'DCF Lindero'!V67)/('DCF Lindero'!V66+'DCF Seguela'!R64),IF('DCF Seguela'!R64&gt;=0,'DCF Seguela'!R65,IF('DCF Yaramoko'!U70&gt;=0,'DCF Yaramoko'!U71,IF('DCF Lindero'!V66&gt;=0,'DCF Lindero'!V67,IF('DCF San Jose'!V84&gt;=0,'DCF San Jose'!V86,IF('DCF Caylloma'!V104&gt;=0,'DCF Caylloma'!V106,0))))))))))))))))))))))))))))))))</f>
        <v>0.26841950106073631</v>
      </c>
      <c r="W118" s="28">
        <f>IF(AND('DCF Caylloma'!W104&lt;=0,'DCF San Jose'!W84&lt;=0,'DCF Lindero'!W66&lt;=0,'DCF Yaramoko'!W70&lt;=0,'DCF Seguela'!S64&lt;=0),0,IF(AND('DCF Caylloma'!W104&gt;=0,'DCF San Jose'!W84&gt;=0,'DCF Lindero'!W66&gt;=0,'DCF Yaramoko'!W70&gt;=0,'DCF Seguela'!S64&gt;=0),('DCF Seguela'!S64*'DCF Seguela'!S65+'DCF Yaramoko'!W70*'DCF Yaramoko'!W71+'DCF Lindero'!W66*'DCF Lindero'!W67+'DCF San Jose'!W84*'DCF San Jose'!W86+'DCF Caylloma'!W104*'DCF Caylloma'!W106)/('DCF Caylloma'!W104+'DCF San Jose'!W84+'DCF Lindero'!W66+'DCF Yaramoko'!W70+'DCF Seguela'!S64),IF(AND('DCF Caylloma'!W104&gt;=0,'DCF San Jose'!W84&gt;=0,'DCF Lindero'!W66&gt;=0,'DCF Yaramoko'!W70&gt;=0),('DCF Yaramoko'!W70*'DCF Yaramoko'!W71+'DCF Lindero'!W66*'DCF Lindero'!W67+'DCF San Jose'!W84*'DCF San Jose'!W86+'DCF Caylloma'!W104*'DCF Caylloma'!W106)/('DCF Caylloma'!W104+'DCF San Jose'!W84+'DCF Lindero'!W66+'DCF Yaramoko'!W70),IF(AND('DCF Caylloma'!W104&gt;=0,'DCF San Jose'!W84&gt;=0,'DCF Lindero'!W66&gt;=0,'DCF Seguela'!S64&gt;=0),('DCF Seguela'!S64*'DCF Seguela'!S65+'DCF Lindero'!W66*'DCF Lindero'!W67+'DCF San Jose'!W84*'DCF San Jose'!W86+'DCF Caylloma'!W104*'DCF Caylloma'!W106)/('DCF Caylloma'!W104+'DCF San Jose'!W84+'DCF Lindero'!W66+'DCF Seguela'!S64),IF(AND('DCF Seguela'!S64&gt;=0,'DCF Yaramoko'!W70&gt;=0,'DCF San Jose'!W84&gt;=0,'DCF Caylloma'!W104&gt;=0),('DCF Caylloma'!W104*'DCF Caylloma'!W106+'DCF San Jose'!W84*'DCF San Jose'!W86+'DCF Yaramoko'!W70*'DCF Yaramoko'!W71+'DCF Seguela'!S64*'DCF Seguela'!S65)/('DCF Seguela'!S64+'DCF Yaramoko'!W70+'DCF San Jose'!W84+'DCF Caylloma'!W104),IF(AND('DCF Caylloma'!W104&gt;=0,'DCF Lindero'!W66&gt;=0,'DCF Yaramoko'!W70&gt;=0,'DCF Seguela'!S64&gt;=0),('DCF Seguela'!S64*'DCF Seguela'!S65+'DCF Yaramoko'!W70*'DCF Yaramoko'!W71+'DCF Lindero'!W66*'DCF Lindero'!W67+'DCF Caylloma'!W104*'DCF Caylloma'!W106)/('DCF Caylloma'!W104+'DCF Lindero'!W66+'DCF Yaramoko'!W70+'DCF Seguela'!S64),IF(AND('DCF Seguela'!S64&gt;=0,'DCF Yaramoko'!W70&gt;=0,'DCF Lindero'!W66&gt;=0,'DCF San Jose'!W84&gt;=0),('DCF San Jose'!W84*'DCF San Jose'!W86+'DCF Lindero'!W66*'DCF Lindero'!W67+'DCF Yaramoko'!W70*'DCF Yaramoko'!W71+'DCF Seguela'!S64*'DCF Seguela'!S65)/('DCF Seguela'!S64+'DCF Yaramoko'!W70+'DCF Lindero'!W66+'DCF San Jose'!W84),IF(AND('DCF Lindero'!W66&gt;=0,'DCF Yaramoko'!W70&gt;=0,'DCF Seguela'!S64&gt;=0),('DCF Seguela'!S64*'DCF Seguela'!S65+'DCF Yaramoko'!W70*'DCF Yaramoko'!W71+'DCF Lindero'!W66*'DCF Lindero'!W67)/('DCF Lindero'!W66+'DCF Yaramoko'!W70+'DCF Seguela'!S64),IF(AND('DCF San Jose'!W84&gt;=0,'DCF Yaramoko'!W70&gt;=0,'DCF Seguela'!S64&gt;=0),('DCF Seguela'!S64*'DCF Seguela'!S65+'DCF Yaramoko'!W70*'DCF Yaramoko'!W71+'DCF San Jose'!W84*'DCF San Jose'!W86)/('DCF San Jose'!W84+'DCF Yaramoko'!W70+'DCF Seguela'!S64),IF(AND('DCF San Jose'!W84&gt;=0,'DCF Lindero'!W66&gt;=0,'DCF Seguela'!S64&gt;=0),('DCF Seguela'!S64*'DCF Seguela'!S65+'DCF Lindero'!W66*'DCF Lindero'!W67+'DCF San Jose'!W84*'DCF San Jose'!W86)/('DCF San Jose'!W84+'DCF Lindero'!W66+'DCF Seguela'!S64),IF(AND('DCF Yaramoko'!W70&gt;=0,'DCF Lindero'!W66&gt;=0,'DCF San Jose'!W84&gt;=0),('DCF San Jose'!W84*'DCF San Jose'!W86+'DCF Lindero'!W66*'DCF Lindero'!W67+'DCF Yaramoko'!W70*'DCF Yaramoko'!W71)/('DCF Yaramoko'!W70+'DCF Lindero'!W66+'DCF San Jose'!W84),IF(AND('DCF Caylloma'!W104&gt;=0,'DCF Yaramoko'!W70&gt;=0,'DCF Seguela'!S64&gt;=0),('DCF Seguela'!S64*'DCF Seguela'!S65+'DCF Yaramoko'!W70*'DCF Yaramoko'!W71+'DCF Caylloma'!W104*'DCF Caylloma'!W106)/('DCF Caylloma'!W104+'DCF Yaramoko'!W70+'DCF Seguela'!S64),IF(AND('DCF Caylloma'!W104&gt;=0,'DCF Lindero'!W66&gt;=0,'DCF Seguela'!S64&gt;=0),('DCF Seguela'!S64*'DCF Seguela'!S65+'DCF Lindero'!W66*'DCF Lindero'!W67+'DCF Caylloma'!W104*'DCF Caylloma'!W106)/('DCF Caylloma'!W104+'DCF Lindero'!W66+'DCF Seguela'!S64),IF(AND('DCF Caylloma'!W104&gt;=0,'DCF Lindero'!W66&gt;=0,'DCF Yaramoko'!W70&gt;=0),('DCF Yaramoko'!W70*'DCF Yaramoko'!W71+'DCF Lindero'!W66*'DCF Lindero'!W67+'DCF Caylloma'!W104*'DCF Caylloma'!W106)/('DCF Caylloma'!W104+'DCF Lindero'!W66+'DCF Yaramoko'!W70),IF(AND('DCF Seguela'!S64&gt;=0,'DCF San Jose'!W84&gt;=0,'DCF Caylloma'!W104&gt;=0),('DCF Caylloma'!W104*'DCF Caylloma'!W106+'DCF San Jose'!W84*'DCF San Jose'!W86+'DCF Seguela'!S64*'DCF Seguela'!S65)/('DCF Seguela'!S64+'DCF San Jose'!W84+'DCF Caylloma'!W104),IF(AND('DCF Caylloma'!W104&gt;=0,'DCF San Jose'!W84&gt;=0,'DCF Yaramoko'!W70&gt;=0),('DCF Yaramoko'!W70*'DCF Yaramoko'!W71+'DCF San Jose'!W84*'DCF San Jose'!W86+'DCF Caylloma'!W104*'DCF Caylloma'!W106)/('DCF Caylloma'!W104+'DCF San Jose'!W84+'DCF Yaramoko'!W70),IF(AND('DCF Lindero'!W66&gt;=0,'DCF San Jose'!W84&gt;=0,'DCF Caylloma'!W104&gt;=0),('DCF Caylloma'!W104*'DCF Caylloma'!W106+'DCF San Jose'!W84*'DCF San Jose'!W86+'DCF Lindero'!W66*'DCF Lindero'!W67)/('DCF Lindero'!W66+'DCF San Jose'!W84+'DCF Caylloma'!W104),IF(AND('DCF Seguela'!S64&gt;=0,'DCF Yaramoko'!W70&gt;=0),('DCF Yaramoko'!W70*'DCF Yaramoko'!W71+'DCF Seguela'!S64*'DCF Seguela'!S65)/('DCF Seguela'!S64+'DCF Yaramoko'!W70),IF(AND('DCF Yaramoko'!W70&gt;=0,'DCF Lindero'!W66&gt;=0),('DCF Lindero'!W66*'DCF Lindero'!W67+'DCF Yaramoko'!W70*'DCF Yaramoko'!W71)/('DCF Yaramoko'!W70+'DCF Lindero'!W66),IF(AND('DCF Yaramoko'!W70&gt;=0,'DCF San Jose'!W84&gt;=0),('DCF San Jose'!W84*'DCF San Jose'!W86+'DCF Yaramoko'!W70*'DCF Yaramoko'!W71)/('DCF Yaramoko'!W70+'DCF San Jose'!W84),IF(AND('DCF Yaramoko'!W70&gt;=0,'DCF Caylloma'!W104&gt;=0),('DCF Caylloma'!W104*'DCF Caylloma'!W106+'DCF Yaramoko'!W70*'DCF Yaramoko'!W71)/('DCF Yaramoko'!W70+'DCF Caylloma'!W104),IF(AND('DCF Caylloma'!W104&gt;=0,'DCF San Jose'!W84&gt;=0),('DCF San Jose'!W84*'DCF San Jose'!W86+'DCF Caylloma'!W104*'DCF Caylloma'!W106)/('DCF Caylloma'!W104+'DCF San Jose'!W84),IF(AND('DCF Caylloma'!W104&gt;=0,'DCF Lindero'!W66&gt;=0),('DCF Lindero'!W66*'DCF Lindero'!W67+'DCF Caylloma'!W104*'DCF Caylloma'!W106)/('DCF Caylloma'!W104+'DCF Lindero'!W66),IF(AND('DCF Caylloma'!W104&gt;=0,'DCF Seguela'!S64&gt;=0),('DCF Seguela'!S64*'DCF Seguela'!S65+'DCF Caylloma'!W104*'DCF Caylloma'!W106)/('DCF Caylloma'!W104+'DCF Seguela'!S64),IF(AND('DCF San Jose'!W84&gt;=0,'DCF Lindero'!W66&gt;=0),('DCF Lindero'!W66*'DCF Lindero'!W67+'DCF San Jose'!W84*'DCF San Jose'!W86)/('DCF San Jose'!W84+'DCF Lindero'!W66),IF(AND('DCF San Jose'!W84&gt;=0,'DCF Seguela'!S64&gt;=0),('DCF Seguela'!S64*'DCF Seguela'!S65+'DCF San Jose'!W84*'DCF San Jose'!W86)/('DCF San Jose'!W84+'DCF Seguela'!S64),IF(AND('DCF Lindero'!W66&gt;=0,'DCF Seguela'!S64&gt;=0),('DCF Seguela'!S64*'DCF Seguela'!S65+'DCF Lindero'!W66*'DCF Lindero'!W67)/('DCF Lindero'!W66+'DCF Seguela'!S64),IF('DCF Seguela'!S64&gt;=0,'DCF Seguela'!S65,IF('DCF Yaramoko'!V70&gt;=0,'DCF Yaramoko'!V71,IF('DCF Lindero'!W66&gt;=0,'DCF Lindero'!W67,IF('DCF San Jose'!W84&gt;=0,'DCF San Jose'!W86,IF('DCF Caylloma'!W104&gt;=0,'DCF Caylloma'!W106,0))))))))))))))))))))))))))))))))</f>
        <v>0.28481675290850678</v>
      </c>
      <c r="X118" s="28">
        <f>IF(AND('DCF Caylloma'!X104&lt;=0,'DCF San Jose'!X84&lt;=0,'DCF Lindero'!X66&lt;=0,'DCF Yaramoko'!X70&lt;=0,'DCF Seguela'!T64&lt;=0),0,IF(AND('DCF Caylloma'!X104&gt;=0,'DCF San Jose'!X84&gt;=0,'DCF Lindero'!X66&gt;=0,'DCF Yaramoko'!X70&gt;=0,'DCF Seguela'!T64&gt;=0),('DCF Seguela'!T64*'DCF Seguela'!T65+'DCF Yaramoko'!X70*'DCF Yaramoko'!X71+'DCF Lindero'!X66*'DCF Lindero'!X67+'DCF San Jose'!X84*'DCF San Jose'!X86+'DCF Caylloma'!X104*'DCF Caylloma'!X106)/('DCF Caylloma'!X104+'DCF San Jose'!X84+'DCF Lindero'!X66+'DCF Yaramoko'!X70+'DCF Seguela'!T64),IF(AND('DCF Caylloma'!X104&gt;=0,'DCF San Jose'!X84&gt;=0,'DCF Lindero'!X66&gt;=0,'DCF Yaramoko'!X70&gt;=0),('DCF Yaramoko'!X70*'DCF Yaramoko'!X71+'DCF Lindero'!X66*'DCF Lindero'!X67+'DCF San Jose'!X84*'DCF San Jose'!X86+'DCF Caylloma'!X104*'DCF Caylloma'!X106)/('DCF Caylloma'!X104+'DCF San Jose'!X84+'DCF Lindero'!X66+'DCF Yaramoko'!X70),IF(AND('DCF Caylloma'!X104&gt;=0,'DCF San Jose'!X84&gt;=0,'DCF Lindero'!X66&gt;=0,'DCF Seguela'!T64&gt;=0),('DCF Seguela'!T64*'DCF Seguela'!T65+'DCF Lindero'!X66*'DCF Lindero'!X67+'DCF San Jose'!X84*'DCF San Jose'!X86+'DCF Caylloma'!X104*'DCF Caylloma'!X106)/('DCF Caylloma'!X104+'DCF San Jose'!X84+'DCF Lindero'!X66+'DCF Seguela'!T64),IF(AND('DCF Seguela'!T64&gt;=0,'DCF Yaramoko'!X70&gt;=0,'DCF San Jose'!X84&gt;=0,'DCF Caylloma'!X104&gt;=0),('DCF Caylloma'!X104*'DCF Caylloma'!X106+'DCF San Jose'!X84*'DCF San Jose'!X86+'DCF Yaramoko'!X70*'DCF Yaramoko'!X71+'DCF Seguela'!T64*'DCF Seguela'!T65)/('DCF Seguela'!T64+'DCF Yaramoko'!X70+'DCF San Jose'!X84+'DCF Caylloma'!X104),IF(AND('DCF Caylloma'!X104&gt;=0,'DCF Lindero'!X66&gt;=0,'DCF Yaramoko'!X70&gt;=0,'DCF Seguela'!T64&gt;=0),('DCF Seguela'!T64*'DCF Seguela'!T65+'DCF Yaramoko'!X70*'DCF Yaramoko'!X71+'DCF Lindero'!X66*'DCF Lindero'!X67+'DCF Caylloma'!X104*'DCF Caylloma'!X106)/('DCF Caylloma'!X104+'DCF Lindero'!X66+'DCF Yaramoko'!X70+'DCF Seguela'!T64),IF(AND('DCF Seguela'!T64&gt;=0,'DCF Yaramoko'!X70&gt;=0,'DCF Lindero'!X66&gt;=0,'DCF San Jose'!X84&gt;=0),('DCF San Jose'!X84*'DCF San Jose'!X86+'DCF Lindero'!X66*'DCF Lindero'!X67+'DCF Yaramoko'!X70*'DCF Yaramoko'!X71+'DCF Seguela'!T64*'DCF Seguela'!T65)/('DCF Seguela'!T64+'DCF Yaramoko'!X70+'DCF Lindero'!X66+'DCF San Jose'!X84),IF(AND('DCF Lindero'!X66&gt;=0,'DCF Yaramoko'!X70&gt;=0,'DCF Seguela'!T64&gt;=0),('DCF Seguela'!T64*'DCF Seguela'!T65+'DCF Yaramoko'!X70*'DCF Yaramoko'!X71+'DCF Lindero'!X66*'DCF Lindero'!X67)/('DCF Lindero'!X66+'DCF Yaramoko'!X70+'DCF Seguela'!T64),IF(AND('DCF San Jose'!X84&gt;=0,'DCF Yaramoko'!X70&gt;=0,'DCF Seguela'!T64&gt;=0),('DCF Seguela'!T64*'DCF Seguela'!T65+'DCF Yaramoko'!X70*'DCF Yaramoko'!X71+'DCF San Jose'!X84*'DCF San Jose'!X86)/('DCF San Jose'!X84+'DCF Yaramoko'!X70+'DCF Seguela'!T64),IF(AND('DCF San Jose'!X84&gt;=0,'DCF Lindero'!X66&gt;=0,'DCF Seguela'!T64&gt;=0),('DCF Seguela'!T64*'DCF Seguela'!T65+'DCF Lindero'!X66*'DCF Lindero'!X67+'DCF San Jose'!X84*'DCF San Jose'!X86)/('DCF San Jose'!X84+'DCF Lindero'!X66+'DCF Seguela'!T64),IF(AND('DCF Yaramoko'!X70&gt;=0,'DCF Lindero'!X66&gt;=0,'DCF San Jose'!X84&gt;=0),('DCF San Jose'!X84*'DCF San Jose'!X86+'DCF Lindero'!X66*'DCF Lindero'!X67+'DCF Yaramoko'!X70*'DCF Yaramoko'!X71)/('DCF Yaramoko'!X70+'DCF Lindero'!X66+'DCF San Jose'!X84),IF(AND('DCF Caylloma'!X104&gt;=0,'DCF Yaramoko'!X70&gt;=0,'DCF Seguela'!T64&gt;=0),('DCF Seguela'!T64*'DCF Seguela'!T65+'DCF Yaramoko'!X70*'DCF Yaramoko'!X71+'DCF Caylloma'!X104*'DCF Caylloma'!X106)/('DCF Caylloma'!X104+'DCF Yaramoko'!X70+'DCF Seguela'!T64),IF(AND('DCF Caylloma'!X104&gt;=0,'DCF Lindero'!X66&gt;=0,'DCF Seguela'!T64&gt;=0),('DCF Seguela'!T64*'DCF Seguela'!T65+'DCF Lindero'!X66*'DCF Lindero'!X67+'DCF Caylloma'!X104*'DCF Caylloma'!X106)/('DCF Caylloma'!X104+'DCF Lindero'!X66+'DCF Seguela'!T64),IF(AND('DCF Caylloma'!X104&gt;=0,'DCF Lindero'!X66&gt;=0,'DCF Yaramoko'!X70&gt;=0),('DCF Yaramoko'!X70*'DCF Yaramoko'!X71+'DCF Lindero'!X66*'DCF Lindero'!X67+'DCF Caylloma'!X104*'DCF Caylloma'!X106)/('DCF Caylloma'!X104+'DCF Lindero'!X66+'DCF Yaramoko'!X70),IF(AND('DCF Seguela'!T64&gt;=0,'DCF San Jose'!X84&gt;=0,'DCF Caylloma'!X104&gt;=0),('DCF Caylloma'!X104*'DCF Caylloma'!X106+'DCF San Jose'!X84*'DCF San Jose'!X86+'DCF Seguela'!T64*'DCF Seguela'!T65)/('DCF Seguela'!T64+'DCF San Jose'!X84+'DCF Caylloma'!X104),IF(AND('DCF Caylloma'!X104&gt;=0,'DCF San Jose'!X84&gt;=0,'DCF Yaramoko'!X70&gt;=0),('DCF Yaramoko'!X70*'DCF Yaramoko'!X71+'DCF San Jose'!X84*'DCF San Jose'!X86+'DCF Caylloma'!X104*'DCF Caylloma'!X106)/('DCF Caylloma'!X104+'DCF San Jose'!X84+'DCF Yaramoko'!X70),IF(AND('DCF Lindero'!X66&gt;=0,'DCF San Jose'!X84&gt;=0,'DCF Caylloma'!X104&gt;=0),('DCF Caylloma'!X104*'DCF Caylloma'!X106+'DCF San Jose'!X84*'DCF San Jose'!X86+'DCF Lindero'!X66*'DCF Lindero'!X67)/('DCF Lindero'!X66+'DCF San Jose'!X84+'DCF Caylloma'!X104),IF(AND('DCF Seguela'!T64&gt;=0,'DCF Yaramoko'!X70&gt;=0),('DCF Yaramoko'!X70*'DCF Yaramoko'!X71+'DCF Seguela'!T64*'DCF Seguela'!T65)/('DCF Seguela'!T64+'DCF Yaramoko'!X70),IF(AND('DCF Yaramoko'!X70&gt;=0,'DCF Lindero'!X66&gt;=0),('DCF Lindero'!X66*'DCF Lindero'!X67+'DCF Yaramoko'!X70*'DCF Yaramoko'!X71)/('DCF Yaramoko'!X70+'DCF Lindero'!X66),IF(AND('DCF Yaramoko'!X70&gt;=0,'DCF San Jose'!X84&gt;=0),('DCF San Jose'!X84*'DCF San Jose'!X86+'DCF Yaramoko'!X70*'DCF Yaramoko'!X71)/('DCF Yaramoko'!X70+'DCF San Jose'!X84),IF(AND('DCF Yaramoko'!X70&gt;=0,'DCF Caylloma'!X104&gt;=0),('DCF Caylloma'!X104*'DCF Caylloma'!X106+'DCF Yaramoko'!X70*'DCF Yaramoko'!X71)/('DCF Yaramoko'!X70+'DCF Caylloma'!X104),IF(AND('DCF Caylloma'!X104&gt;=0,'DCF San Jose'!X84&gt;=0),('DCF San Jose'!X84*'DCF San Jose'!X86+'DCF Caylloma'!X104*'DCF Caylloma'!X106)/('DCF Caylloma'!X104+'DCF San Jose'!X84),IF(AND('DCF Caylloma'!X104&gt;=0,'DCF Lindero'!X66&gt;=0),('DCF Lindero'!X66*'DCF Lindero'!X67+'DCF Caylloma'!X104*'DCF Caylloma'!X106)/('DCF Caylloma'!X104+'DCF Lindero'!X66),IF(AND('DCF Caylloma'!X104&gt;=0,'DCF Seguela'!T64&gt;=0),('DCF Seguela'!T64*'DCF Seguela'!T65+'DCF Caylloma'!X104*'DCF Caylloma'!X106)/('DCF Caylloma'!X104+'DCF Seguela'!T64),IF(AND('DCF San Jose'!X84&gt;=0,'DCF Lindero'!X66&gt;=0),('DCF Lindero'!X66*'DCF Lindero'!X67+'DCF San Jose'!X84*'DCF San Jose'!X86)/('DCF San Jose'!X84+'DCF Lindero'!X66),IF(AND('DCF San Jose'!X84&gt;=0,'DCF Seguela'!T64&gt;=0),('DCF Seguela'!T64*'DCF Seguela'!T65+'DCF San Jose'!X84*'DCF San Jose'!X86)/('DCF San Jose'!X84+'DCF Seguela'!T64),IF(AND('DCF Lindero'!X66&gt;=0,'DCF Seguela'!T64&gt;=0),('DCF Seguela'!T64*'DCF Seguela'!T65+'DCF Lindero'!X66*'DCF Lindero'!X67)/('DCF Lindero'!X66+'DCF Seguela'!T64),IF('DCF Seguela'!T64&gt;=0,'DCF Seguela'!T65,IF('DCF Yaramoko'!W70&gt;=0,'DCF Yaramoko'!W71,IF('DCF Lindero'!X66&gt;=0,'DCF Lindero'!X67,IF('DCF San Jose'!X84&gt;=0,'DCF San Jose'!X86,IF('DCF Caylloma'!X104&gt;=0,'DCF Caylloma'!X106,0))))))))))))))))))))))))))))))))</f>
        <v>0.28371959065105362</v>
      </c>
      <c r="Y118" s="28">
        <f>IF(AND('DCF Caylloma'!Y104&lt;=0,'DCF San Jose'!Y84&lt;=0,'DCF Lindero'!Y66&lt;=0,'DCF Yaramoko'!Y70&lt;=0,'DCF Seguela'!U64&lt;=0),0,IF(AND('DCF Caylloma'!Y104&gt;=0,'DCF San Jose'!Y84&gt;=0,'DCF Lindero'!Y66&gt;=0,'DCF Yaramoko'!Y70&gt;=0,'DCF Seguela'!U64&gt;=0),('DCF Seguela'!U64*'DCF Seguela'!U65+'DCF Yaramoko'!Y70*'DCF Yaramoko'!Y71+'DCF Lindero'!Y66*'DCF Lindero'!Y67+'DCF San Jose'!Y84*'DCF San Jose'!Y86+'DCF Caylloma'!Y104*'DCF Caylloma'!Y106)/('DCF Caylloma'!Y104+'DCF San Jose'!Y84+'DCF Lindero'!Y66+'DCF Yaramoko'!Y70+'DCF Seguela'!U64),IF(AND('DCF Caylloma'!Y104&gt;=0,'DCF San Jose'!Y84&gt;=0,'DCF Lindero'!Y66&gt;=0,'DCF Yaramoko'!Y70&gt;=0),('DCF Yaramoko'!Y70*'DCF Yaramoko'!Y71+'DCF Lindero'!Y66*'DCF Lindero'!Y67+'DCF San Jose'!Y84*'DCF San Jose'!Y86+'DCF Caylloma'!Y104*'DCF Caylloma'!Y106)/('DCF Caylloma'!Y104+'DCF San Jose'!Y84+'DCF Lindero'!Y66+'DCF Yaramoko'!Y70),IF(AND('DCF Caylloma'!Y104&gt;=0,'DCF San Jose'!Y84&gt;=0,'DCF Lindero'!Y66&gt;=0,'DCF Seguela'!U64&gt;=0),('DCF Seguela'!U64*'DCF Seguela'!U65+'DCF Lindero'!Y66*'DCF Lindero'!Y67+'DCF San Jose'!Y84*'DCF San Jose'!Y86+'DCF Caylloma'!Y104*'DCF Caylloma'!Y106)/('DCF Caylloma'!Y104+'DCF San Jose'!Y84+'DCF Lindero'!Y66+'DCF Seguela'!U64),IF(AND('DCF Seguela'!U64&gt;=0,'DCF Yaramoko'!Y70&gt;=0,'DCF San Jose'!Y84&gt;=0,'DCF Caylloma'!Y104&gt;=0),('DCF Caylloma'!Y104*'DCF Caylloma'!Y106+'DCF San Jose'!Y84*'DCF San Jose'!Y86+'DCF Yaramoko'!Y70*'DCF Yaramoko'!Y71+'DCF Seguela'!U64*'DCF Seguela'!U65)/('DCF Seguela'!U64+'DCF Yaramoko'!Y70+'DCF San Jose'!Y84+'DCF Caylloma'!Y104),IF(AND('DCF Caylloma'!Y104&gt;=0,'DCF Lindero'!Y66&gt;=0,'DCF Yaramoko'!Y70&gt;=0,'DCF Seguela'!U64&gt;=0),('DCF Seguela'!U64*'DCF Seguela'!U65+'DCF Yaramoko'!Y70*'DCF Yaramoko'!Y71+'DCF Lindero'!Y66*'DCF Lindero'!Y67+'DCF Caylloma'!Y104*'DCF Caylloma'!Y106)/('DCF Caylloma'!Y104+'DCF Lindero'!Y66+'DCF Yaramoko'!Y70+'DCF Seguela'!U64),IF(AND('DCF Seguela'!U64&gt;=0,'DCF Yaramoko'!Y70&gt;=0,'DCF Lindero'!Y66&gt;=0,'DCF San Jose'!Y84&gt;=0),('DCF San Jose'!Y84*'DCF San Jose'!Y86+'DCF Lindero'!Y66*'DCF Lindero'!Y67+'DCF Yaramoko'!Y70*'DCF Yaramoko'!Y71+'DCF Seguela'!U64*'DCF Seguela'!U65)/('DCF Seguela'!U64+'DCF Yaramoko'!Y70+'DCF Lindero'!Y66+'DCF San Jose'!Y84),IF(AND('DCF Lindero'!Y66&gt;=0,'DCF Yaramoko'!Y70&gt;=0,'DCF Seguela'!U64&gt;=0),('DCF Seguela'!U64*'DCF Seguela'!U65+'DCF Yaramoko'!Y70*'DCF Yaramoko'!Y71+'DCF Lindero'!Y66*'DCF Lindero'!Y67)/('DCF Lindero'!Y66+'DCF Yaramoko'!Y70+'DCF Seguela'!U64),IF(AND('DCF San Jose'!Y84&gt;=0,'DCF Yaramoko'!Y70&gt;=0,'DCF Seguela'!U64&gt;=0),('DCF Seguela'!U64*'DCF Seguela'!U65+'DCF Yaramoko'!Y70*'DCF Yaramoko'!Y71+'DCF San Jose'!Y84*'DCF San Jose'!Y86)/('DCF San Jose'!Y84+'DCF Yaramoko'!Y70+'DCF Seguela'!U64),IF(AND('DCF San Jose'!Y84&gt;=0,'DCF Lindero'!Y66&gt;=0,'DCF Seguela'!U64&gt;=0),('DCF Seguela'!U64*'DCF Seguela'!U65+'DCF Lindero'!Y66*'DCF Lindero'!Y67+'DCF San Jose'!Y84*'DCF San Jose'!Y86)/('DCF San Jose'!Y84+'DCF Lindero'!Y66+'DCF Seguela'!U64),IF(AND('DCF Yaramoko'!Y70&gt;=0,'DCF Lindero'!Y66&gt;=0,'DCF San Jose'!Y84&gt;=0),('DCF San Jose'!Y84*'DCF San Jose'!Y86+'DCF Lindero'!Y66*'DCF Lindero'!Y67+'DCF Yaramoko'!Y70*'DCF Yaramoko'!Y71)/('DCF Yaramoko'!Y70+'DCF Lindero'!Y66+'DCF San Jose'!Y84),IF(AND('DCF Caylloma'!Y104&gt;=0,'DCF Yaramoko'!Y70&gt;=0,'DCF Seguela'!U64&gt;=0),('DCF Seguela'!U64*'DCF Seguela'!U65+'DCF Yaramoko'!Y70*'DCF Yaramoko'!Y71+'DCF Caylloma'!Y104*'DCF Caylloma'!Y106)/('DCF Caylloma'!Y104+'DCF Yaramoko'!Y70+'DCF Seguela'!U64),IF(AND('DCF Caylloma'!Y104&gt;=0,'DCF Lindero'!Y66&gt;=0,'DCF Seguela'!U64&gt;=0),('DCF Seguela'!U64*'DCF Seguela'!U65+'DCF Lindero'!Y66*'DCF Lindero'!Y67+'DCF Caylloma'!Y104*'DCF Caylloma'!Y106)/('DCF Caylloma'!Y104+'DCF Lindero'!Y66+'DCF Seguela'!U64),IF(AND('DCF Caylloma'!Y104&gt;=0,'DCF Lindero'!Y66&gt;=0,'DCF Yaramoko'!Y70&gt;=0),('DCF Yaramoko'!Y70*'DCF Yaramoko'!Y71+'DCF Lindero'!Y66*'DCF Lindero'!Y67+'DCF Caylloma'!Y104*'DCF Caylloma'!Y106)/('DCF Caylloma'!Y104+'DCF Lindero'!Y66+'DCF Yaramoko'!Y70),IF(AND('DCF Seguela'!U64&gt;=0,'DCF San Jose'!Y84&gt;=0,'DCF Caylloma'!Y104&gt;=0),('DCF Caylloma'!Y104*'DCF Caylloma'!Y106+'DCF San Jose'!Y84*'DCF San Jose'!Y86+'DCF Seguela'!U64*'DCF Seguela'!U65)/('DCF Seguela'!U64+'DCF San Jose'!Y84+'DCF Caylloma'!Y104),IF(AND('DCF Caylloma'!Y104&gt;=0,'DCF San Jose'!Y84&gt;=0,'DCF Yaramoko'!Y70&gt;=0),('DCF Yaramoko'!Y70*'DCF Yaramoko'!Y71+'DCF San Jose'!Y84*'DCF San Jose'!Y86+'DCF Caylloma'!Y104*'DCF Caylloma'!Y106)/('DCF Caylloma'!Y104+'DCF San Jose'!Y84+'DCF Yaramoko'!Y70),IF(AND('DCF Lindero'!Y66&gt;=0,'DCF San Jose'!Y84&gt;=0,'DCF Caylloma'!Y104&gt;=0),('DCF Caylloma'!Y104*'DCF Caylloma'!Y106+'DCF San Jose'!Y84*'DCF San Jose'!Y86+'DCF Lindero'!Y66*'DCF Lindero'!Y67)/('DCF Lindero'!Y66+'DCF San Jose'!Y84+'DCF Caylloma'!Y104),IF(AND('DCF Seguela'!U64&gt;=0,'DCF Yaramoko'!Y70&gt;=0),('DCF Yaramoko'!Y70*'DCF Yaramoko'!Y71+'DCF Seguela'!U64*'DCF Seguela'!U65)/('DCF Seguela'!U64+'DCF Yaramoko'!Y70),IF(AND('DCF Yaramoko'!Y70&gt;=0,'DCF Lindero'!Y66&gt;=0),('DCF Lindero'!Y66*'DCF Lindero'!Y67+'DCF Yaramoko'!Y70*'DCF Yaramoko'!Y71)/('DCF Yaramoko'!Y70+'DCF Lindero'!Y66),IF(AND('DCF Yaramoko'!Y70&gt;=0,'DCF San Jose'!Y84&gt;=0),('DCF San Jose'!Y84*'DCF San Jose'!Y86+'DCF Yaramoko'!Y70*'DCF Yaramoko'!Y71)/('DCF Yaramoko'!Y70+'DCF San Jose'!Y84),IF(AND('DCF Yaramoko'!Y70&gt;=0,'DCF Caylloma'!Y104&gt;=0),('DCF Caylloma'!Y104*'DCF Caylloma'!Y106+'DCF Yaramoko'!Y70*'DCF Yaramoko'!Y71)/('DCF Yaramoko'!Y70+'DCF Caylloma'!Y104),IF(AND('DCF Caylloma'!Y104&gt;=0,'DCF San Jose'!Y84&gt;=0),('DCF San Jose'!Y84*'DCF San Jose'!Y86+'DCF Caylloma'!Y104*'DCF Caylloma'!Y106)/('DCF Caylloma'!Y104+'DCF San Jose'!Y84),IF(AND('DCF Caylloma'!Y104&gt;=0,'DCF Lindero'!Y66&gt;=0),('DCF Lindero'!Y66*'DCF Lindero'!Y67+'DCF Caylloma'!Y104*'DCF Caylloma'!Y106)/('DCF Caylloma'!Y104+'DCF Lindero'!Y66),IF(AND('DCF Caylloma'!Y104&gt;=0,'DCF Seguela'!U64&gt;=0),('DCF Seguela'!U64*'DCF Seguela'!U65+'DCF Caylloma'!Y104*'DCF Caylloma'!Y106)/('DCF Caylloma'!Y104+'DCF Seguela'!U64),IF(AND('DCF San Jose'!Y84&gt;=0,'DCF Lindero'!Y66&gt;=0),('DCF Lindero'!Y66*'DCF Lindero'!Y67+'DCF San Jose'!Y84*'DCF San Jose'!Y86)/('DCF San Jose'!Y84+'DCF Lindero'!Y66),IF(AND('DCF San Jose'!Y84&gt;=0,'DCF Seguela'!U64&gt;=0),('DCF Seguela'!U64*'DCF Seguela'!U65+'DCF San Jose'!Y84*'DCF San Jose'!Y86)/('DCF San Jose'!Y84+'DCF Seguela'!U64),IF(AND('DCF Lindero'!Y66&gt;=0,'DCF Seguela'!U64&gt;=0),('DCF Seguela'!U64*'DCF Seguela'!U65+'DCF Lindero'!Y66*'DCF Lindero'!Y67)/('DCF Lindero'!Y66+'DCF Seguela'!U64),IF('DCF Seguela'!U64&gt;=0,'DCF Seguela'!U65,IF('DCF Yaramoko'!X70&gt;=0,'DCF Yaramoko'!X71,IF('DCF Lindero'!Y66&gt;=0,'DCF Lindero'!Y67,IF('DCF San Jose'!Y84&gt;=0,'DCF San Jose'!Y86,IF('DCF Caylloma'!Y104&gt;=0,'DCF Caylloma'!Y106,0))))))))))))))))))))))))))))))))</f>
        <v>0.30789090315941581</v>
      </c>
      <c r="Z118" s="28">
        <f>IF(AND('DCF Caylloma'!Z104&lt;=0,'DCF San Jose'!Z84&lt;=0,'DCF Lindero'!Z66&lt;=0,'DCF Yaramoko'!Z70&lt;=0,'DCF Seguela'!V64&lt;=0),0,IF(AND('DCF Caylloma'!Z104&gt;=0,'DCF San Jose'!Z84&gt;=0,'DCF Lindero'!Z66&gt;=0,'DCF Yaramoko'!Z70&gt;=0,'DCF Seguela'!V64&gt;=0),('DCF Seguela'!V64*'DCF Seguela'!V65+'DCF Yaramoko'!Z70*'DCF Yaramoko'!Z71+'DCF Lindero'!Z66*'DCF Lindero'!Z67+'DCF San Jose'!Z84*'DCF San Jose'!Z86+'DCF Caylloma'!Z104*'DCF Caylloma'!Z106)/('DCF Caylloma'!Z104+'DCF San Jose'!Z84+'DCF Lindero'!Z66+'DCF Yaramoko'!Z70+'DCF Seguela'!V64),IF(AND('DCF Caylloma'!Z104&gt;=0,'DCF San Jose'!Z84&gt;=0,'DCF Lindero'!Z66&gt;=0,'DCF Yaramoko'!Z70&gt;=0),('DCF Yaramoko'!Z70*'DCF Yaramoko'!Z71+'DCF Lindero'!Z66*'DCF Lindero'!Z67+'DCF San Jose'!Z84*'DCF San Jose'!Z86+'DCF Caylloma'!Z104*'DCF Caylloma'!Z106)/('DCF Caylloma'!Z104+'DCF San Jose'!Z84+'DCF Lindero'!Z66+'DCF Yaramoko'!Z70),IF(AND('DCF Caylloma'!Z104&gt;=0,'DCF San Jose'!Z84&gt;=0,'DCF Lindero'!Z66&gt;=0,'DCF Seguela'!V64&gt;=0),('DCF Seguela'!V64*'DCF Seguela'!V65+'DCF Lindero'!Z66*'DCF Lindero'!Z67+'DCF San Jose'!Z84*'DCF San Jose'!Z86+'DCF Caylloma'!Z104*'DCF Caylloma'!Z106)/('DCF Caylloma'!Z104+'DCF San Jose'!Z84+'DCF Lindero'!Z66+'DCF Seguela'!V64),IF(AND('DCF Seguela'!V64&gt;=0,'DCF Yaramoko'!Z70&gt;=0,'DCF San Jose'!Z84&gt;=0,'DCF Caylloma'!Z104&gt;=0),('DCF Caylloma'!Z104*'DCF Caylloma'!Z106+'DCF San Jose'!Z84*'DCF San Jose'!Z86+'DCF Yaramoko'!Z70*'DCF Yaramoko'!Z71+'DCF Seguela'!V64*'DCF Seguela'!V65)/('DCF Seguela'!V64+'DCF Yaramoko'!Z70+'DCF San Jose'!Z84+'DCF Caylloma'!Z104),IF(AND('DCF Caylloma'!Z104&gt;=0,'DCF Lindero'!Z66&gt;=0,'DCF Yaramoko'!Z70&gt;=0,'DCF Seguela'!V64&gt;=0),('DCF Seguela'!V64*'DCF Seguela'!V65+'DCF Yaramoko'!Z70*'DCF Yaramoko'!Z71+'DCF Lindero'!Z66*'DCF Lindero'!Z67+'DCF Caylloma'!Z104*'DCF Caylloma'!Z106)/('DCF Caylloma'!Z104+'DCF Lindero'!Z66+'DCF Yaramoko'!Z70+'DCF Seguela'!V64),IF(AND('DCF Seguela'!V64&gt;=0,'DCF Yaramoko'!Z70&gt;=0,'DCF Lindero'!Z66&gt;=0,'DCF San Jose'!Z84&gt;=0),('DCF San Jose'!Z84*'DCF San Jose'!Z86+'DCF Lindero'!Z66*'DCF Lindero'!Z67+'DCF Yaramoko'!Z70*'DCF Yaramoko'!Z71+'DCF Seguela'!V64*'DCF Seguela'!V65)/('DCF Seguela'!V64+'DCF Yaramoko'!Z70+'DCF Lindero'!Z66+'DCF San Jose'!Z84),IF(AND('DCF Lindero'!Z66&gt;=0,'DCF Yaramoko'!Z70&gt;=0,'DCF Seguela'!V64&gt;=0),('DCF Seguela'!V64*'DCF Seguela'!V65+'DCF Yaramoko'!Z70*'DCF Yaramoko'!Z71+'DCF Lindero'!Z66*'DCF Lindero'!Z67)/('DCF Lindero'!Z66+'DCF Yaramoko'!Z70+'DCF Seguela'!V64),IF(AND('DCF San Jose'!Z84&gt;=0,'DCF Yaramoko'!Z70&gt;=0,'DCF Seguela'!V64&gt;=0),('DCF Seguela'!V64*'DCF Seguela'!V65+'DCF Yaramoko'!Z70*'DCF Yaramoko'!Z71+'DCF San Jose'!Z84*'DCF San Jose'!Z86)/('DCF San Jose'!Z84+'DCF Yaramoko'!Z70+'DCF Seguela'!V64),IF(AND('DCF San Jose'!Z84&gt;=0,'DCF Lindero'!Z66&gt;=0,'DCF Seguela'!V64&gt;=0),('DCF Seguela'!V64*'DCF Seguela'!V65+'DCF Lindero'!Z66*'DCF Lindero'!Z67+'DCF San Jose'!Z84*'DCF San Jose'!Z86)/('DCF San Jose'!Z84+'DCF Lindero'!Z66+'DCF Seguela'!V64),IF(AND('DCF Yaramoko'!Z70&gt;=0,'DCF Lindero'!Z66&gt;=0,'DCF San Jose'!Z84&gt;=0),('DCF San Jose'!Z84*'DCF San Jose'!Z86+'DCF Lindero'!Z66*'DCF Lindero'!Z67+'DCF Yaramoko'!Z70*'DCF Yaramoko'!Z71)/('DCF Yaramoko'!Z70+'DCF Lindero'!Z66+'DCF San Jose'!Z84),IF(AND('DCF Caylloma'!Z104&gt;=0,'DCF Yaramoko'!Z70&gt;=0,'DCF Seguela'!V64&gt;=0),('DCF Seguela'!V64*'DCF Seguela'!V65+'DCF Yaramoko'!Z70*'DCF Yaramoko'!Z71+'DCF Caylloma'!Z104*'DCF Caylloma'!Z106)/('DCF Caylloma'!Z104+'DCF Yaramoko'!Z70+'DCF Seguela'!V64),IF(AND('DCF Caylloma'!Z104&gt;=0,'DCF Lindero'!Z66&gt;=0,'DCF Seguela'!V64&gt;=0),('DCF Seguela'!V64*'DCF Seguela'!V65+'DCF Lindero'!Z66*'DCF Lindero'!Z67+'DCF Caylloma'!Z104*'DCF Caylloma'!Z106)/('DCF Caylloma'!Z104+'DCF Lindero'!Z66+'DCF Seguela'!V64),IF(AND('DCF Caylloma'!Z104&gt;=0,'DCF Lindero'!Z66&gt;=0,'DCF Yaramoko'!Z70&gt;=0),('DCF Yaramoko'!Z70*'DCF Yaramoko'!Z71+'DCF Lindero'!Z66*'DCF Lindero'!Z67+'DCF Caylloma'!Z104*'DCF Caylloma'!Z106)/('DCF Caylloma'!Z104+'DCF Lindero'!Z66+'DCF Yaramoko'!Z70),IF(AND('DCF Seguela'!V64&gt;=0,'DCF San Jose'!Z84&gt;=0,'DCF Caylloma'!Z104&gt;=0),('DCF Caylloma'!Z104*'DCF Caylloma'!Z106+'DCF San Jose'!Z84*'DCF San Jose'!Z86+'DCF Seguela'!V64*'DCF Seguela'!V65)/('DCF Seguela'!V64+'DCF San Jose'!Z84+'DCF Caylloma'!Z104),IF(AND('DCF Caylloma'!Z104&gt;=0,'DCF San Jose'!Z84&gt;=0,'DCF Yaramoko'!Z70&gt;=0),('DCF Yaramoko'!Z70*'DCF Yaramoko'!Z71+'DCF San Jose'!Z84*'DCF San Jose'!Z86+'DCF Caylloma'!Z104*'DCF Caylloma'!Z106)/('DCF Caylloma'!Z104+'DCF San Jose'!Z84+'DCF Yaramoko'!Z70),IF(AND('DCF Lindero'!Z66&gt;=0,'DCF San Jose'!Z84&gt;=0,'DCF Caylloma'!Z104&gt;=0),('DCF Caylloma'!Z104*'DCF Caylloma'!Z106+'DCF San Jose'!Z84*'DCF San Jose'!Z86+'DCF Lindero'!Z66*'DCF Lindero'!Z67)/('DCF Lindero'!Z66+'DCF San Jose'!Z84+'DCF Caylloma'!Z104),IF(AND('DCF Seguela'!V64&gt;=0,'DCF Yaramoko'!Z70&gt;=0),('DCF Yaramoko'!Z70*'DCF Yaramoko'!Z71+'DCF Seguela'!V64*'DCF Seguela'!V65)/('DCF Seguela'!V64+'DCF Yaramoko'!Z70),IF(AND('DCF Yaramoko'!Z70&gt;=0,'DCF Lindero'!Z66&gt;=0),('DCF Lindero'!Z66*'DCF Lindero'!Z67+'DCF Yaramoko'!Z70*'DCF Yaramoko'!Z71)/('DCF Yaramoko'!Z70+'DCF Lindero'!Z66),IF(AND('DCF Yaramoko'!Z70&gt;=0,'DCF San Jose'!Z84&gt;=0),('DCF San Jose'!Z84*'DCF San Jose'!Z86+'DCF Yaramoko'!Z70*'DCF Yaramoko'!Z71)/('DCF Yaramoko'!Z70+'DCF San Jose'!Z84),IF(AND('DCF Yaramoko'!Z70&gt;=0,'DCF Caylloma'!Z104&gt;=0),('DCF Caylloma'!Z104*'DCF Caylloma'!Z106+'DCF Yaramoko'!Z70*'DCF Yaramoko'!Z71)/('DCF Yaramoko'!Z70+'DCF Caylloma'!Z104),IF(AND('DCF Caylloma'!Z104&gt;=0,'DCF San Jose'!Z84&gt;=0),('DCF San Jose'!Z84*'DCF San Jose'!Z86+'DCF Caylloma'!Z104*'DCF Caylloma'!Z106)/('DCF Caylloma'!Z104+'DCF San Jose'!Z84),IF(AND('DCF Caylloma'!Z104&gt;=0,'DCF Lindero'!Z66&gt;=0),('DCF Lindero'!Z66*'DCF Lindero'!Z67+'DCF Caylloma'!Z104*'DCF Caylloma'!Z106)/('DCF Caylloma'!Z104+'DCF Lindero'!Z66),IF(AND('DCF Caylloma'!Z104&gt;=0,'DCF Seguela'!V64&gt;=0),('DCF Seguela'!V64*'DCF Seguela'!V65+'DCF Caylloma'!Z104*'DCF Caylloma'!Z106)/('DCF Caylloma'!Z104+'DCF Seguela'!V64),IF(AND('DCF San Jose'!Z84&gt;=0,'DCF Lindero'!Z66&gt;=0),('DCF Lindero'!Z66*'DCF Lindero'!Z67+'DCF San Jose'!Z84*'DCF San Jose'!Z86)/('DCF San Jose'!Z84+'DCF Lindero'!Z66),IF(AND('DCF San Jose'!Z84&gt;=0,'DCF Seguela'!V64&gt;=0),('DCF Seguela'!V64*'DCF Seguela'!V65+'DCF San Jose'!Z84*'DCF San Jose'!Z86)/('DCF San Jose'!Z84+'DCF Seguela'!V64),IF(AND('DCF Lindero'!Z66&gt;=0,'DCF Seguela'!V64&gt;=0),('DCF Seguela'!V64*'DCF Seguela'!V65+'DCF Lindero'!Z66*'DCF Lindero'!Z67)/('DCF Lindero'!Z66+'DCF Seguela'!V64),IF('DCF Seguela'!V64&gt;=0,'DCF Seguela'!V65,IF('DCF Yaramoko'!Y70&gt;=0,'DCF Yaramoko'!Y71,IF('DCF Lindero'!Z66&gt;=0,'DCF Lindero'!Z67,IF('DCF San Jose'!Z84&gt;=0,'DCF San Jose'!Z86,IF('DCF Caylloma'!Z104&gt;=0,'DCF Caylloma'!Z106,0))))))))))))))))))))))))))))))))</f>
        <v>0.34210753864287041</v>
      </c>
      <c r="AA118" s="28">
        <f>IF(AND('DCF Caylloma'!AA104&lt;=0,'DCF San Jose'!AA84&lt;=0,'DCF Lindero'!AA66&lt;=0,'DCF Yaramoko'!AA70&lt;=0,'DCF Seguela'!W64&lt;=0),0,IF(AND('DCF Caylloma'!AA104&gt;=0,'DCF San Jose'!AA84&gt;=0,'DCF Lindero'!AA66&gt;=0,'DCF Yaramoko'!AA70&gt;=0,'DCF Seguela'!W64&gt;=0),('DCF Seguela'!W64*'DCF Seguela'!W65+'DCF Yaramoko'!AA70*'DCF Yaramoko'!AA71+'DCF Lindero'!AA66*'DCF Lindero'!AA67+'DCF San Jose'!AA84*'DCF San Jose'!AA86+'DCF Caylloma'!AA104*'DCF Caylloma'!AA106)/('DCF Caylloma'!AA104+'DCF San Jose'!AA84+'DCF Lindero'!AA66+'DCF Yaramoko'!AA70+'DCF Seguela'!W64),IF(AND('DCF Caylloma'!AA104&gt;=0,'DCF San Jose'!AA84&gt;=0,'DCF Lindero'!AA66&gt;=0,'DCF Yaramoko'!AA70&gt;=0),('DCF Yaramoko'!AA70*'DCF Yaramoko'!AA71+'DCF Lindero'!AA66*'DCF Lindero'!AA67+'DCF San Jose'!AA84*'DCF San Jose'!AA86+'DCF Caylloma'!AA104*'DCF Caylloma'!AA106)/('DCF Caylloma'!AA104+'DCF San Jose'!AA84+'DCF Lindero'!AA66+'DCF Yaramoko'!AA70),IF(AND('DCF Caylloma'!AA104&gt;=0,'DCF San Jose'!AA84&gt;=0,'DCF Lindero'!AA66&gt;=0,'DCF Seguela'!W64&gt;=0),('DCF Seguela'!W64*'DCF Seguela'!W65+'DCF Lindero'!AA66*'DCF Lindero'!AA67+'DCF San Jose'!AA84*'DCF San Jose'!AA86+'DCF Caylloma'!AA104*'DCF Caylloma'!AA106)/('DCF Caylloma'!AA104+'DCF San Jose'!AA84+'DCF Lindero'!AA66+'DCF Seguela'!W64),IF(AND('DCF Seguela'!W64&gt;=0,'DCF Yaramoko'!AA70&gt;=0,'DCF San Jose'!AA84&gt;=0,'DCF Caylloma'!AA104&gt;=0),('DCF Caylloma'!AA104*'DCF Caylloma'!AA106+'DCF San Jose'!AA84*'DCF San Jose'!AA86+'DCF Yaramoko'!AA70*'DCF Yaramoko'!AA71+'DCF Seguela'!W64*'DCF Seguela'!W65)/('DCF Seguela'!W64+'DCF Yaramoko'!AA70+'DCF San Jose'!AA84+'DCF Caylloma'!AA104),IF(AND('DCF Caylloma'!AA104&gt;=0,'DCF Lindero'!AA66&gt;=0,'DCF Yaramoko'!AA70&gt;=0,'DCF Seguela'!W64&gt;=0),('DCF Seguela'!W64*'DCF Seguela'!W65+'DCF Yaramoko'!AA70*'DCF Yaramoko'!AA71+'DCF Lindero'!AA66*'DCF Lindero'!AA67+'DCF Caylloma'!AA104*'DCF Caylloma'!AA106)/('DCF Caylloma'!AA104+'DCF Lindero'!AA66+'DCF Yaramoko'!AA70+'DCF Seguela'!W64),IF(AND('DCF Seguela'!W64&gt;=0,'DCF Yaramoko'!AA70&gt;=0,'DCF Lindero'!AA66&gt;=0,'DCF San Jose'!AA84&gt;=0),('DCF San Jose'!AA84*'DCF San Jose'!AA86+'DCF Lindero'!AA66*'DCF Lindero'!AA67+'DCF Yaramoko'!AA70*'DCF Yaramoko'!AA71+'DCF Seguela'!W64*'DCF Seguela'!W65)/('DCF Seguela'!W64+'DCF Yaramoko'!AA70+'DCF Lindero'!AA66+'DCF San Jose'!AA84),IF(AND('DCF Lindero'!AA66&gt;=0,'DCF Yaramoko'!AA70&gt;=0,'DCF Seguela'!W64&gt;=0),('DCF Seguela'!W64*'DCF Seguela'!W65+'DCF Yaramoko'!AA70*'DCF Yaramoko'!AA71+'DCF Lindero'!AA66*'DCF Lindero'!AA67)/('DCF Lindero'!AA66+'DCF Yaramoko'!AA70+'DCF Seguela'!W64),IF(AND('DCF San Jose'!AA84&gt;=0,'DCF Yaramoko'!AA70&gt;=0,'DCF Seguela'!W64&gt;=0),('DCF Seguela'!W64*'DCF Seguela'!W65+'DCF Yaramoko'!AA70*'DCF Yaramoko'!AA71+'DCF San Jose'!AA84*'DCF San Jose'!AA86)/('DCF San Jose'!AA84+'DCF Yaramoko'!AA70+'DCF Seguela'!W64),IF(AND('DCF San Jose'!AA84&gt;=0,'DCF Lindero'!AA66&gt;=0,'DCF Seguela'!W64&gt;=0),('DCF Seguela'!W64*'DCF Seguela'!W65+'DCF Lindero'!AA66*'DCF Lindero'!AA67+'DCF San Jose'!AA84*'DCF San Jose'!AA86)/('DCF San Jose'!AA84+'DCF Lindero'!AA66+'DCF Seguela'!W64),IF(AND('DCF Yaramoko'!AA70&gt;=0,'DCF Lindero'!AA66&gt;=0,'DCF San Jose'!AA84&gt;=0),('DCF San Jose'!AA84*'DCF San Jose'!AA86+'DCF Lindero'!AA66*'DCF Lindero'!AA67+'DCF Yaramoko'!AA70*'DCF Yaramoko'!AA71)/('DCF Yaramoko'!AA70+'DCF Lindero'!AA66+'DCF San Jose'!AA84),IF(AND('DCF Caylloma'!AA104&gt;=0,'DCF Yaramoko'!AA70&gt;=0,'DCF Seguela'!W64&gt;=0),('DCF Seguela'!W64*'DCF Seguela'!W65+'DCF Yaramoko'!AA70*'DCF Yaramoko'!AA71+'DCF Caylloma'!AA104*'DCF Caylloma'!AA106)/('DCF Caylloma'!AA104+'DCF Yaramoko'!AA70+'DCF Seguela'!W64),IF(AND('DCF Caylloma'!AA104&gt;=0,'DCF Lindero'!AA66&gt;=0,'DCF Seguela'!W64&gt;=0),('DCF Seguela'!W64*'DCF Seguela'!W65+'DCF Lindero'!AA66*'DCF Lindero'!AA67+'DCF Caylloma'!AA104*'DCF Caylloma'!AA106)/('DCF Caylloma'!AA104+'DCF Lindero'!AA66+'DCF Seguela'!W64),IF(AND('DCF Caylloma'!AA104&gt;=0,'DCF Lindero'!AA66&gt;=0,'DCF Yaramoko'!AA70&gt;=0),('DCF Yaramoko'!AA70*'DCF Yaramoko'!AA71+'DCF Lindero'!AA66*'DCF Lindero'!AA67+'DCF Caylloma'!AA104*'DCF Caylloma'!AA106)/('DCF Caylloma'!AA104+'DCF Lindero'!AA66+'DCF Yaramoko'!AA70),IF(AND('DCF Seguela'!W64&gt;=0,'DCF San Jose'!AA84&gt;=0,'DCF Caylloma'!AA104&gt;=0),('DCF Caylloma'!AA104*'DCF Caylloma'!AA106+'DCF San Jose'!AA84*'DCF San Jose'!AA86+'DCF Seguela'!W64*'DCF Seguela'!W65)/('DCF Seguela'!W64+'DCF San Jose'!AA84+'DCF Caylloma'!AA104),IF(AND('DCF Caylloma'!AA104&gt;=0,'DCF San Jose'!AA84&gt;=0,'DCF Yaramoko'!AA70&gt;=0),('DCF Yaramoko'!AA70*'DCF Yaramoko'!AA71+'DCF San Jose'!AA84*'DCF San Jose'!AA86+'DCF Caylloma'!AA104*'DCF Caylloma'!AA106)/('DCF Caylloma'!AA104+'DCF San Jose'!AA84+'DCF Yaramoko'!AA70),IF(AND('DCF Lindero'!AA66&gt;=0,'DCF San Jose'!AA84&gt;=0,'DCF Caylloma'!AA104&gt;=0),('DCF Caylloma'!AA104*'DCF Caylloma'!AA106+'DCF San Jose'!AA84*'DCF San Jose'!AA86+'DCF Lindero'!AA66*'DCF Lindero'!AA67)/('DCF Lindero'!AA66+'DCF San Jose'!AA84+'DCF Caylloma'!AA104),IF(AND('DCF Seguela'!W64&gt;=0,'DCF Yaramoko'!AA70&gt;=0),('DCF Yaramoko'!AA70*'DCF Yaramoko'!AA71+'DCF Seguela'!W64*'DCF Seguela'!W65)/('DCF Seguela'!W64+'DCF Yaramoko'!AA70),IF(AND('DCF Yaramoko'!AA70&gt;=0,'DCF Lindero'!AA66&gt;=0),('DCF Lindero'!AA66*'DCF Lindero'!AA67+'DCF Yaramoko'!AA70*'DCF Yaramoko'!AA71)/('DCF Yaramoko'!AA70+'DCF Lindero'!AA66),IF(AND('DCF Yaramoko'!AA70&gt;=0,'DCF San Jose'!AA84&gt;=0),('DCF San Jose'!AA84*'DCF San Jose'!AA86+'DCF Yaramoko'!AA70*'DCF Yaramoko'!AA71)/('DCF Yaramoko'!AA70+'DCF San Jose'!AA84),IF(AND('DCF Yaramoko'!AA70&gt;=0,'DCF Caylloma'!AA104&gt;=0),('DCF Caylloma'!AA104*'DCF Caylloma'!AA106+'DCF Yaramoko'!AA70*'DCF Yaramoko'!AA71)/('DCF Yaramoko'!AA70+'DCF Caylloma'!AA104),IF(AND('DCF Caylloma'!AA104&gt;=0,'DCF San Jose'!AA84&gt;=0),('DCF San Jose'!AA84*'DCF San Jose'!AA86+'DCF Caylloma'!AA104*'DCF Caylloma'!AA106)/('DCF Caylloma'!AA104+'DCF San Jose'!AA84),IF(AND('DCF Caylloma'!AA104&gt;=0,'DCF Lindero'!AA66&gt;=0),('DCF Lindero'!AA66*'DCF Lindero'!AA67+'DCF Caylloma'!AA104*'DCF Caylloma'!AA106)/('DCF Caylloma'!AA104+'DCF Lindero'!AA66),IF(AND('DCF Caylloma'!AA104&gt;=0,'DCF Seguela'!W64&gt;=0),('DCF Seguela'!W64*'DCF Seguela'!W65+'DCF Caylloma'!AA104*'DCF Caylloma'!AA106)/('DCF Caylloma'!AA104+'DCF Seguela'!W64),IF(AND('DCF San Jose'!AA84&gt;=0,'DCF Lindero'!AA66&gt;=0),('DCF Lindero'!AA66*'DCF Lindero'!AA67+'DCF San Jose'!AA84*'DCF San Jose'!AA86)/('DCF San Jose'!AA84+'DCF Lindero'!AA66),IF(AND('DCF San Jose'!AA84&gt;=0,'DCF Seguela'!W64&gt;=0),('DCF Seguela'!W64*'DCF Seguela'!W65+'DCF San Jose'!AA84*'DCF San Jose'!AA86)/('DCF San Jose'!AA84+'DCF Seguela'!W64),IF(AND('DCF Lindero'!AA66&gt;=0,'DCF Seguela'!W64&gt;=0),('DCF Seguela'!W64*'DCF Seguela'!W65+'DCF Lindero'!AA66*'DCF Lindero'!AA67)/('DCF Lindero'!AA66+'DCF Seguela'!W64),IF('DCF Seguela'!W64&gt;=0,'DCF Seguela'!W65,IF('DCF Yaramoko'!Z70&gt;=0,'DCF Yaramoko'!Z71,IF('DCF Lindero'!AA66&gt;=0,'DCF Lindero'!AA67,IF('DCF San Jose'!AA84&gt;=0,'DCF San Jose'!AA86,IF('DCF Caylloma'!AA104&gt;=0,'DCF Caylloma'!AA106,0))))))))))))))))))))))))))))))))</f>
        <v>0.34037486504620673</v>
      </c>
      <c r="AB118" s="28">
        <f>IF(AND('DCF Caylloma'!AB104&lt;=0,'DCF San Jose'!AB84&lt;=0,'DCF Lindero'!AB66&lt;=0,'DCF Yaramoko'!AB70&lt;=0,'DCF Seguela'!X64&lt;=0),0,IF(AND('DCF Caylloma'!AB104&gt;=0,'DCF San Jose'!AB84&gt;=0,'DCF Lindero'!AB66&gt;=0,'DCF Yaramoko'!AB70&gt;=0,'DCF Seguela'!X64&gt;=0),('DCF Seguela'!X64*'DCF Seguela'!X65+'DCF Yaramoko'!AB70*'DCF Yaramoko'!AB71+'DCF Lindero'!AB66*'DCF Lindero'!AB67+'DCF San Jose'!AB84*'DCF San Jose'!AB86+'DCF Caylloma'!AB104*'DCF Caylloma'!AB106)/('DCF Caylloma'!AB104+'DCF San Jose'!AB84+'DCF Lindero'!AB66+'DCF Yaramoko'!AB70+'DCF Seguela'!X64),IF(AND('DCF Caylloma'!AB104&gt;=0,'DCF San Jose'!AB84&gt;=0,'DCF Lindero'!AB66&gt;=0,'DCF Yaramoko'!AB70&gt;=0),('DCF Yaramoko'!AB70*'DCF Yaramoko'!AB71+'DCF Lindero'!AB66*'DCF Lindero'!AB67+'DCF San Jose'!AB84*'DCF San Jose'!AB86+'DCF Caylloma'!AB104*'DCF Caylloma'!AB106)/('DCF Caylloma'!AB104+'DCF San Jose'!AB84+'DCF Lindero'!AB66+'DCF Yaramoko'!AB70),IF(AND('DCF Caylloma'!AB104&gt;=0,'DCF San Jose'!AB84&gt;=0,'DCF Lindero'!AB66&gt;=0,'DCF Seguela'!X64&gt;=0),('DCF Seguela'!X64*'DCF Seguela'!X65+'DCF Lindero'!AB66*'DCF Lindero'!AB67+'DCF San Jose'!AB84*'DCF San Jose'!AB86+'DCF Caylloma'!AB104*'DCF Caylloma'!AB106)/('DCF Caylloma'!AB104+'DCF San Jose'!AB84+'DCF Lindero'!AB66+'DCF Seguela'!X64),IF(AND('DCF Seguela'!X64&gt;=0,'DCF Yaramoko'!AB70&gt;=0,'DCF San Jose'!AB84&gt;=0,'DCF Caylloma'!AB104&gt;=0),('DCF Caylloma'!AB104*'DCF Caylloma'!AB106+'DCF San Jose'!AB84*'DCF San Jose'!AB86+'DCF Yaramoko'!AB70*'DCF Yaramoko'!AB71+'DCF Seguela'!X64*'DCF Seguela'!X65)/('DCF Seguela'!X64+'DCF Yaramoko'!AB70+'DCF San Jose'!AB84+'DCF Caylloma'!AB104),IF(AND('DCF Caylloma'!AB104&gt;=0,'DCF Lindero'!AB66&gt;=0,'DCF Yaramoko'!AB70&gt;=0,'DCF Seguela'!X64&gt;=0),('DCF Seguela'!X64*'DCF Seguela'!X65+'DCF Yaramoko'!AB70*'DCF Yaramoko'!AB71+'DCF Lindero'!AB66*'DCF Lindero'!AB67+'DCF Caylloma'!AB104*'DCF Caylloma'!AB106)/('DCF Caylloma'!AB104+'DCF Lindero'!AB66+'DCF Yaramoko'!AB70+'DCF Seguela'!X64),IF(AND('DCF Seguela'!X64&gt;=0,'DCF Yaramoko'!AB70&gt;=0,'DCF Lindero'!AB66&gt;=0,'DCF San Jose'!AB84&gt;=0),('DCF San Jose'!AB84*'DCF San Jose'!AB86+'DCF Lindero'!AB66*'DCF Lindero'!AB67+'DCF Yaramoko'!AB70*'DCF Yaramoko'!AB71+'DCF Seguela'!X64*'DCF Seguela'!X65)/('DCF Seguela'!X64+'DCF Yaramoko'!AB70+'DCF Lindero'!AB66+'DCF San Jose'!AB84),IF(AND('DCF Lindero'!AB66&gt;=0,'DCF Yaramoko'!AB70&gt;=0,'DCF Seguela'!X64&gt;=0),('DCF Seguela'!X64*'DCF Seguela'!X65+'DCF Yaramoko'!AB70*'DCF Yaramoko'!AB71+'DCF Lindero'!AB66*'DCF Lindero'!AB67)/('DCF Lindero'!AB66+'DCF Yaramoko'!AB70+'DCF Seguela'!X64),IF(AND('DCF San Jose'!AB84&gt;=0,'DCF Yaramoko'!AB70&gt;=0,'DCF Seguela'!X64&gt;=0),('DCF Seguela'!X64*'DCF Seguela'!X65+'DCF Yaramoko'!AB70*'DCF Yaramoko'!AB71+'DCF San Jose'!AB84*'DCF San Jose'!AB86)/('DCF San Jose'!AB84+'DCF Yaramoko'!AB70+'DCF Seguela'!X64),IF(AND('DCF San Jose'!AB84&gt;=0,'DCF Lindero'!AB66&gt;=0,'DCF Seguela'!X64&gt;=0),('DCF Seguela'!X64*'DCF Seguela'!X65+'DCF Lindero'!AB66*'DCF Lindero'!AB67+'DCF San Jose'!AB84*'DCF San Jose'!AB86)/('DCF San Jose'!AB84+'DCF Lindero'!AB66+'DCF Seguela'!X64),IF(AND('DCF Yaramoko'!AB70&gt;=0,'DCF Lindero'!AB66&gt;=0,'DCF San Jose'!AB84&gt;=0),('DCF San Jose'!AB84*'DCF San Jose'!AB86+'DCF Lindero'!AB66*'DCF Lindero'!AB67+'DCF Yaramoko'!AB70*'DCF Yaramoko'!AB71)/('DCF Yaramoko'!AB70+'DCF Lindero'!AB66+'DCF San Jose'!AB84),IF(AND('DCF Caylloma'!AB104&gt;=0,'DCF Yaramoko'!AB70&gt;=0,'DCF Seguela'!X64&gt;=0),('DCF Seguela'!X64*'DCF Seguela'!X65+'DCF Yaramoko'!AB70*'DCF Yaramoko'!AB71+'DCF Caylloma'!AB104*'DCF Caylloma'!AB106)/('DCF Caylloma'!AB104+'DCF Yaramoko'!AB70+'DCF Seguela'!X64),IF(AND('DCF Caylloma'!AB104&gt;=0,'DCF Lindero'!AB66&gt;=0,'DCF Seguela'!X64&gt;=0),('DCF Seguela'!X64*'DCF Seguela'!X65+'DCF Lindero'!AB66*'DCF Lindero'!AB67+'DCF Caylloma'!AB104*'DCF Caylloma'!AB106)/('DCF Caylloma'!AB104+'DCF Lindero'!AB66+'DCF Seguela'!X64),IF(AND('DCF Caylloma'!AB104&gt;=0,'DCF Lindero'!AB66&gt;=0,'DCF Yaramoko'!AB70&gt;=0),('DCF Yaramoko'!AB70*'DCF Yaramoko'!AB71+'DCF Lindero'!AB66*'DCF Lindero'!AB67+'DCF Caylloma'!AB104*'DCF Caylloma'!AB106)/('DCF Caylloma'!AB104+'DCF Lindero'!AB66+'DCF Yaramoko'!AB70),IF(AND('DCF Seguela'!X64&gt;=0,'DCF San Jose'!AB84&gt;=0,'DCF Caylloma'!AB104&gt;=0),('DCF Caylloma'!AB104*'DCF Caylloma'!AB106+'DCF San Jose'!AB84*'DCF San Jose'!AB86+'DCF Seguela'!X64*'DCF Seguela'!X65)/('DCF Seguela'!X64+'DCF San Jose'!AB84+'DCF Caylloma'!AB104),IF(AND('DCF Caylloma'!AB104&gt;=0,'DCF San Jose'!AB84&gt;=0,'DCF Yaramoko'!AB70&gt;=0),('DCF Yaramoko'!AB70*'DCF Yaramoko'!AB71+'DCF San Jose'!AB84*'DCF San Jose'!AB86+'DCF Caylloma'!AB104*'DCF Caylloma'!AB106)/('DCF Caylloma'!AB104+'DCF San Jose'!AB84+'DCF Yaramoko'!AB70),IF(AND('DCF Lindero'!AB66&gt;=0,'DCF San Jose'!AB84&gt;=0,'DCF Caylloma'!AB104&gt;=0),('DCF Caylloma'!AB104*'DCF Caylloma'!AB106+'DCF San Jose'!AB84*'DCF San Jose'!AB86+'DCF Lindero'!AB66*'DCF Lindero'!AB67)/('DCF Lindero'!AB66+'DCF San Jose'!AB84+'DCF Caylloma'!AB104),IF(AND('DCF Seguela'!X64&gt;=0,'DCF Yaramoko'!AB70&gt;=0),('DCF Yaramoko'!AB70*'DCF Yaramoko'!AB71+'DCF Seguela'!X64*'DCF Seguela'!X65)/('DCF Seguela'!X64+'DCF Yaramoko'!AB70),IF(AND('DCF Yaramoko'!AB70&gt;=0,'DCF Lindero'!AB66&gt;=0),('DCF Lindero'!AB66*'DCF Lindero'!AB67+'DCF Yaramoko'!AB70*'DCF Yaramoko'!AB71)/('DCF Yaramoko'!AB70+'DCF Lindero'!AB66),IF(AND('DCF Yaramoko'!AB70&gt;=0,'DCF San Jose'!AB84&gt;=0),('DCF San Jose'!AB84*'DCF San Jose'!AB86+'DCF Yaramoko'!AB70*'DCF Yaramoko'!AB71)/('DCF Yaramoko'!AB70+'DCF San Jose'!AB84),IF(AND('DCF Yaramoko'!AB70&gt;=0,'DCF Caylloma'!AB104&gt;=0),('DCF Caylloma'!AB104*'DCF Caylloma'!AB106+'DCF Yaramoko'!AB70*'DCF Yaramoko'!AB71)/('DCF Yaramoko'!AB70+'DCF Caylloma'!AB104),IF(AND('DCF Caylloma'!AB104&gt;=0,'DCF San Jose'!AB84&gt;=0),('DCF San Jose'!AB84*'DCF San Jose'!AB86+'DCF Caylloma'!AB104*'DCF Caylloma'!AB106)/('DCF Caylloma'!AB104+'DCF San Jose'!AB84),IF(AND('DCF Caylloma'!AB104&gt;=0,'DCF Lindero'!AB66&gt;=0),('DCF Lindero'!AB66*'DCF Lindero'!AB67+'DCF Caylloma'!AB104*'DCF Caylloma'!AB106)/('DCF Caylloma'!AB104+'DCF Lindero'!AB66),IF(AND('DCF Caylloma'!AB104&gt;=0,'DCF Seguela'!X64&gt;=0),('DCF Seguela'!X64*'DCF Seguela'!X65+'DCF Caylloma'!AB104*'DCF Caylloma'!AB106)/('DCF Caylloma'!AB104+'DCF Seguela'!X64),IF(AND('DCF San Jose'!AB84&gt;=0,'DCF Lindero'!AB66&gt;=0),('DCF Lindero'!AB66*'DCF Lindero'!AB67+'DCF San Jose'!AB84*'DCF San Jose'!AB86)/('DCF San Jose'!AB84+'DCF Lindero'!AB66),IF(AND('DCF San Jose'!AB84&gt;=0,'DCF Seguela'!X64&gt;=0),('DCF Seguela'!X64*'DCF Seguela'!X65+'DCF San Jose'!AB84*'DCF San Jose'!AB86)/('DCF San Jose'!AB84+'DCF Seguela'!X64),IF(AND('DCF Lindero'!AB66&gt;=0,'DCF Seguela'!X64&gt;=0),('DCF Seguela'!X64*'DCF Seguela'!X65+'DCF Lindero'!AB66*'DCF Lindero'!AB67)/('DCF Lindero'!AB66+'DCF Seguela'!X64),IF('DCF Seguela'!X64&gt;=0,'DCF Seguela'!X65,IF('DCF Yaramoko'!AA70&gt;=0,'DCF Yaramoko'!AA71,IF('DCF Lindero'!AB66&gt;=0,'DCF Lindero'!AB67,IF('DCF San Jose'!AB84&gt;=0,'DCF San Jose'!AB86,IF('DCF Caylloma'!AB104&gt;=0,'DCF Caylloma'!AB106,0))))))))))))))))))))))))))))))))</f>
        <v>0.33960718518145583</v>
      </c>
      <c r="AC118" s="28">
        <f>IF(AND('DCF Caylloma'!AC104&lt;=0,'DCF San Jose'!AC84&lt;=0,'DCF Lindero'!AC66&lt;=0,'DCF Yaramoko'!AC70&lt;=0,'DCF Seguela'!Y64&lt;=0),0,IF(AND('DCF Caylloma'!AC104&gt;=0,'DCF San Jose'!AC84&gt;=0,'DCF Lindero'!AC66&gt;=0,'DCF Yaramoko'!AC70&gt;=0,'DCF Seguela'!Y64&gt;=0),('DCF Seguela'!Y64*'DCF Seguela'!Y65+'DCF Yaramoko'!AC70*'DCF Yaramoko'!AC71+'DCF Lindero'!AC66*'DCF Lindero'!AC67+'DCF San Jose'!AC84*'DCF San Jose'!AC86+'DCF Caylloma'!AC104*'DCF Caylloma'!AC106)/('DCF Caylloma'!AC104+'DCF San Jose'!AC84+'DCF Lindero'!AC66+'DCF Yaramoko'!AC70+'DCF Seguela'!Y64),IF(AND('DCF Caylloma'!AC104&gt;=0,'DCF San Jose'!AC84&gt;=0,'DCF Lindero'!AC66&gt;=0,'DCF Yaramoko'!AC70&gt;=0),('DCF Yaramoko'!AC70*'DCF Yaramoko'!AC71+'DCF Lindero'!AC66*'DCF Lindero'!AC67+'DCF San Jose'!AC84*'DCF San Jose'!AC86+'DCF Caylloma'!AC104*'DCF Caylloma'!AC106)/('DCF Caylloma'!AC104+'DCF San Jose'!AC84+'DCF Lindero'!AC66+'DCF Yaramoko'!AC70),IF(AND('DCF Caylloma'!AC104&gt;=0,'DCF San Jose'!AC84&gt;=0,'DCF Lindero'!AC66&gt;=0,'DCF Seguela'!Y64&gt;=0),('DCF Seguela'!Y64*'DCF Seguela'!Y65+'DCF Lindero'!AC66*'DCF Lindero'!AC67+'DCF San Jose'!AC84*'DCF San Jose'!AC86+'DCF Caylloma'!AC104*'DCF Caylloma'!AC106)/('DCF Caylloma'!AC104+'DCF San Jose'!AC84+'DCF Lindero'!AC66+'DCF Seguela'!Y64),IF(AND('DCF Seguela'!Y64&gt;=0,'DCF Yaramoko'!AC70&gt;=0,'DCF San Jose'!AC84&gt;=0,'DCF Caylloma'!AC104&gt;=0),('DCF Caylloma'!AC104*'DCF Caylloma'!AC106+'DCF San Jose'!AC84*'DCF San Jose'!AC86+'DCF Yaramoko'!AC70*'DCF Yaramoko'!AC71+'DCF Seguela'!Y64*'DCF Seguela'!Y65)/('DCF Seguela'!Y64+'DCF Yaramoko'!AC70+'DCF San Jose'!AC84+'DCF Caylloma'!AC104),IF(AND('DCF Caylloma'!AC104&gt;=0,'DCF Lindero'!AC66&gt;=0,'DCF Yaramoko'!AC70&gt;=0,'DCF Seguela'!Y64&gt;=0),('DCF Seguela'!Y64*'DCF Seguela'!Y65+'DCF Yaramoko'!AC70*'DCF Yaramoko'!AC71+'DCF Lindero'!AC66*'DCF Lindero'!AC67+'DCF Caylloma'!AC104*'DCF Caylloma'!AC106)/('DCF Caylloma'!AC104+'DCF Lindero'!AC66+'DCF Yaramoko'!AC70+'DCF Seguela'!Y64),IF(AND('DCF Seguela'!Y64&gt;=0,'DCF Yaramoko'!AC70&gt;=0,'DCF Lindero'!AC66&gt;=0,'DCF San Jose'!AC84&gt;=0),('DCF San Jose'!AC84*'DCF San Jose'!AC86+'DCF Lindero'!AC66*'DCF Lindero'!AC67+'DCF Yaramoko'!AC70*'DCF Yaramoko'!AC71+'DCF Seguela'!Y64*'DCF Seguela'!Y65)/('DCF Seguela'!Y64+'DCF Yaramoko'!AC70+'DCF Lindero'!AC66+'DCF San Jose'!AC84),IF(AND('DCF Lindero'!AC66&gt;=0,'DCF Yaramoko'!AC70&gt;=0,'DCF Seguela'!Y64&gt;=0),('DCF Seguela'!Y64*'DCF Seguela'!Y65+'DCF Yaramoko'!AC70*'DCF Yaramoko'!AC71+'DCF Lindero'!AC66*'DCF Lindero'!AC67)/('DCF Lindero'!AC66+'DCF Yaramoko'!AC70+'DCF Seguela'!Y64),IF(AND('DCF San Jose'!AC84&gt;=0,'DCF Yaramoko'!AC70&gt;=0,'DCF Seguela'!Y64&gt;=0),('DCF Seguela'!Y64*'DCF Seguela'!Y65+'DCF Yaramoko'!AC70*'DCF Yaramoko'!AC71+'DCF San Jose'!AC84*'DCF San Jose'!AC86)/('DCF San Jose'!AC84+'DCF Yaramoko'!AC70+'DCF Seguela'!Y64),IF(AND('DCF San Jose'!AC84&gt;=0,'DCF Lindero'!AC66&gt;=0,'DCF Seguela'!Y64&gt;=0),('DCF Seguela'!Y64*'DCF Seguela'!Y65+'DCF Lindero'!AC66*'DCF Lindero'!AC67+'DCF San Jose'!AC84*'DCF San Jose'!AC86)/('DCF San Jose'!AC84+'DCF Lindero'!AC66+'DCF Seguela'!Y64),IF(AND('DCF Yaramoko'!AC70&gt;=0,'DCF Lindero'!AC66&gt;=0,'DCF San Jose'!AC84&gt;=0),('DCF San Jose'!AC84*'DCF San Jose'!AC86+'DCF Lindero'!AC66*'DCF Lindero'!AC67+'DCF Yaramoko'!AC70*'DCF Yaramoko'!AC71)/('DCF Yaramoko'!AC70+'DCF Lindero'!AC66+'DCF San Jose'!AC84),IF(AND('DCF Caylloma'!AC104&gt;=0,'DCF Yaramoko'!AC70&gt;=0,'DCF Seguela'!Y64&gt;=0),('DCF Seguela'!Y64*'DCF Seguela'!Y65+'DCF Yaramoko'!AC70*'DCF Yaramoko'!AC71+'DCF Caylloma'!AC104*'DCF Caylloma'!AC106)/('DCF Caylloma'!AC104+'DCF Yaramoko'!AC70+'DCF Seguela'!Y64),IF(AND('DCF Caylloma'!AC104&gt;=0,'DCF Lindero'!AC66&gt;=0,'DCF Seguela'!Y64&gt;=0),('DCF Seguela'!Y64*'DCF Seguela'!Y65+'DCF Lindero'!AC66*'DCF Lindero'!AC67+'DCF Caylloma'!AC104*'DCF Caylloma'!AC106)/('DCF Caylloma'!AC104+'DCF Lindero'!AC66+'DCF Seguela'!Y64),IF(AND('DCF Caylloma'!AC104&gt;=0,'DCF Lindero'!AC66&gt;=0,'DCF Yaramoko'!AC70&gt;=0),('DCF Yaramoko'!AC70*'DCF Yaramoko'!AC71+'DCF Lindero'!AC66*'DCF Lindero'!AC67+'DCF Caylloma'!AC104*'DCF Caylloma'!AC106)/('DCF Caylloma'!AC104+'DCF Lindero'!AC66+'DCF Yaramoko'!AC70),IF(AND('DCF Seguela'!Y64&gt;=0,'DCF San Jose'!AC84&gt;=0,'DCF Caylloma'!AC104&gt;=0),('DCF Caylloma'!AC104*'DCF Caylloma'!AC106+'DCF San Jose'!AC84*'DCF San Jose'!AC86+'DCF Seguela'!Y64*'DCF Seguela'!Y65)/('DCF Seguela'!Y64+'DCF San Jose'!AC84+'DCF Caylloma'!AC104),IF(AND('DCF Caylloma'!AC104&gt;=0,'DCF San Jose'!AC84&gt;=0,'DCF Yaramoko'!AC70&gt;=0),('DCF Yaramoko'!AC70*'DCF Yaramoko'!AC71+'DCF San Jose'!AC84*'DCF San Jose'!AC86+'DCF Caylloma'!AC104*'DCF Caylloma'!AC106)/('DCF Caylloma'!AC104+'DCF San Jose'!AC84+'DCF Yaramoko'!AC70),IF(AND('DCF Lindero'!AC66&gt;=0,'DCF San Jose'!AC84&gt;=0,'DCF Caylloma'!AC104&gt;=0),('DCF Caylloma'!AC104*'DCF Caylloma'!AC106+'DCF San Jose'!AC84*'DCF San Jose'!AC86+'DCF Lindero'!AC66*'DCF Lindero'!AC67)/('DCF Lindero'!AC66+'DCF San Jose'!AC84+'DCF Caylloma'!AC104),IF(AND('DCF Seguela'!Y64&gt;=0,'DCF Yaramoko'!AC70&gt;=0),('DCF Yaramoko'!AC70*'DCF Yaramoko'!AC71+'DCF Seguela'!Y64*'DCF Seguela'!Y65)/('DCF Seguela'!Y64+'DCF Yaramoko'!AC70),IF(AND('DCF Yaramoko'!AC70&gt;=0,'DCF Lindero'!AC66&gt;=0),('DCF Lindero'!AC66*'DCF Lindero'!AC67+'DCF Yaramoko'!AC70*'DCF Yaramoko'!AC71)/('DCF Yaramoko'!AC70+'DCF Lindero'!AC66),IF(AND('DCF Yaramoko'!AC70&gt;=0,'DCF San Jose'!AC84&gt;=0),('DCF San Jose'!AC84*'DCF San Jose'!AC86+'DCF Yaramoko'!AC70*'DCF Yaramoko'!AC71)/('DCF Yaramoko'!AC70+'DCF San Jose'!AC84),IF(AND('DCF Yaramoko'!AC70&gt;=0,'DCF Caylloma'!AC104&gt;=0),('DCF Caylloma'!AC104*'DCF Caylloma'!AC106+'DCF Yaramoko'!AC70*'DCF Yaramoko'!AC71)/('DCF Yaramoko'!AC70+'DCF Caylloma'!AC104),IF(AND('DCF Caylloma'!AC104&gt;=0,'DCF San Jose'!AC84&gt;=0),('DCF San Jose'!AC84*'DCF San Jose'!AC86+'DCF Caylloma'!AC104*'DCF Caylloma'!AC106)/('DCF Caylloma'!AC104+'DCF San Jose'!AC84),IF(AND('DCF Caylloma'!AC104&gt;=0,'DCF Lindero'!AC66&gt;=0),('DCF Lindero'!AC66*'DCF Lindero'!AC67+'DCF Caylloma'!AC104*'DCF Caylloma'!AC106)/('DCF Caylloma'!AC104+'DCF Lindero'!AC66),IF(AND('DCF Caylloma'!AC104&gt;=0,'DCF Seguela'!Y64&gt;=0),('DCF Seguela'!Y64*'DCF Seguela'!Y65+'DCF Caylloma'!AC104*'DCF Caylloma'!AC106)/('DCF Caylloma'!AC104+'DCF Seguela'!Y64),IF(AND('DCF San Jose'!AC84&gt;=0,'DCF Lindero'!AC66&gt;=0),('DCF Lindero'!AC66*'DCF Lindero'!AC67+'DCF San Jose'!AC84*'DCF San Jose'!AC86)/('DCF San Jose'!AC84+'DCF Lindero'!AC66),IF(AND('DCF San Jose'!AC84&gt;=0,'DCF Seguela'!Y64&gt;=0),('DCF Seguela'!Y64*'DCF Seguela'!Y65+'DCF San Jose'!AC84*'DCF San Jose'!AC86)/('DCF San Jose'!AC84+'DCF Seguela'!Y64),IF(AND('DCF Lindero'!AC66&gt;=0,'DCF Seguela'!Y64&gt;=0),('DCF Seguela'!Y64*'DCF Seguela'!Y65+'DCF Lindero'!AC66*'DCF Lindero'!AC67)/('DCF Lindero'!AC66+'DCF Seguela'!Y64),IF('DCF Seguela'!Y64&gt;=0,'DCF Seguela'!Y65,IF('DCF Yaramoko'!AB70&gt;=0,'DCF Yaramoko'!AB71,IF('DCF Lindero'!AC66&gt;=0,'DCF Lindero'!AC67,IF('DCF San Jose'!AC84&gt;=0,'DCF San Jose'!AC86,IF('DCF Caylloma'!AC104&gt;=0,'DCF Caylloma'!AC106,0))))))))))))))))))))))))))))))))</f>
        <v>0.31957352970057357</v>
      </c>
      <c r="AD118" s="28">
        <f>IF(AND('DCF Caylloma'!AD104&lt;=0,'DCF San Jose'!AD84&lt;=0,'DCF Lindero'!AD66&lt;=0,'DCF Yaramoko'!AD70&lt;=0,'DCF Seguela'!Z64&lt;=0),0,IF(AND('DCF Caylloma'!AD104&gt;=0,'DCF San Jose'!AD84&gt;=0,'DCF Lindero'!AD66&gt;=0,'DCF Yaramoko'!AD70&gt;=0,'DCF Seguela'!Z64&gt;=0),('DCF Seguela'!Z64*'DCF Seguela'!Z65+'DCF Yaramoko'!AD70*'DCF Yaramoko'!AD71+'DCF Lindero'!AD66*'DCF Lindero'!AD67+'DCF San Jose'!AD84*'DCF San Jose'!AD86+'DCF Caylloma'!AD104*'DCF Caylloma'!AD106)/('DCF Caylloma'!AD104+'DCF San Jose'!AD84+'DCF Lindero'!AD66+'DCF Yaramoko'!AD70+'DCF Seguela'!Z64),IF(AND('DCF Caylloma'!AD104&gt;=0,'DCF San Jose'!AD84&gt;=0,'DCF Lindero'!AD66&gt;=0,'DCF Yaramoko'!AD70&gt;=0),('DCF Yaramoko'!AD70*'DCF Yaramoko'!AD71+'DCF Lindero'!AD66*'DCF Lindero'!AD67+'DCF San Jose'!AD84*'DCF San Jose'!AD86+'DCF Caylloma'!AD104*'DCF Caylloma'!AD106)/('DCF Caylloma'!AD104+'DCF San Jose'!AD84+'DCF Lindero'!AD66+'DCF Yaramoko'!AD70),IF(AND('DCF Caylloma'!AD104&gt;=0,'DCF San Jose'!AD84&gt;=0,'DCF Lindero'!AD66&gt;=0,'DCF Seguela'!Z64&gt;=0),('DCF Seguela'!Z64*'DCF Seguela'!Z65+'DCF Lindero'!AD66*'DCF Lindero'!AD67+'DCF San Jose'!AD84*'DCF San Jose'!AD86+'DCF Caylloma'!AD104*'DCF Caylloma'!AD106)/('DCF Caylloma'!AD104+'DCF San Jose'!AD84+'DCF Lindero'!AD66+'DCF Seguela'!Z64),IF(AND('DCF Seguela'!Z64&gt;=0,'DCF Yaramoko'!AD70&gt;=0,'DCF San Jose'!AD84&gt;=0,'DCF Caylloma'!AD104&gt;=0),('DCF Caylloma'!AD104*'DCF Caylloma'!AD106+'DCF San Jose'!AD84*'DCF San Jose'!AD86+'DCF Yaramoko'!AD70*'DCF Yaramoko'!AD71+'DCF Seguela'!Z64*'DCF Seguela'!Z65)/('DCF Seguela'!Z64+'DCF Yaramoko'!AD70+'DCF San Jose'!AD84+'DCF Caylloma'!AD104),IF(AND('DCF Caylloma'!AD104&gt;=0,'DCF Lindero'!AD66&gt;=0,'DCF Yaramoko'!AD70&gt;=0,'DCF Seguela'!Z64&gt;=0),('DCF Seguela'!Z64*'DCF Seguela'!Z65+'DCF Yaramoko'!AD70*'DCF Yaramoko'!AD71+'DCF Lindero'!AD66*'DCF Lindero'!AD67+'DCF Caylloma'!AD104*'DCF Caylloma'!AD106)/('DCF Caylloma'!AD104+'DCF Lindero'!AD66+'DCF Yaramoko'!AD70+'DCF Seguela'!Z64),IF(AND('DCF Seguela'!Z64&gt;=0,'DCF Yaramoko'!AD70&gt;=0,'DCF Lindero'!AD66&gt;=0,'DCF San Jose'!AD84&gt;=0),('DCF San Jose'!AD84*'DCF San Jose'!AD86+'DCF Lindero'!AD66*'DCF Lindero'!AD67+'DCF Yaramoko'!AD70*'DCF Yaramoko'!AD71+'DCF Seguela'!Z64*'DCF Seguela'!Z65)/('DCF Seguela'!Z64+'DCF Yaramoko'!AD70+'DCF Lindero'!AD66+'DCF San Jose'!AD84),IF(AND('DCF Lindero'!AD66&gt;=0,'DCF Yaramoko'!AD70&gt;=0,'DCF Seguela'!Z64&gt;=0),('DCF Seguela'!Z64*'DCF Seguela'!Z65+'DCF Yaramoko'!AD70*'DCF Yaramoko'!AD71+'DCF Lindero'!AD66*'DCF Lindero'!AD67)/('DCF Lindero'!AD66+'DCF Yaramoko'!AD70+'DCF Seguela'!Z64),IF(AND('DCF San Jose'!AD84&gt;=0,'DCF Yaramoko'!AD70&gt;=0,'DCF Seguela'!Z64&gt;=0),('DCF Seguela'!Z64*'DCF Seguela'!Z65+'DCF Yaramoko'!AD70*'DCF Yaramoko'!AD71+'DCF San Jose'!AD84*'DCF San Jose'!AD86)/('DCF San Jose'!AD84+'DCF Yaramoko'!AD70+'DCF Seguela'!Z64),IF(AND('DCF San Jose'!AD84&gt;=0,'DCF Lindero'!AD66&gt;=0,'DCF Seguela'!Z64&gt;=0),('DCF Seguela'!Z64*'DCF Seguela'!Z65+'DCF Lindero'!AD66*'DCF Lindero'!AD67+'DCF San Jose'!AD84*'DCF San Jose'!AD86)/('DCF San Jose'!AD84+'DCF Lindero'!AD66+'DCF Seguela'!Z64),IF(AND('DCF Yaramoko'!AD70&gt;=0,'DCF Lindero'!AD66&gt;=0,'DCF San Jose'!AD84&gt;=0),('DCF San Jose'!AD84*'DCF San Jose'!AD86+'DCF Lindero'!AD66*'DCF Lindero'!AD67+'DCF Yaramoko'!AD70*'DCF Yaramoko'!AD71)/('DCF Yaramoko'!AD70+'DCF Lindero'!AD66+'DCF San Jose'!AD84),IF(AND('DCF Caylloma'!AD104&gt;=0,'DCF Yaramoko'!AD70&gt;=0,'DCF Seguela'!Z64&gt;=0),('DCF Seguela'!Z64*'DCF Seguela'!Z65+'DCF Yaramoko'!AD70*'DCF Yaramoko'!AD71+'DCF Caylloma'!AD104*'DCF Caylloma'!AD106)/('DCF Caylloma'!AD104+'DCF Yaramoko'!AD70+'DCF Seguela'!Z64),IF(AND('DCF Caylloma'!AD104&gt;=0,'DCF Lindero'!AD66&gt;=0,'DCF Seguela'!Z64&gt;=0),('DCF Seguela'!Z64*'DCF Seguela'!Z65+'DCF Lindero'!AD66*'DCF Lindero'!AD67+'DCF Caylloma'!AD104*'DCF Caylloma'!AD106)/('DCF Caylloma'!AD104+'DCF Lindero'!AD66+'DCF Seguela'!Z64),IF(AND('DCF Caylloma'!AD104&gt;=0,'DCF Lindero'!AD66&gt;=0,'DCF Yaramoko'!AD70&gt;=0),('DCF Yaramoko'!AD70*'DCF Yaramoko'!AD71+'DCF Lindero'!AD66*'DCF Lindero'!AD67+'DCF Caylloma'!AD104*'DCF Caylloma'!AD106)/('DCF Caylloma'!AD104+'DCF Lindero'!AD66+'DCF Yaramoko'!AD70),IF(AND('DCF Seguela'!Z64&gt;=0,'DCF San Jose'!AD84&gt;=0,'DCF Caylloma'!AD104&gt;=0),('DCF Caylloma'!AD104*'DCF Caylloma'!AD106+'DCF San Jose'!AD84*'DCF San Jose'!AD86+'DCF Seguela'!Z64*'DCF Seguela'!Z65)/('DCF Seguela'!Z64+'DCF San Jose'!AD84+'DCF Caylloma'!AD104),IF(AND('DCF Caylloma'!AD104&gt;=0,'DCF San Jose'!AD84&gt;=0,'DCF Yaramoko'!AD70&gt;=0),('DCF Yaramoko'!AD70*'DCF Yaramoko'!AD71+'DCF San Jose'!AD84*'DCF San Jose'!AD86+'DCF Caylloma'!AD104*'DCF Caylloma'!AD106)/('DCF Caylloma'!AD104+'DCF San Jose'!AD84+'DCF Yaramoko'!AD70),IF(AND('DCF Lindero'!AD66&gt;=0,'DCF San Jose'!AD84&gt;=0,'DCF Caylloma'!AD104&gt;=0),('DCF Caylloma'!AD104*'DCF Caylloma'!AD106+'DCF San Jose'!AD84*'DCF San Jose'!AD86+'DCF Lindero'!AD66*'DCF Lindero'!AD67)/('DCF Lindero'!AD66+'DCF San Jose'!AD84+'DCF Caylloma'!AD104),IF(AND('DCF Seguela'!Z64&gt;=0,'DCF Yaramoko'!AD70&gt;=0),('DCF Yaramoko'!AD70*'DCF Yaramoko'!AD71+'DCF Seguela'!Z64*'DCF Seguela'!Z65)/('DCF Seguela'!Z64+'DCF Yaramoko'!AD70),IF(AND('DCF Yaramoko'!AD70&gt;=0,'DCF Lindero'!AD66&gt;=0),('DCF Lindero'!AD66*'DCF Lindero'!AD67+'DCF Yaramoko'!AD70*'DCF Yaramoko'!AD71)/('DCF Yaramoko'!AD70+'DCF Lindero'!AD66),IF(AND('DCF Yaramoko'!AD70&gt;=0,'DCF San Jose'!AD84&gt;=0),('DCF San Jose'!AD84*'DCF San Jose'!AD86+'DCF Yaramoko'!AD70*'DCF Yaramoko'!AD71)/('DCF Yaramoko'!AD70+'DCF San Jose'!AD84),IF(AND('DCF Yaramoko'!AD70&gt;=0,'DCF Caylloma'!AD104&gt;=0),('DCF Caylloma'!AD104*'DCF Caylloma'!AD106+'DCF Yaramoko'!AD70*'DCF Yaramoko'!AD71)/('DCF Yaramoko'!AD70+'DCF Caylloma'!AD104),IF(AND('DCF Caylloma'!AD104&gt;=0,'DCF San Jose'!AD84&gt;=0),('DCF San Jose'!AD84*'DCF San Jose'!AD86+'DCF Caylloma'!AD104*'DCF Caylloma'!AD106)/('DCF Caylloma'!AD104+'DCF San Jose'!AD84),IF(AND('DCF Caylloma'!AD104&gt;=0,'DCF Lindero'!AD66&gt;=0),('DCF Lindero'!AD66*'DCF Lindero'!AD67+'DCF Caylloma'!AD104*'DCF Caylloma'!AD106)/('DCF Caylloma'!AD104+'DCF Lindero'!AD66),IF(AND('DCF Caylloma'!AD104&gt;=0,'DCF Seguela'!Z64&gt;=0),('DCF Seguela'!Z64*'DCF Seguela'!Z65+'DCF Caylloma'!AD104*'DCF Caylloma'!AD106)/('DCF Caylloma'!AD104+'DCF Seguela'!Z64),IF(AND('DCF San Jose'!AD84&gt;=0,'DCF Lindero'!AD66&gt;=0),('DCF Lindero'!AD66*'DCF Lindero'!AD67+'DCF San Jose'!AD84*'DCF San Jose'!AD86)/('DCF San Jose'!AD84+'DCF Lindero'!AD66),IF(AND('DCF San Jose'!AD84&gt;=0,'DCF Seguela'!Z64&gt;=0),('DCF Seguela'!Z64*'DCF Seguela'!Z65+'DCF San Jose'!AD84*'DCF San Jose'!AD86)/('DCF San Jose'!AD84+'DCF Seguela'!Z64),IF(AND('DCF Lindero'!AD66&gt;=0,'DCF Seguela'!Z64&gt;=0),('DCF Seguela'!Z64*'DCF Seguela'!Z65+'DCF Lindero'!AD66*'DCF Lindero'!AD67)/('DCF Lindero'!AD66+'DCF Seguela'!Z64),IF('DCF Seguela'!Z64&gt;=0,'DCF Seguela'!Z65,IF('DCF Yaramoko'!AC70&gt;=0,'DCF Yaramoko'!AC71,IF('DCF Lindero'!AD66&gt;=0,'DCF Lindero'!AD67,IF('DCF San Jose'!AD84&gt;=0,'DCF San Jose'!AD86,IF('DCF Caylloma'!AD104&gt;=0,'DCF Caylloma'!AD106,0))))))))))))))))))))))))))))))))</f>
        <v>0.29789752830009902</v>
      </c>
      <c r="AE118" s="28">
        <f>IF(AND('DCF Caylloma'!AE104&lt;=0,'DCF San Jose'!AE84&lt;=0,'DCF Lindero'!AE66&lt;=0,'DCF Yaramoko'!AE70&lt;=0,'DCF Seguela'!AA64&lt;=0),0,IF(AND('DCF Caylloma'!AE104&gt;=0,'DCF San Jose'!AE84&gt;=0,'DCF Lindero'!AE66&gt;=0,'DCF Yaramoko'!AE70&gt;=0,'DCF Seguela'!AA64&gt;=0),('DCF Seguela'!AA64*'DCF Seguela'!AA65+'DCF Yaramoko'!AE70*'DCF Yaramoko'!AE71+'DCF Lindero'!AE66*'DCF Lindero'!AE67+'DCF San Jose'!AE84*'DCF San Jose'!AE86+'DCF Caylloma'!AE104*'DCF Caylloma'!AE106)/('DCF Caylloma'!AE104+'DCF San Jose'!AE84+'DCF Lindero'!AE66+'DCF Yaramoko'!AE70+'DCF Seguela'!AA64),IF(AND('DCF Caylloma'!AE104&gt;=0,'DCF San Jose'!AE84&gt;=0,'DCF Lindero'!AE66&gt;=0,'DCF Yaramoko'!AE70&gt;=0),('DCF Yaramoko'!AE70*'DCF Yaramoko'!AE71+'DCF Lindero'!AE66*'DCF Lindero'!AE67+'DCF San Jose'!AE84*'DCF San Jose'!AE86+'DCF Caylloma'!AE104*'DCF Caylloma'!AE106)/('DCF Caylloma'!AE104+'DCF San Jose'!AE84+'DCF Lindero'!AE66+'DCF Yaramoko'!AE70),IF(AND('DCF Caylloma'!AE104&gt;=0,'DCF San Jose'!AE84&gt;=0,'DCF Lindero'!AE66&gt;=0,'DCF Seguela'!AA64&gt;=0),('DCF Seguela'!AA64*'DCF Seguela'!AA65+'DCF Lindero'!AE66*'DCF Lindero'!AE67+'DCF San Jose'!AE84*'DCF San Jose'!AE86+'DCF Caylloma'!AE104*'DCF Caylloma'!AE106)/('DCF Caylloma'!AE104+'DCF San Jose'!AE84+'DCF Lindero'!AE66+'DCF Seguela'!AA64),IF(AND('DCF Seguela'!AA64&gt;=0,'DCF Yaramoko'!AE70&gt;=0,'DCF San Jose'!AE84&gt;=0,'DCF Caylloma'!AE104&gt;=0),('DCF Caylloma'!AE104*'DCF Caylloma'!AE106+'DCF San Jose'!AE84*'DCF San Jose'!AE86+'DCF Yaramoko'!AE70*'DCF Yaramoko'!AE71+'DCF Seguela'!AA64*'DCF Seguela'!AA65)/('DCF Seguela'!AA64+'DCF Yaramoko'!AE70+'DCF San Jose'!AE84+'DCF Caylloma'!AE104),IF(AND('DCF Caylloma'!AE104&gt;=0,'DCF Lindero'!AE66&gt;=0,'DCF Yaramoko'!AE70&gt;=0,'DCF Seguela'!AA64&gt;=0),('DCF Seguela'!AA64*'DCF Seguela'!AA65+'DCF Yaramoko'!AE70*'DCF Yaramoko'!AE71+'DCF Lindero'!AE66*'DCF Lindero'!AE67+'DCF Caylloma'!AE104*'DCF Caylloma'!AE106)/('DCF Caylloma'!AE104+'DCF Lindero'!AE66+'DCF Yaramoko'!AE70+'DCF Seguela'!AA64),IF(AND('DCF Seguela'!AA64&gt;=0,'DCF Yaramoko'!AE70&gt;=0,'DCF Lindero'!AE66&gt;=0,'DCF San Jose'!AE84&gt;=0),('DCF San Jose'!AE84*'DCF San Jose'!AE86+'DCF Lindero'!AE66*'DCF Lindero'!AE67+'DCF Yaramoko'!AE70*'DCF Yaramoko'!AE71+'DCF Seguela'!AA64*'DCF Seguela'!AA65)/('DCF Seguela'!AA64+'DCF Yaramoko'!AE70+'DCF Lindero'!AE66+'DCF San Jose'!AE84),IF(AND('DCF Lindero'!AE66&gt;=0,'DCF Yaramoko'!AE70&gt;=0,'DCF Seguela'!AA64&gt;=0),('DCF Seguela'!AA64*'DCF Seguela'!AA65+'DCF Yaramoko'!AE70*'DCF Yaramoko'!AE71+'DCF Lindero'!AE66*'DCF Lindero'!AE67)/('DCF Lindero'!AE66+'DCF Yaramoko'!AE70+'DCF Seguela'!AA64),IF(AND('DCF San Jose'!AE84&gt;=0,'DCF Yaramoko'!AE70&gt;=0,'DCF Seguela'!AA64&gt;=0),('DCF Seguela'!AA64*'DCF Seguela'!AA65+'DCF Yaramoko'!AE70*'DCF Yaramoko'!AE71+'DCF San Jose'!AE84*'DCF San Jose'!AE86)/('DCF San Jose'!AE84+'DCF Yaramoko'!AE70+'DCF Seguela'!AA64),IF(AND('DCF San Jose'!AE84&gt;=0,'DCF Lindero'!AE66&gt;=0,'DCF Seguela'!AA64&gt;=0),('DCF Seguela'!AA64*'DCF Seguela'!AA65+'DCF Lindero'!AE66*'DCF Lindero'!AE67+'DCF San Jose'!AE84*'DCF San Jose'!AE86)/('DCF San Jose'!AE84+'DCF Lindero'!AE66+'DCF Seguela'!AA64),IF(AND('DCF Yaramoko'!AE70&gt;=0,'DCF Lindero'!AE66&gt;=0,'DCF San Jose'!AE84&gt;=0),('DCF San Jose'!AE84*'DCF San Jose'!AE86+'DCF Lindero'!AE66*'DCF Lindero'!AE67+'DCF Yaramoko'!AE70*'DCF Yaramoko'!AE71)/('DCF Yaramoko'!AE70+'DCF Lindero'!AE66+'DCF San Jose'!AE84),IF(AND('DCF Caylloma'!AE104&gt;=0,'DCF Yaramoko'!AE70&gt;=0,'DCF Seguela'!AA64&gt;=0),('DCF Seguela'!AA64*'DCF Seguela'!AA65+'DCF Yaramoko'!AE70*'DCF Yaramoko'!AE71+'DCF Caylloma'!AE104*'DCF Caylloma'!AE106)/('DCF Caylloma'!AE104+'DCF Yaramoko'!AE70+'DCF Seguela'!AA64),IF(AND('DCF Caylloma'!AE104&gt;=0,'DCF Lindero'!AE66&gt;=0,'DCF Seguela'!AA64&gt;=0),('DCF Seguela'!AA64*'DCF Seguela'!AA65+'DCF Lindero'!AE66*'DCF Lindero'!AE67+'DCF Caylloma'!AE104*'DCF Caylloma'!AE106)/('DCF Caylloma'!AE104+'DCF Lindero'!AE66+'DCF Seguela'!AA64),IF(AND('DCF Caylloma'!AE104&gt;=0,'DCF Lindero'!AE66&gt;=0,'DCF Yaramoko'!AE70&gt;=0),('DCF Yaramoko'!AE70*'DCF Yaramoko'!AE71+'DCF Lindero'!AE66*'DCF Lindero'!AE67+'DCF Caylloma'!AE104*'DCF Caylloma'!AE106)/('DCF Caylloma'!AE104+'DCF Lindero'!AE66+'DCF Yaramoko'!AE70),IF(AND('DCF Seguela'!AA64&gt;=0,'DCF San Jose'!AE84&gt;=0,'DCF Caylloma'!AE104&gt;=0),('DCF Caylloma'!AE104*'DCF Caylloma'!AE106+'DCF San Jose'!AE84*'DCF San Jose'!AE86+'DCF Seguela'!AA64*'DCF Seguela'!AA65)/('DCF Seguela'!AA64+'DCF San Jose'!AE84+'DCF Caylloma'!AE104),IF(AND('DCF Caylloma'!AE104&gt;=0,'DCF San Jose'!AE84&gt;=0,'DCF Yaramoko'!AE70&gt;=0),('DCF Yaramoko'!AE70*'DCF Yaramoko'!AE71+'DCF San Jose'!AE84*'DCF San Jose'!AE86+'DCF Caylloma'!AE104*'DCF Caylloma'!AE106)/('DCF Caylloma'!AE104+'DCF San Jose'!AE84+'DCF Yaramoko'!AE70),IF(AND('DCF Lindero'!AE66&gt;=0,'DCF San Jose'!AE84&gt;=0,'DCF Caylloma'!AE104&gt;=0),('DCF Caylloma'!AE104*'DCF Caylloma'!AE106+'DCF San Jose'!AE84*'DCF San Jose'!AE86+'DCF Lindero'!AE66*'DCF Lindero'!AE67)/('DCF Lindero'!AE66+'DCF San Jose'!AE84+'DCF Caylloma'!AE104),IF(AND('DCF Seguela'!AA64&gt;=0,'DCF Yaramoko'!AE70&gt;=0),('DCF Yaramoko'!AE70*'DCF Yaramoko'!AE71+'DCF Seguela'!AA64*'DCF Seguela'!AA65)/('DCF Seguela'!AA64+'DCF Yaramoko'!AE70),IF(AND('DCF Yaramoko'!AE70&gt;=0,'DCF Lindero'!AE66&gt;=0),('DCF Lindero'!AE66*'DCF Lindero'!AE67+'DCF Yaramoko'!AE70*'DCF Yaramoko'!AE71)/('DCF Yaramoko'!AE70+'DCF Lindero'!AE66),IF(AND('DCF Yaramoko'!AE70&gt;=0,'DCF San Jose'!AE84&gt;=0),('DCF San Jose'!AE84*'DCF San Jose'!AE86+'DCF Yaramoko'!AE70*'DCF Yaramoko'!AE71)/('DCF Yaramoko'!AE70+'DCF San Jose'!AE84),IF(AND('DCF Yaramoko'!AE70&gt;=0,'DCF Caylloma'!AE104&gt;=0),('DCF Caylloma'!AE104*'DCF Caylloma'!AE106+'DCF Yaramoko'!AE70*'DCF Yaramoko'!AE71)/('DCF Yaramoko'!AE70+'DCF Caylloma'!AE104),IF(AND('DCF Caylloma'!AE104&gt;=0,'DCF San Jose'!AE84&gt;=0),('DCF San Jose'!AE84*'DCF San Jose'!AE86+'DCF Caylloma'!AE104*'DCF Caylloma'!AE106)/('DCF Caylloma'!AE104+'DCF San Jose'!AE84),IF(AND('DCF Caylloma'!AE104&gt;=0,'DCF Lindero'!AE66&gt;=0),('DCF Lindero'!AE66*'DCF Lindero'!AE67+'DCF Caylloma'!AE104*'DCF Caylloma'!AE106)/('DCF Caylloma'!AE104+'DCF Lindero'!AE66),IF(AND('DCF Caylloma'!AE104&gt;=0,'DCF Seguela'!AA64&gt;=0),('DCF Seguela'!AA64*'DCF Seguela'!AA65+'DCF Caylloma'!AE104*'DCF Caylloma'!AE106)/('DCF Caylloma'!AE104+'DCF Seguela'!AA64),IF(AND('DCF San Jose'!AE84&gt;=0,'DCF Lindero'!AE66&gt;=0),('DCF Lindero'!AE66*'DCF Lindero'!AE67+'DCF San Jose'!AE84*'DCF San Jose'!AE86)/('DCF San Jose'!AE84+'DCF Lindero'!AE66),IF(AND('DCF San Jose'!AE84&gt;=0,'DCF Seguela'!AA64&gt;=0),('DCF Seguela'!AA64*'DCF Seguela'!AA65+'DCF San Jose'!AE84*'DCF San Jose'!AE86)/('DCF San Jose'!AE84+'DCF Seguela'!AA64),IF(AND('DCF Lindero'!AE66&gt;=0,'DCF Seguela'!AA64&gt;=0),('DCF Seguela'!AA64*'DCF Seguela'!AA65+'DCF Lindero'!AE66*'DCF Lindero'!AE67)/('DCF Lindero'!AE66+'DCF Seguela'!AA64),IF('DCF Seguela'!AA64&gt;=0,'DCF Seguela'!AA65,IF('DCF Yaramoko'!AD70&gt;=0,'DCF Yaramoko'!AD71,IF('DCF Lindero'!AE66&gt;=0,'DCF Lindero'!AE67,IF('DCF San Jose'!AE84&gt;=0,'DCF San Jose'!AE86,IF('DCF Caylloma'!AE104&gt;=0,'DCF Caylloma'!AE106,0))))))))))))))))))))))))))))))))</f>
        <v>0.29614735719418062</v>
      </c>
      <c r="AF118" s="28">
        <f>IF(AND('DCF Caylloma'!AF104&lt;=0,'DCF San Jose'!AF84&lt;=0,'DCF Lindero'!AF66&lt;=0,'DCF Yaramoko'!AF70&lt;=0,'DCF Seguela'!AB64&lt;=0),0,IF(AND('DCF Caylloma'!AF104&gt;=0,'DCF San Jose'!AF84&gt;=0,'DCF Lindero'!AF66&gt;=0,'DCF Yaramoko'!AF70&gt;=0,'DCF Seguela'!AB64&gt;=0),('DCF Seguela'!AB64*'DCF Seguela'!AB65+'DCF Yaramoko'!AF70*'DCF Yaramoko'!AF71+'DCF Lindero'!AF66*'DCF Lindero'!AF67+'DCF San Jose'!AF84*'DCF San Jose'!AF86+'DCF Caylloma'!AF104*'DCF Caylloma'!AF106)/('DCF Caylloma'!AF104+'DCF San Jose'!AF84+'DCF Lindero'!AF66+'DCF Yaramoko'!AF70+'DCF Seguela'!AB64),IF(AND('DCF Caylloma'!AF104&gt;=0,'DCF San Jose'!AF84&gt;=0,'DCF Lindero'!AF66&gt;=0,'DCF Yaramoko'!AF70&gt;=0),('DCF Yaramoko'!AF70*'DCF Yaramoko'!AF71+'DCF Lindero'!AF66*'DCF Lindero'!AF67+'DCF San Jose'!AF84*'DCF San Jose'!AF86+'DCF Caylloma'!AF104*'DCF Caylloma'!AF106)/('DCF Caylloma'!AF104+'DCF San Jose'!AF84+'DCF Lindero'!AF66+'DCF Yaramoko'!AF70),IF(AND('DCF Caylloma'!AF104&gt;=0,'DCF San Jose'!AF84&gt;=0,'DCF Lindero'!AF66&gt;=0,'DCF Seguela'!AB64&gt;=0),('DCF Seguela'!AB64*'DCF Seguela'!AB65+'DCF Lindero'!AF66*'DCF Lindero'!AF67+'DCF San Jose'!AF84*'DCF San Jose'!AF86+'DCF Caylloma'!AF104*'DCF Caylloma'!AF106)/('DCF Caylloma'!AF104+'DCF San Jose'!AF84+'DCF Lindero'!AF66+'DCF Seguela'!AB64),IF(AND('DCF Seguela'!AB64&gt;=0,'DCF Yaramoko'!AF70&gt;=0,'DCF San Jose'!AF84&gt;=0,'DCF Caylloma'!AF104&gt;=0),('DCF Caylloma'!AF104*'DCF Caylloma'!AF106+'DCF San Jose'!AF84*'DCF San Jose'!AF86+'DCF Yaramoko'!AF70*'DCF Yaramoko'!AF71+'DCF Seguela'!AB64*'DCF Seguela'!AB65)/('DCF Seguela'!AB64+'DCF Yaramoko'!AF70+'DCF San Jose'!AF84+'DCF Caylloma'!AF104),IF(AND('DCF Caylloma'!AF104&gt;=0,'DCF Lindero'!AF66&gt;=0,'DCF Yaramoko'!AF70&gt;=0,'DCF Seguela'!AB64&gt;=0),('DCF Seguela'!AB64*'DCF Seguela'!AB65+'DCF Yaramoko'!AF70*'DCF Yaramoko'!AF71+'DCF Lindero'!AF66*'DCF Lindero'!AF67+'DCF Caylloma'!AF104*'DCF Caylloma'!AF106)/('DCF Caylloma'!AF104+'DCF Lindero'!AF66+'DCF Yaramoko'!AF70+'DCF Seguela'!AB64),IF(AND('DCF Seguela'!AB64&gt;=0,'DCF Yaramoko'!AF70&gt;=0,'DCF Lindero'!AF66&gt;=0,'DCF San Jose'!AF84&gt;=0),('DCF San Jose'!AF84*'DCF San Jose'!AF86+'DCF Lindero'!AF66*'DCF Lindero'!AF67+'DCF Yaramoko'!AF70*'DCF Yaramoko'!AF71+'DCF Seguela'!AB64*'DCF Seguela'!AB65)/('DCF Seguela'!AB64+'DCF Yaramoko'!AF70+'DCF Lindero'!AF66+'DCF San Jose'!AF84),IF(AND('DCF Lindero'!AF66&gt;=0,'DCF Yaramoko'!AF70&gt;=0,'DCF Seguela'!AB64&gt;=0),('DCF Seguela'!AB64*'DCF Seguela'!AB65+'DCF Yaramoko'!AF70*'DCF Yaramoko'!AF71+'DCF Lindero'!AF66*'DCF Lindero'!AF67)/('DCF Lindero'!AF66+'DCF Yaramoko'!AF70+'DCF Seguela'!AB64),IF(AND('DCF San Jose'!AF84&gt;=0,'DCF Yaramoko'!AF70&gt;=0,'DCF Seguela'!AB64&gt;=0),('DCF Seguela'!AB64*'DCF Seguela'!AB65+'DCF Yaramoko'!AF70*'DCF Yaramoko'!AF71+'DCF San Jose'!AF84*'DCF San Jose'!AF86)/('DCF San Jose'!AF84+'DCF Yaramoko'!AF70+'DCF Seguela'!AB64),IF(AND('DCF San Jose'!AF84&gt;=0,'DCF Lindero'!AF66&gt;=0,'DCF Seguela'!AB64&gt;=0),('DCF Seguela'!AB64*'DCF Seguela'!AB65+'DCF Lindero'!AF66*'DCF Lindero'!AF67+'DCF San Jose'!AF84*'DCF San Jose'!AF86)/('DCF San Jose'!AF84+'DCF Lindero'!AF66+'DCF Seguela'!AB64),IF(AND('DCF Yaramoko'!AF70&gt;=0,'DCF Lindero'!AF66&gt;=0,'DCF San Jose'!AF84&gt;=0),('DCF San Jose'!AF84*'DCF San Jose'!AF86+'DCF Lindero'!AF66*'DCF Lindero'!AF67+'DCF Yaramoko'!AF70*'DCF Yaramoko'!AF71)/('DCF Yaramoko'!AF70+'DCF Lindero'!AF66+'DCF San Jose'!AF84),IF(AND('DCF Caylloma'!AF104&gt;=0,'DCF Yaramoko'!AF70&gt;=0,'DCF Seguela'!AB64&gt;=0),('DCF Seguela'!AB64*'DCF Seguela'!AB65+'DCF Yaramoko'!AF70*'DCF Yaramoko'!AF71+'DCF Caylloma'!AF104*'DCF Caylloma'!AF106)/('DCF Caylloma'!AF104+'DCF Yaramoko'!AF70+'DCF Seguela'!AB64),IF(AND('DCF Caylloma'!AF104&gt;=0,'DCF Lindero'!AF66&gt;=0,'DCF Seguela'!AB64&gt;=0),('DCF Seguela'!AB64*'DCF Seguela'!AB65+'DCF Lindero'!AF66*'DCF Lindero'!AF67+'DCF Caylloma'!AF104*'DCF Caylloma'!AF106)/('DCF Caylloma'!AF104+'DCF Lindero'!AF66+'DCF Seguela'!AB64),IF(AND('DCF Caylloma'!AF104&gt;=0,'DCF Lindero'!AF66&gt;=0,'DCF Yaramoko'!AF70&gt;=0),('DCF Yaramoko'!AF70*'DCF Yaramoko'!AF71+'DCF Lindero'!AF66*'DCF Lindero'!AF67+'DCF Caylloma'!AF104*'DCF Caylloma'!AF106)/('DCF Caylloma'!AF104+'DCF Lindero'!AF66+'DCF Yaramoko'!AF70),IF(AND('DCF Seguela'!AB64&gt;=0,'DCF San Jose'!AF84&gt;=0,'DCF Caylloma'!AF104&gt;=0),('DCF Caylloma'!AF104*'DCF Caylloma'!AF106+'DCF San Jose'!AF84*'DCF San Jose'!AF86+'DCF Seguela'!AB64*'DCF Seguela'!AB65)/('DCF Seguela'!AB64+'DCF San Jose'!AF84+'DCF Caylloma'!AF104),IF(AND('DCF Caylloma'!AF104&gt;=0,'DCF San Jose'!AF84&gt;=0,'DCF Yaramoko'!AF70&gt;=0),('DCF Yaramoko'!AF70*'DCF Yaramoko'!AF71+'DCF San Jose'!AF84*'DCF San Jose'!AF86+'DCF Caylloma'!AF104*'DCF Caylloma'!AF106)/('DCF Caylloma'!AF104+'DCF San Jose'!AF84+'DCF Yaramoko'!AF70),IF(AND('DCF Lindero'!AF66&gt;=0,'DCF San Jose'!AF84&gt;=0,'DCF Caylloma'!AF104&gt;=0),('DCF Caylloma'!AF104*'DCF Caylloma'!AF106+'DCF San Jose'!AF84*'DCF San Jose'!AF86+'DCF Lindero'!AF66*'DCF Lindero'!AF67)/('DCF Lindero'!AF66+'DCF San Jose'!AF84+'DCF Caylloma'!AF104),IF(AND('DCF Seguela'!AB64&gt;=0,'DCF Yaramoko'!AF70&gt;=0),('DCF Yaramoko'!AF70*'DCF Yaramoko'!AF71+'DCF Seguela'!AB64*'DCF Seguela'!AB65)/('DCF Seguela'!AB64+'DCF Yaramoko'!AF70),IF(AND('DCF Yaramoko'!AF70&gt;=0,'DCF Lindero'!AF66&gt;=0),('DCF Lindero'!AF66*'DCF Lindero'!AF67+'DCF Yaramoko'!AF70*'DCF Yaramoko'!AF71)/('DCF Yaramoko'!AF70+'DCF Lindero'!AF66),IF(AND('DCF Yaramoko'!AF70&gt;=0,'DCF San Jose'!AF84&gt;=0),('DCF San Jose'!AF84*'DCF San Jose'!AF86+'DCF Yaramoko'!AF70*'DCF Yaramoko'!AF71)/('DCF Yaramoko'!AF70+'DCF San Jose'!AF84),IF(AND('DCF Yaramoko'!AF70&gt;=0,'DCF Caylloma'!AF104&gt;=0),('DCF Caylloma'!AF104*'DCF Caylloma'!AF106+'DCF Yaramoko'!AF70*'DCF Yaramoko'!AF71)/('DCF Yaramoko'!AF70+'DCF Caylloma'!AF104),IF(AND('DCF Caylloma'!AF104&gt;=0,'DCF San Jose'!AF84&gt;=0),('DCF San Jose'!AF84*'DCF San Jose'!AF86+'DCF Caylloma'!AF104*'DCF Caylloma'!AF106)/('DCF Caylloma'!AF104+'DCF San Jose'!AF84),IF(AND('DCF Caylloma'!AF104&gt;=0,'DCF Lindero'!AF66&gt;=0),('DCF Lindero'!AF66*'DCF Lindero'!AF67+'DCF Caylloma'!AF104*'DCF Caylloma'!AF106)/('DCF Caylloma'!AF104+'DCF Lindero'!AF66),IF(AND('DCF Caylloma'!AF104&gt;=0,'DCF Seguela'!AB64&gt;=0),('DCF Seguela'!AB64*'DCF Seguela'!AB65+'DCF Caylloma'!AF104*'DCF Caylloma'!AF106)/('DCF Caylloma'!AF104+'DCF Seguela'!AB64),IF(AND('DCF San Jose'!AF84&gt;=0,'DCF Lindero'!AF66&gt;=0),('DCF Lindero'!AF66*'DCF Lindero'!AF67+'DCF San Jose'!AF84*'DCF San Jose'!AF86)/('DCF San Jose'!AF84+'DCF Lindero'!AF66),IF(AND('DCF San Jose'!AF84&gt;=0,'DCF Seguela'!AB64&gt;=0),('DCF Seguela'!AB64*'DCF Seguela'!AB65+'DCF San Jose'!AF84*'DCF San Jose'!AF86)/('DCF San Jose'!AF84+'DCF Seguela'!AB64),IF(AND('DCF Lindero'!AF66&gt;=0,'DCF Seguela'!AB64&gt;=0),('DCF Seguela'!AB64*'DCF Seguela'!AB65+'DCF Lindero'!AF66*'DCF Lindero'!AF67)/('DCF Lindero'!AF66+'DCF Seguela'!AB64),IF('DCF Seguela'!AB64&gt;=0,'DCF Seguela'!AB65,IF('DCF Yaramoko'!AE70&gt;=0,'DCF Yaramoko'!AE71,IF('DCF Lindero'!AF66&gt;=0,'DCF Lindero'!AF67,IF('DCF San Jose'!AF84&gt;=0,'DCF San Jose'!AF86,IF('DCF Caylloma'!AF104&gt;=0,'DCF Caylloma'!AF106,0))))))))))))))))))))))))))))))))</f>
        <v>0.29499999999999998</v>
      </c>
      <c r="AG118" s="28">
        <f>IF(AND('DCF Caylloma'!AG104&lt;=0,'DCF San Jose'!AG84&lt;=0,'DCF Lindero'!AG66&lt;=0,'DCF Yaramoko'!AG70&lt;=0,'DCF Seguela'!AC64&lt;=0),0,IF(AND('DCF Caylloma'!AG104&gt;=0,'DCF San Jose'!AG84&gt;=0,'DCF Lindero'!AG66&gt;=0,'DCF Yaramoko'!AG70&gt;=0,'DCF Seguela'!AC64&gt;=0),('DCF Seguela'!AC64*'DCF Seguela'!AC65+'DCF Yaramoko'!AG70*'DCF Yaramoko'!AG71+'DCF Lindero'!AG66*'DCF Lindero'!AG67+'DCF San Jose'!AG84*'DCF San Jose'!AG86+'DCF Caylloma'!AG104*'DCF Caylloma'!AG106)/('DCF Caylloma'!AG104+'DCF San Jose'!AG84+'DCF Lindero'!AG66+'DCF Yaramoko'!AG70+'DCF Seguela'!AC64),IF(AND('DCF Caylloma'!AG104&gt;=0,'DCF San Jose'!AG84&gt;=0,'DCF Lindero'!AG66&gt;=0,'DCF Yaramoko'!AG70&gt;=0),('DCF Yaramoko'!AG70*'DCF Yaramoko'!AG71+'DCF Lindero'!AG66*'DCF Lindero'!AG67+'DCF San Jose'!AG84*'DCF San Jose'!AG86+'DCF Caylloma'!AG104*'DCF Caylloma'!AG106)/('DCF Caylloma'!AG104+'DCF San Jose'!AG84+'DCF Lindero'!AG66+'DCF Yaramoko'!AG70),IF(AND('DCF Caylloma'!AG104&gt;=0,'DCF San Jose'!AG84&gt;=0,'DCF Lindero'!AG66&gt;=0,'DCF Seguela'!AC64&gt;=0),('DCF Seguela'!AC64*'DCF Seguela'!AC65+'DCF Lindero'!AG66*'DCF Lindero'!AG67+'DCF San Jose'!AG84*'DCF San Jose'!AG86+'DCF Caylloma'!AG104*'DCF Caylloma'!AG106)/('DCF Caylloma'!AG104+'DCF San Jose'!AG84+'DCF Lindero'!AG66+'DCF Seguela'!AC64),IF(AND('DCF Seguela'!AC64&gt;=0,'DCF Yaramoko'!AG70&gt;=0,'DCF San Jose'!AG84&gt;=0,'DCF Caylloma'!AG104&gt;=0),('DCF Caylloma'!AG104*'DCF Caylloma'!AG106+'DCF San Jose'!AG84*'DCF San Jose'!AG86+'DCF Yaramoko'!AG70*'DCF Yaramoko'!AG71+'DCF Seguela'!AC64*'DCF Seguela'!AC65)/('DCF Seguela'!AC64+'DCF Yaramoko'!AG70+'DCF San Jose'!AG84+'DCF Caylloma'!AG104),IF(AND('DCF Caylloma'!AG104&gt;=0,'DCF Lindero'!AG66&gt;=0,'DCF Yaramoko'!AG70&gt;=0,'DCF Seguela'!AC64&gt;=0),('DCF Seguela'!AC64*'DCF Seguela'!AC65+'DCF Yaramoko'!AG70*'DCF Yaramoko'!AG71+'DCF Lindero'!AG66*'DCF Lindero'!AG67+'DCF Caylloma'!AG104*'DCF Caylloma'!AG106)/('DCF Caylloma'!AG104+'DCF Lindero'!AG66+'DCF Yaramoko'!AG70+'DCF Seguela'!AC64),IF(AND('DCF Seguela'!AC64&gt;=0,'DCF Yaramoko'!AG70&gt;=0,'DCF Lindero'!AG66&gt;=0,'DCF San Jose'!AG84&gt;=0),('DCF San Jose'!AG84*'DCF San Jose'!AG86+'DCF Lindero'!AG66*'DCF Lindero'!AG67+'DCF Yaramoko'!AG70*'DCF Yaramoko'!AG71+'DCF Seguela'!AC64*'DCF Seguela'!AC65)/('DCF Seguela'!AC64+'DCF Yaramoko'!AG70+'DCF Lindero'!AG66+'DCF San Jose'!AG84),IF(AND('DCF Lindero'!AG66&gt;=0,'DCF Yaramoko'!AG70&gt;=0,'DCF Seguela'!AC64&gt;=0),('DCF Seguela'!AC64*'DCF Seguela'!AC65+'DCF Yaramoko'!AG70*'DCF Yaramoko'!AG71+'DCF Lindero'!AG66*'DCF Lindero'!AG67)/('DCF Lindero'!AG66+'DCF Yaramoko'!AG70+'DCF Seguela'!AC64),IF(AND('DCF San Jose'!AG84&gt;=0,'DCF Yaramoko'!AG70&gt;=0,'DCF Seguela'!AC64&gt;=0),('DCF Seguela'!AC64*'DCF Seguela'!AC65+'DCF Yaramoko'!AG70*'DCF Yaramoko'!AG71+'DCF San Jose'!AG84*'DCF San Jose'!AG86)/('DCF San Jose'!AG84+'DCF Yaramoko'!AG70+'DCF Seguela'!AC64),IF(AND('DCF San Jose'!AG84&gt;=0,'DCF Lindero'!AG66&gt;=0,'DCF Seguela'!AC64&gt;=0),('DCF Seguela'!AC64*'DCF Seguela'!AC65+'DCF Lindero'!AG66*'DCF Lindero'!AG67+'DCF San Jose'!AG84*'DCF San Jose'!AG86)/('DCF San Jose'!AG84+'DCF Lindero'!AG66+'DCF Seguela'!AC64),IF(AND('DCF Yaramoko'!AG70&gt;=0,'DCF Lindero'!AG66&gt;=0,'DCF San Jose'!AG84&gt;=0),('DCF San Jose'!AG84*'DCF San Jose'!AG86+'DCF Lindero'!AG66*'DCF Lindero'!AG67+'DCF Yaramoko'!AG70*'DCF Yaramoko'!AG71)/('DCF Yaramoko'!AG70+'DCF Lindero'!AG66+'DCF San Jose'!AG84),IF(AND('DCF Caylloma'!AG104&gt;=0,'DCF Yaramoko'!AG70&gt;=0,'DCF Seguela'!AC64&gt;=0),('DCF Seguela'!AC64*'DCF Seguela'!AC65+'DCF Yaramoko'!AG70*'DCF Yaramoko'!AG71+'DCF Caylloma'!AG104*'DCF Caylloma'!AG106)/('DCF Caylloma'!AG104+'DCF Yaramoko'!AG70+'DCF Seguela'!AC64),IF(AND('DCF Caylloma'!AG104&gt;=0,'DCF Lindero'!AG66&gt;=0,'DCF Seguela'!AC64&gt;=0),('DCF Seguela'!AC64*'DCF Seguela'!AC65+'DCF Lindero'!AG66*'DCF Lindero'!AG67+'DCF Caylloma'!AG104*'DCF Caylloma'!AG106)/('DCF Caylloma'!AG104+'DCF Lindero'!AG66+'DCF Seguela'!AC64),IF(AND('DCF Caylloma'!AG104&gt;=0,'DCF Lindero'!AG66&gt;=0,'DCF Yaramoko'!AG70&gt;=0),('DCF Yaramoko'!AG70*'DCF Yaramoko'!AG71+'DCF Lindero'!AG66*'DCF Lindero'!AG67+'DCF Caylloma'!AG104*'DCF Caylloma'!AG106)/('DCF Caylloma'!AG104+'DCF Lindero'!AG66+'DCF Yaramoko'!AG70),IF(AND('DCF Seguela'!AC64&gt;=0,'DCF San Jose'!AG84&gt;=0,'DCF Caylloma'!AG104&gt;=0),('DCF Caylloma'!AG104*'DCF Caylloma'!AG106+'DCF San Jose'!AG84*'DCF San Jose'!AG86+'DCF Seguela'!AC64*'DCF Seguela'!AC65)/('DCF Seguela'!AC64+'DCF San Jose'!AG84+'DCF Caylloma'!AG104),IF(AND('DCF Caylloma'!AG104&gt;=0,'DCF San Jose'!AG84&gt;=0,'DCF Yaramoko'!AG70&gt;=0),('DCF Yaramoko'!AG70*'DCF Yaramoko'!AG71+'DCF San Jose'!AG84*'DCF San Jose'!AG86+'DCF Caylloma'!AG104*'DCF Caylloma'!AG106)/('DCF Caylloma'!AG104+'DCF San Jose'!AG84+'DCF Yaramoko'!AG70),IF(AND('DCF Lindero'!AG66&gt;=0,'DCF San Jose'!AG84&gt;=0,'DCF Caylloma'!AG104&gt;=0),('DCF Caylloma'!AG104*'DCF Caylloma'!AG106+'DCF San Jose'!AG84*'DCF San Jose'!AG86+'DCF Lindero'!AG66*'DCF Lindero'!AG67)/('DCF Lindero'!AG66+'DCF San Jose'!AG84+'DCF Caylloma'!AG104),IF(AND('DCF Seguela'!AC64&gt;=0,'DCF Yaramoko'!AG70&gt;=0),('DCF Yaramoko'!AG70*'DCF Yaramoko'!AG71+'DCF Seguela'!AC64*'DCF Seguela'!AC65)/('DCF Seguela'!AC64+'DCF Yaramoko'!AG70),IF(AND('DCF Yaramoko'!AG70&gt;=0,'DCF Lindero'!AG66&gt;=0),('DCF Lindero'!AG66*'DCF Lindero'!AG67+'DCF Yaramoko'!AG70*'DCF Yaramoko'!AG71)/('DCF Yaramoko'!AG70+'DCF Lindero'!AG66),IF(AND('DCF Yaramoko'!AG70&gt;=0,'DCF San Jose'!AG84&gt;=0),('DCF San Jose'!AG84*'DCF San Jose'!AG86+'DCF Yaramoko'!AG70*'DCF Yaramoko'!AG71)/('DCF Yaramoko'!AG70+'DCF San Jose'!AG84),IF(AND('DCF Yaramoko'!AG70&gt;=0,'DCF Caylloma'!AG104&gt;=0),('DCF Caylloma'!AG104*'DCF Caylloma'!AG106+'DCF Yaramoko'!AG70*'DCF Yaramoko'!AG71)/('DCF Yaramoko'!AG70+'DCF Caylloma'!AG104),IF(AND('DCF Caylloma'!AG104&gt;=0,'DCF San Jose'!AG84&gt;=0),('DCF San Jose'!AG84*'DCF San Jose'!AG86+'DCF Caylloma'!AG104*'DCF Caylloma'!AG106)/('DCF Caylloma'!AG104+'DCF San Jose'!AG84),IF(AND('DCF Caylloma'!AG104&gt;=0,'DCF Lindero'!AG66&gt;=0),('DCF Lindero'!AG66*'DCF Lindero'!AG67+'DCF Caylloma'!AG104*'DCF Caylloma'!AG106)/('DCF Caylloma'!AG104+'DCF Lindero'!AG66),IF(AND('DCF Caylloma'!AG104&gt;=0,'DCF Seguela'!AC64&gt;=0),('DCF Seguela'!AC64*'DCF Seguela'!AC65+'DCF Caylloma'!AG104*'DCF Caylloma'!AG106)/('DCF Caylloma'!AG104+'DCF Seguela'!AC64),IF(AND('DCF San Jose'!AG84&gt;=0,'DCF Lindero'!AG66&gt;=0),('DCF Lindero'!AG66*'DCF Lindero'!AG67+'DCF San Jose'!AG84*'DCF San Jose'!AG86)/('DCF San Jose'!AG84+'DCF Lindero'!AG66),IF(AND('DCF San Jose'!AG84&gt;=0,'DCF Seguela'!AC64&gt;=0),('DCF Seguela'!AC64*'DCF Seguela'!AC65+'DCF San Jose'!AG84*'DCF San Jose'!AG86)/('DCF San Jose'!AG84+'DCF Seguela'!AC64),IF(AND('DCF Lindero'!AG66&gt;=0,'DCF Seguela'!AC64&gt;=0),('DCF Seguela'!AC64*'DCF Seguela'!AC65+'DCF Lindero'!AG66*'DCF Lindero'!AG67)/('DCF Lindero'!AG66+'DCF Seguela'!AC64),IF('DCF Seguela'!AC64&gt;=0,'DCF Seguela'!AC65,IF('DCF Yaramoko'!AF70&gt;=0,'DCF Yaramoko'!AF71,IF('DCF Lindero'!AG66&gt;=0,'DCF Lindero'!AG67,IF('DCF San Jose'!AG84&gt;=0,'DCF San Jose'!AG86,IF('DCF Caylloma'!AG104&gt;=0,'DCF Caylloma'!AG106,0))))))))))))))))))))))))))))))))</f>
        <v>0</v>
      </c>
      <c r="AH118" s="28">
        <f>IF(AND('DCF Caylloma'!AH104&lt;=0,'DCF San Jose'!AH84&lt;=0,'DCF Lindero'!AH66&lt;=0,'DCF Yaramoko'!AH70&lt;=0,'DCF Seguela'!AD64&lt;=0),0,IF(AND('DCF Caylloma'!AH104&gt;=0,'DCF San Jose'!AH84&gt;=0,'DCF Lindero'!AH66&gt;=0,'DCF Yaramoko'!AH70&gt;=0,'DCF Seguela'!AD64&gt;=0),('DCF Seguela'!AD64*'DCF Seguela'!AD65+'DCF Yaramoko'!AH70*'DCF Yaramoko'!AH71+'DCF Lindero'!AH66*'DCF Lindero'!AH67+'DCF San Jose'!AH84*'DCF San Jose'!AH86+'DCF Caylloma'!AH104*'DCF Caylloma'!AH106)/('DCF Caylloma'!AH104+'DCF San Jose'!AH84+'DCF Lindero'!AH66+'DCF Yaramoko'!AH70+'DCF Seguela'!AD64),IF(AND('DCF Caylloma'!AH104&gt;=0,'DCF San Jose'!AH84&gt;=0,'DCF Lindero'!AH66&gt;=0,'DCF Yaramoko'!AH70&gt;=0),('DCF Yaramoko'!AH70*'DCF Yaramoko'!AH71+'DCF Lindero'!AH66*'DCF Lindero'!AH67+'DCF San Jose'!AH84*'DCF San Jose'!AH86+'DCF Caylloma'!AH104*'DCF Caylloma'!AH106)/('DCF Caylloma'!AH104+'DCF San Jose'!AH84+'DCF Lindero'!AH66+'DCF Yaramoko'!AH70),IF(AND('DCF Caylloma'!AH104&gt;=0,'DCF San Jose'!AH84&gt;=0,'DCF Lindero'!AH66&gt;=0,'DCF Seguela'!AD64&gt;=0),('DCF Seguela'!AD64*'DCF Seguela'!AD65+'DCF Lindero'!AH66*'DCF Lindero'!AH67+'DCF San Jose'!AH84*'DCF San Jose'!AH86+'DCF Caylloma'!AH104*'DCF Caylloma'!AH106)/('DCF Caylloma'!AH104+'DCF San Jose'!AH84+'DCF Lindero'!AH66+'DCF Seguela'!AD64),IF(AND('DCF Seguela'!AD64&gt;=0,'DCF Yaramoko'!AH70&gt;=0,'DCF San Jose'!AH84&gt;=0,'DCF Caylloma'!AH104&gt;=0),('DCF Caylloma'!AH104*'DCF Caylloma'!AH106+'DCF San Jose'!AH84*'DCF San Jose'!AH86+'DCF Yaramoko'!AH70*'DCF Yaramoko'!AH71+'DCF Seguela'!AD64*'DCF Seguela'!AD65)/('DCF Seguela'!AD64+'DCF Yaramoko'!AH70+'DCF San Jose'!AH84+'DCF Caylloma'!AH104),IF(AND('DCF Caylloma'!AH104&gt;=0,'DCF Lindero'!AH66&gt;=0,'DCF Yaramoko'!AH70&gt;=0,'DCF Seguela'!AD64&gt;=0),('DCF Seguela'!AD64*'DCF Seguela'!AD65+'DCF Yaramoko'!AH70*'DCF Yaramoko'!AH71+'DCF Lindero'!AH66*'DCF Lindero'!AH67+'DCF Caylloma'!AH104*'DCF Caylloma'!AH106)/('DCF Caylloma'!AH104+'DCF Lindero'!AH66+'DCF Yaramoko'!AH70+'DCF Seguela'!AD64),IF(AND('DCF Seguela'!AD64&gt;=0,'DCF Yaramoko'!AH70&gt;=0,'DCF Lindero'!AH66&gt;=0,'DCF San Jose'!AH84&gt;=0),('DCF San Jose'!AH84*'DCF San Jose'!AH86+'DCF Lindero'!AH66*'DCF Lindero'!AH67+'DCF Yaramoko'!AH70*'DCF Yaramoko'!AH71+'DCF Seguela'!AD64*'DCF Seguela'!AD65)/('DCF Seguela'!AD64+'DCF Yaramoko'!AH70+'DCF Lindero'!AH66+'DCF San Jose'!AH84),IF(AND('DCF Lindero'!AH66&gt;=0,'DCF Yaramoko'!AH70&gt;=0,'DCF Seguela'!AD64&gt;=0),('DCF Seguela'!AD64*'DCF Seguela'!AD65+'DCF Yaramoko'!AH70*'DCF Yaramoko'!AH71+'DCF Lindero'!AH66*'DCF Lindero'!AH67)/('DCF Lindero'!AH66+'DCF Yaramoko'!AH70+'DCF Seguela'!AD64),IF(AND('DCF San Jose'!AH84&gt;=0,'DCF Yaramoko'!AH70&gt;=0,'DCF Seguela'!AD64&gt;=0),('DCF Seguela'!AD64*'DCF Seguela'!AD65+'DCF Yaramoko'!AH70*'DCF Yaramoko'!AH71+'DCF San Jose'!AH84*'DCF San Jose'!AH86)/('DCF San Jose'!AH84+'DCF Yaramoko'!AH70+'DCF Seguela'!AD64),IF(AND('DCF San Jose'!AH84&gt;=0,'DCF Lindero'!AH66&gt;=0,'DCF Seguela'!AD64&gt;=0),('DCF Seguela'!AD64*'DCF Seguela'!AD65+'DCF Lindero'!AH66*'DCF Lindero'!AH67+'DCF San Jose'!AH84*'DCF San Jose'!AH86)/('DCF San Jose'!AH84+'DCF Lindero'!AH66+'DCF Seguela'!AD64),IF(AND('DCF Yaramoko'!AH70&gt;=0,'DCF Lindero'!AH66&gt;=0,'DCF San Jose'!AH84&gt;=0),('DCF San Jose'!AH84*'DCF San Jose'!AH86+'DCF Lindero'!AH66*'DCF Lindero'!AH67+'DCF Yaramoko'!AH70*'DCF Yaramoko'!AH71)/('DCF Yaramoko'!AH70+'DCF Lindero'!AH66+'DCF San Jose'!AH84),IF(AND('DCF Caylloma'!AH104&gt;=0,'DCF Yaramoko'!AH70&gt;=0,'DCF Seguela'!AD64&gt;=0),('DCF Seguela'!AD64*'DCF Seguela'!AD65+'DCF Yaramoko'!AH70*'DCF Yaramoko'!AH71+'DCF Caylloma'!AH104*'DCF Caylloma'!AH106)/('DCF Caylloma'!AH104+'DCF Yaramoko'!AH70+'DCF Seguela'!AD64),IF(AND('DCF Caylloma'!AH104&gt;=0,'DCF Lindero'!AH66&gt;=0,'DCF Seguela'!AD64&gt;=0),('DCF Seguela'!AD64*'DCF Seguela'!AD65+'DCF Lindero'!AH66*'DCF Lindero'!AH67+'DCF Caylloma'!AH104*'DCF Caylloma'!AH106)/('DCF Caylloma'!AH104+'DCF Lindero'!AH66+'DCF Seguela'!AD64),IF(AND('DCF Caylloma'!AH104&gt;=0,'DCF Lindero'!AH66&gt;=0,'DCF Yaramoko'!AH70&gt;=0),('DCF Yaramoko'!AH70*'DCF Yaramoko'!AH71+'DCF Lindero'!AH66*'DCF Lindero'!AH67+'DCF Caylloma'!AH104*'DCF Caylloma'!AH106)/('DCF Caylloma'!AH104+'DCF Lindero'!AH66+'DCF Yaramoko'!AH70),IF(AND('DCF Seguela'!AD64&gt;=0,'DCF San Jose'!AH84&gt;=0,'DCF Caylloma'!AH104&gt;=0),('DCF Caylloma'!AH104*'DCF Caylloma'!AH106+'DCF San Jose'!AH84*'DCF San Jose'!AH86+'DCF Seguela'!AD64*'DCF Seguela'!AD65)/('DCF Seguela'!AD64+'DCF San Jose'!AH84+'DCF Caylloma'!AH104),IF(AND('DCF Caylloma'!AH104&gt;=0,'DCF San Jose'!AH84&gt;=0,'DCF Yaramoko'!AH70&gt;=0),('DCF Yaramoko'!AH70*'DCF Yaramoko'!AH71+'DCF San Jose'!AH84*'DCF San Jose'!AH86+'DCF Caylloma'!AH104*'DCF Caylloma'!AH106)/('DCF Caylloma'!AH104+'DCF San Jose'!AH84+'DCF Yaramoko'!AH70),IF(AND('DCF Lindero'!AH66&gt;=0,'DCF San Jose'!AH84&gt;=0,'DCF Caylloma'!AH104&gt;=0),('DCF Caylloma'!AH104*'DCF Caylloma'!AH106+'DCF San Jose'!AH84*'DCF San Jose'!AH86+'DCF Lindero'!AH66*'DCF Lindero'!AH67)/('DCF Lindero'!AH66+'DCF San Jose'!AH84+'DCF Caylloma'!AH104),IF(AND('DCF Seguela'!AD64&gt;=0,'DCF Yaramoko'!AH70&gt;=0),('DCF Yaramoko'!AH70*'DCF Yaramoko'!AH71+'DCF Seguela'!AD64*'DCF Seguela'!AD65)/('DCF Seguela'!AD64+'DCF Yaramoko'!AH70),IF(AND('DCF Yaramoko'!AH70&gt;=0,'DCF Lindero'!AH66&gt;=0),('DCF Lindero'!AH66*'DCF Lindero'!AH67+'DCF Yaramoko'!AH70*'DCF Yaramoko'!AH71)/('DCF Yaramoko'!AH70+'DCF Lindero'!AH66),IF(AND('DCF Yaramoko'!AH70&gt;=0,'DCF San Jose'!AH84&gt;=0),('DCF San Jose'!AH84*'DCF San Jose'!AH86+'DCF Yaramoko'!AH70*'DCF Yaramoko'!AH71)/('DCF Yaramoko'!AH70+'DCF San Jose'!AH84),IF(AND('DCF Yaramoko'!AH70&gt;=0,'DCF Caylloma'!AH104&gt;=0),('DCF Caylloma'!AH104*'DCF Caylloma'!AH106+'DCF Yaramoko'!AH70*'DCF Yaramoko'!AH71)/('DCF Yaramoko'!AH70+'DCF Caylloma'!AH104),IF(AND('DCF Caylloma'!AH104&gt;=0,'DCF San Jose'!AH84&gt;=0),('DCF San Jose'!AH84*'DCF San Jose'!AH86+'DCF Caylloma'!AH104*'DCF Caylloma'!AH106)/('DCF Caylloma'!AH104+'DCF San Jose'!AH84),IF(AND('DCF Caylloma'!AH104&gt;=0,'DCF Lindero'!AH66&gt;=0),('DCF Lindero'!AH66*'DCF Lindero'!AH67+'DCF Caylloma'!AH104*'DCF Caylloma'!AH106)/('DCF Caylloma'!AH104+'DCF Lindero'!AH66),IF(AND('DCF Caylloma'!AH104&gt;=0,'DCF Seguela'!AD64&gt;=0),('DCF Seguela'!AD64*'DCF Seguela'!AD65+'DCF Caylloma'!AH104*'DCF Caylloma'!AH106)/('DCF Caylloma'!AH104+'DCF Seguela'!AD64),IF(AND('DCF San Jose'!AH84&gt;=0,'DCF Lindero'!AH66&gt;=0),('DCF Lindero'!AH66*'DCF Lindero'!AH67+'DCF San Jose'!AH84*'DCF San Jose'!AH86)/('DCF San Jose'!AH84+'DCF Lindero'!AH66),IF(AND('DCF San Jose'!AH84&gt;=0,'DCF Seguela'!AD64&gt;=0),('DCF Seguela'!AD64*'DCF Seguela'!AD65+'DCF San Jose'!AH84*'DCF San Jose'!AH86)/('DCF San Jose'!AH84+'DCF Seguela'!AD64),IF(AND('DCF Lindero'!AH66&gt;=0,'DCF Seguela'!AD64&gt;=0),('DCF Seguela'!AD64*'DCF Seguela'!AD65+'DCF Lindero'!AH66*'DCF Lindero'!AH67)/('DCF Lindero'!AH66+'DCF Seguela'!AD64),IF('DCF Seguela'!AD64&gt;=0,'DCF Seguela'!AD65,IF('DCF Yaramoko'!AG70&gt;=0,'DCF Yaramoko'!AG71,IF('DCF Lindero'!AH66&gt;=0,'DCF Lindero'!AH67,IF('DCF San Jose'!AH84&gt;=0,'DCF San Jose'!AH86,IF('DCF Caylloma'!AH104&gt;=0,'DCF Caylloma'!AH106,0))))))))))))))))))))))))))))))))</f>
        <v>0</v>
      </c>
      <c r="AI118" s="28">
        <f>IF(AND('DCF Caylloma'!AI104&lt;=0,'DCF San Jose'!AI84&lt;=0,'DCF Lindero'!AI66&lt;=0,'DCF Yaramoko'!AI70&lt;=0,'DCF Seguela'!AE64&lt;=0),0,IF(AND('DCF Caylloma'!AI104&gt;=0,'DCF San Jose'!AI84&gt;=0,'DCF Lindero'!AI66&gt;=0,'DCF Yaramoko'!AI70&gt;=0,'DCF Seguela'!AE64&gt;=0),('DCF Seguela'!AE64*'DCF Seguela'!AE65+'DCF Yaramoko'!AI70*'DCF Yaramoko'!AI71+'DCF Lindero'!AI66*'DCF Lindero'!AI67+'DCF San Jose'!AI84*'DCF San Jose'!AI86+'DCF Caylloma'!AI104*'DCF Caylloma'!AI106)/('DCF Caylloma'!AI104+'DCF San Jose'!AI84+'DCF Lindero'!AI66+'DCF Yaramoko'!AI70+'DCF Seguela'!AE64),IF(AND('DCF Caylloma'!AI104&gt;=0,'DCF San Jose'!AI84&gt;=0,'DCF Lindero'!AI66&gt;=0,'DCF Yaramoko'!AI70&gt;=0),('DCF Yaramoko'!AI70*'DCF Yaramoko'!AI71+'DCF Lindero'!AI66*'DCF Lindero'!AI67+'DCF San Jose'!AI84*'DCF San Jose'!AI86+'DCF Caylloma'!AI104*'DCF Caylloma'!AI106)/('DCF Caylloma'!AI104+'DCF San Jose'!AI84+'DCF Lindero'!AI66+'DCF Yaramoko'!AI70),IF(AND('DCF Caylloma'!AI104&gt;=0,'DCF San Jose'!AI84&gt;=0,'DCF Lindero'!AI66&gt;=0,'DCF Seguela'!AE64&gt;=0),('DCF Seguela'!AE64*'DCF Seguela'!AE65+'DCF Lindero'!AI66*'DCF Lindero'!AI67+'DCF San Jose'!AI84*'DCF San Jose'!AI86+'DCF Caylloma'!AI104*'DCF Caylloma'!AI106)/('DCF Caylloma'!AI104+'DCF San Jose'!AI84+'DCF Lindero'!AI66+'DCF Seguela'!AE64),IF(AND('DCF Seguela'!AE64&gt;=0,'DCF Yaramoko'!AI70&gt;=0,'DCF San Jose'!AI84&gt;=0,'DCF Caylloma'!AI104&gt;=0),('DCF Caylloma'!AI104*'DCF Caylloma'!AI106+'DCF San Jose'!AI84*'DCF San Jose'!AI86+'DCF Yaramoko'!AI70*'DCF Yaramoko'!AI71+'DCF Seguela'!AE64*'DCF Seguela'!AE65)/('DCF Seguela'!AE64+'DCF Yaramoko'!AI70+'DCF San Jose'!AI84+'DCF Caylloma'!AI104),IF(AND('DCF Caylloma'!AI104&gt;=0,'DCF Lindero'!AI66&gt;=0,'DCF Yaramoko'!AI70&gt;=0,'DCF Seguela'!AE64&gt;=0),('DCF Seguela'!AE64*'DCF Seguela'!AE65+'DCF Yaramoko'!AI70*'DCF Yaramoko'!AI71+'DCF Lindero'!AI66*'DCF Lindero'!AI67+'DCF Caylloma'!AI104*'DCF Caylloma'!AI106)/('DCF Caylloma'!AI104+'DCF Lindero'!AI66+'DCF Yaramoko'!AI70+'DCF Seguela'!AE64),IF(AND('DCF Seguela'!AE64&gt;=0,'DCF Yaramoko'!AI70&gt;=0,'DCF Lindero'!AI66&gt;=0,'DCF San Jose'!AI84&gt;=0),('DCF San Jose'!AI84*'DCF San Jose'!AI86+'DCF Lindero'!AI66*'DCF Lindero'!AI67+'DCF Yaramoko'!AI70*'DCF Yaramoko'!AI71+'DCF Seguela'!AE64*'DCF Seguela'!AE65)/('DCF Seguela'!AE64+'DCF Yaramoko'!AI70+'DCF Lindero'!AI66+'DCF San Jose'!AI84),IF(AND('DCF Lindero'!AI66&gt;=0,'DCF Yaramoko'!AI70&gt;=0,'DCF Seguela'!AE64&gt;=0),('DCF Seguela'!AE64*'DCF Seguela'!AE65+'DCF Yaramoko'!AI70*'DCF Yaramoko'!AI71+'DCF Lindero'!AI66*'DCF Lindero'!AI67)/('DCF Lindero'!AI66+'DCF Yaramoko'!AI70+'DCF Seguela'!AE64),IF(AND('DCF San Jose'!AI84&gt;=0,'DCF Yaramoko'!AI70&gt;=0,'DCF Seguela'!AE64&gt;=0),('DCF Seguela'!AE64*'DCF Seguela'!AE65+'DCF Yaramoko'!AI70*'DCF Yaramoko'!AI71+'DCF San Jose'!AI84*'DCF San Jose'!AI86)/('DCF San Jose'!AI84+'DCF Yaramoko'!AI70+'DCF Seguela'!AE64),IF(AND('DCF San Jose'!AI84&gt;=0,'DCF Lindero'!AI66&gt;=0,'DCF Seguela'!AE64&gt;=0),('DCF Seguela'!AE64*'DCF Seguela'!AE65+'DCF Lindero'!AI66*'DCF Lindero'!AI67+'DCF San Jose'!AI84*'DCF San Jose'!AI86)/('DCF San Jose'!AI84+'DCF Lindero'!AI66+'DCF Seguela'!AE64),IF(AND('DCF Yaramoko'!AI70&gt;=0,'DCF Lindero'!AI66&gt;=0,'DCF San Jose'!AI84&gt;=0),('DCF San Jose'!AI84*'DCF San Jose'!AI86+'DCF Lindero'!AI66*'DCF Lindero'!AI67+'DCF Yaramoko'!AI70*'DCF Yaramoko'!AI71)/('DCF Yaramoko'!AI70+'DCF Lindero'!AI66+'DCF San Jose'!AI84),IF(AND('DCF Caylloma'!AI104&gt;=0,'DCF Yaramoko'!AI70&gt;=0,'DCF Seguela'!AE64&gt;=0),('DCF Seguela'!AE64*'DCF Seguela'!AE65+'DCF Yaramoko'!AI70*'DCF Yaramoko'!AI71+'DCF Caylloma'!AI104*'DCF Caylloma'!AI106)/('DCF Caylloma'!AI104+'DCF Yaramoko'!AI70+'DCF Seguela'!AE64),IF(AND('DCF Caylloma'!AI104&gt;=0,'DCF Lindero'!AI66&gt;=0,'DCF Seguela'!AE64&gt;=0),('DCF Seguela'!AE64*'DCF Seguela'!AE65+'DCF Lindero'!AI66*'DCF Lindero'!AI67+'DCF Caylloma'!AI104*'DCF Caylloma'!AI106)/('DCF Caylloma'!AI104+'DCF Lindero'!AI66+'DCF Seguela'!AE64),IF(AND('DCF Caylloma'!AI104&gt;=0,'DCF Lindero'!AI66&gt;=0,'DCF Yaramoko'!AI70&gt;=0),('DCF Yaramoko'!AI70*'DCF Yaramoko'!AI71+'DCF Lindero'!AI66*'DCF Lindero'!AI67+'DCF Caylloma'!AI104*'DCF Caylloma'!AI106)/('DCF Caylloma'!AI104+'DCF Lindero'!AI66+'DCF Yaramoko'!AI70),IF(AND('DCF Seguela'!AE64&gt;=0,'DCF San Jose'!AI84&gt;=0,'DCF Caylloma'!AI104&gt;=0),('DCF Caylloma'!AI104*'DCF Caylloma'!AI106+'DCF San Jose'!AI84*'DCF San Jose'!AI86+'DCF Seguela'!AE64*'DCF Seguela'!AE65)/('DCF Seguela'!AE64+'DCF San Jose'!AI84+'DCF Caylloma'!AI104),IF(AND('DCF Caylloma'!AI104&gt;=0,'DCF San Jose'!AI84&gt;=0,'DCF Yaramoko'!AI70&gt;=0),('DCF Yaramoko'!AI70*'DCF Yaramoko'!AI71+'DCF San Jose'!AI84*'DCF San Jose'!AI86+'DCF Caylloma'!AI104*'DCF Caylloma'!AI106)/('DCF Caylloma'!AI104+'DCF San Jose'!AI84+'DCF Yaramoko'!AI70),IF(AND('DCF Lindero'!AI66&gt;=0,'DCF San Jose'!AI84&gt;=0,'DCF Caylloma'!AI104&gt;=0),('DCF Caylloma'!AI104*'DCF Caylloma'!AI106+'DCF San Jose'!AI84*'DCF San Jose'!AI86+'DCF Lindero'!AI66*'DCF Lindero'!AI67)/('DCF Lindero'!AI66+'DCF San Jose'!AI84+'DCF Caylloma'!AI104),IF(AND('DCF Seguela'!AE64&gt;=0,'DCF Yaramoko'!AI70&gt;=0),('DCF Yaramoko'!AI70*'DCF Yaramoko'!AI71+'DCF Seguela'!AE64*'DCF Seguela'!AE65)/('DCF Seguela'!AE64+'DCF Yaramoko'!AI70),IF(AND('DCF Yaramoko'!AI70&gt;=0,'DCF Lindero'!AI66&gt;=0),('DCF Lindero'!AI66*'DCF Lindero'!AI67+'DCF Yaramoko'!AI70*'DCF Yaramoko'!AI71)/('DCF Yaramoko'!AI70+'DCF Lindero'!AI66),IF(AND('DCF Yaramoko'!AI70&gt;=0,'DCF San Jose'!AI84&gt;=0),('DCF San Jose'!AI84*'DCF San Jose'!AI86+'DCF Yaramoko'!AI70*'DCF Yaramoko'!AI71)/('DCF Yaramoko'!AI70+'DCF San Jose'!AI84),IF(AND('DCF Yaramoko'!AI70&gt;=0,'DCF Caylloma'!AI104&gt;=0),('DCF Caylloma'!AI104*'DCF Caylloma'!AI106+'DCF Yaramoko'!AI70*'DCF Yaramoko'!AI71)/('DCF Yaramoko'!AI70+'DCF Caylloma'!AI104),IF(AND('DCF Caylloma'!AI104&gt;=0,'DCF San Jose'!AI84&gt;=0),('DCF San Jose'!AI84*'DCF San Jose'!AI86+'DCF Caylloma'!AI104*'DCF Caylloma'!AI106)/('DCF Caylloma'!AI104+'DCF San Jose'!AI84),IF(AND('DCF Caylloma'!AI104&gt;=0,'DCF Lindero'!AI66&gt;=0),('DCF Lindero'!AI66*'DCF Lindero'!AI67+'DCF Caylloma'!AI104*'DCF Caylloma'!AI106)/('DCF Caylloma'!AI104+'DCF Lindero'!AI66),IF(AND('DCF Caylloma'!AI104&gt;=0,'DCF Seguela'!AE64&gt;=0),('DCF Seguela'!AE64*'DCF Seguela'!AE65+'DCF Caylloma'!AI104*'DCF Caylloma'!AI106)/('DCF Caylloma'!AI104+'DCF Seguela'!AE64),IF(AND('DCF San Jose'!AI84&gt;=0,'DCF Lindero'!AI66&gt;=0),('DCF Lindero'!AI66*'DCF Lindero'!AI67+'DCF San Jose'!AI84*'DCF San Jose'!AI86)/('DCF San Jose'!AI84+'DCF Lindero'!AI66),IF(AND('DCF San Jose'!AI84&gt;=0,'DCF Seguela'!AE64&gt;=0),('DCF Seguela'!AE64*'DCF Seguela'!AE65+'DCF San Jose'!AI84*'DCF San Jose'!AI86)/('DCF San Jose'!AI84+'DCF Seguela'!AE64),IF(AND('DCF Lindero'!AI66&gt;=0,'DCF Seguela'!AE64&gt;=0),('DCF Seguela'!AE64*'DCF Seguela'!AE65+'DCF Lindero'!AI66*'DCF Lindero'!AI67)/('DCF Lindero'!AI66+'DCF Seguela'!AE64),IF('DCF Seguela'!AE64&gt;=0,'DCF Seguela'!AE65,IF('DCF Yaramoko'!AH70&gt;=0,'DCF Yaramoko'!AH71,IF('DCF Lindero'!AI66&gt;=0,'DCF Lindero'!AI67,IF('DCF San Jose'!AI84&gt;=0,'DCF San Jose'!AI86,IF('DCF Caylloma'!AI104&gt;=0,'DCF Caylloma'!AI106,0))))))))))))))))))))))))))))))))</f>
        <v>0</v>
      </c>
      <c r="AJ118" s="28">
        <f>IF(AND('DCF Caylloma'!AJ104&lt;=0,'DCF San Jose'!AJ84&lt;=0,'DCF Lindero'!AJ66&lt;=0,'DCF Yaramoko'!AJ70&lt;=0,'DCF Seguela'!AF64&lt;=0),0,IF(AND('DCF Caylloma'!AJ104&gt;=0,'DCF San Jose'!AJ84&gt;=0,'DCF Lindero'!AJ66&gt;=0,'DCF Yaramoko'!AJ70&gt;=0,'DCF Seguela'!AF64&gt;=0),('DCF Seguela'!AF64*'DCF Seguela'!AF65+'DCF Yaramoko'!AJ70*'DCF Yaramoko'!AJ71+'DCF Lindero'!AJ66*'DCF Lindero'!AJ67+'DCF San Jose'!AJ84*'DCF San Jose'!AJ86+'DCF Caylloma'!AJ104*'DCF Caylloma'!AJ106)/('DCF Caylloma'!AJ104+'DCF San Jose'!AJ84+'DCF Lindero'!AJ66+'DCF Yaramoko'!AJ70+'DCF Seguela'!AF64),IF(AND('DCF Caylloma'!AJ104&gt;=0,'DCF San Jose'!AJ84&gt;=0,'DCF Lindero'!AJ66&gt;=0,'DCF Yaramoko'!AJ70&gt;=0),('DCF Yaramoko'!AJ70*'DCF Yaramoko'!AJ71+'DCF Lindero'!AJ66*'DCF Lindero'!AJ67+'DCF San Jose'!AJ84*'DCF San Jose'!AJ86+'DCF Caylloma'!AJ104*'DCF Caylloma'!AJ106)/('DCF Caylloma'!AJ104+'DCF San Jose'!AJ84+'DCF Lindero'!AJ66+'DCF Yaramoko'!AJ70),IF(AND('DCF Caylloma'!AJ104&gt;=0,'DCF San Jose'!AJ84&gt;=0,'DCF Lindero'!AJ66&gt;=0,'DCF Seguela'!AF64&gt;=0),('DCF Seguela'!AF64*'DCF Seguela'!AF65+'DCF Lindero'!AJ66*'DCF Lindero'!AJ67+'DCF San Jose'!AJ84*'DCF San Jose'!AJ86+'DCF Caylloma'!AJ104*'DCF Caylloma'!AJ106)/('DCF Caylloma'!AJ104+'DCF San Jose'!AJ84+'DCF Lindero'!AJ66+'DCF Seguela'!AF64),IF(AND('DCF Seguela'!AF64&gt;=0,'DCF Yaramoko'!AJ70&gt;=0,'DCF San Jose'!AJ84&gt;=0,'DCF Caylloma'!AJ104&gt;=0),('DCF Caylloma'!AJ104*'DCF Caylloma'!AJ106+'DCF San Jose'!AJ84*'DCF San Jose'!AJ86+'DCF Yaramoko'!AJ70*'DCF Yaramoko'!AJ71+'DCF Seguela'!AF64*'DCF Seguela'!AF65)/('DCF Seguela'!AF64+'DCF Yaramoko'!AJ70+'DCF San Jose'!AJ84+'DCF Caylloma'!AJ104),IF(AND('DCF Caylloma'!AJ104&gt;=0,'DCF Lindero'!AJ66&gt;=0,'DCF Yaramoko'!AJ70&gt;=0,'DCF Seguela'!AF64&gt;=0),('DCF Seguela'!AF64*'DCF Seguela'!AF65+'DCF Yaramoko'!AJ70*'DCF Yaramoko'!AJ71+'DCF Lindero'!AJ66*'DCF Lindero'!AJ67+'DCF Caylloma'!AJ104*'DCF Caylloma'!AJ106)/('DCF Caylloma'!AJ104+'DCF Lindero'!AJ66+'DCF Yaramoko'!AJ70+'DCF Seguela'!AF64),IF(AND('DCF Seguela'!AF64&gt;=0,'DCF Yaramoko'!AJ70&gt;=0,'DCF Lindero'!AJ66&gt;=0,'DCF San Jose'!AJ84&gt;=0),('DCF San Jose'!AJ84*'DCF San Jose'!AJ86+'DCF Lindero'!AJ66*'DCF Lindero'!AJ67+'DCF Yaramoko'!AJ70*'DCF Yaramoko'!AJ71+'DCF Seguela'!AF64*'DCF Seguela'!AF65)/('DCF Seguela'!AF64+'DCF Yaramoko'!AJ70+'DCF Lindero'!AJ66+'DCF San Jose'!AJ84),IF(AND('DCF Lindero'!AJ66&gt;=0,'DCF Yaramoko'!AJ70&gt;=0,'DCF Seguela'!AF64&gt;=0),('DCF Seguela'!AF64*'DCF Seguela'!AF65+'DCF Yaramoko'!AJ70*'DCF Yaramoko'!AJ71+'DCF Lindero'!AJ66*'DCF Lindero'!AJ67)/('DCF Lindero'!AJ66+'DCF Yaramoko'!AJ70+'DCF Seguela'!AF64),IF(AND('DCF San Jose'!AJ84&gt;=0,'DCF Yaramoko'!AJ70&gt;=0,'DCF Seguela'!AF64&gt;=0),('DCF Seguela'!AF64*'DCF Seguela'!AF65+'DCF Yaramoko'!AJ70*'DCF Yaramoko'!AJ71+'DCF San Jose'!AJ84*'DCF San Jose'!AJ86)/('DCF San Jose'!AJ84+'DCF Yaramoko'!AJ70+'DCF Seguela'!AF64),IF(AND('DCF San Jose'!AJ84&gt;=0,'DCF Lindero'!AJ66&gt;=0,'DCF Seguela'!AF64&gt;=0),('DCF Seguela'!AF64*'DCF Seguela'!AF65+'DCF Lindero'!AJ66*'DCF Lindero'!AJ67+'DCF San Jose'!AJ84*'DCF San Jose'!AJ86)/('DCF San Jose'!AJ84+'DCF Lindero'!AJ66+'DCF Seguela'!AF64),IF(AND('DCF Yaramoko'!AJ70&gt;=0,'DCF Lindero'!AJ66&gt;=0,'DCF San Jose'!AJ84&gt;=0),('DCF San Jose'!AJ84*'DCF San Jose'!AJ86+'DCF Lindero'!AJ66*'DCF Lindero'!AJ67+'DCF Yaramoko'!AJ70*'DCF Yaramoko'!AJ71)/('DCF Yaramoko'!AJ70+'DCF Lindero'!AJ66+'DCF San Jose'!AJ84),IF(AND('DCF Caylloma'!AJ104&gt;=0,'DCF Yaramoko'!AJ70&gt;=0,'DCF Seguela'!AF64&gt;=0),('DCF Seguela'!AF64*'DCF Seguela'!AF65+'DCF Yaramoko'!AJ70*'DCF Yaramoko'!AJ71+'DCF Caylloma'!AJ104*'DCF Caylloma'!AJ106)/('DCF Caylloma'!AJ104+'DCF Yaramoko'!AJ70+'DCF Seguela'!AF64),IF(AND('DCF Caylloma'!AJ104&gt;=0,'DCF Lindero'!AJ66&gt;=0,'DCF Seguela'!AF64&gt;=0),('DCF Seguela'!AF64*'DCF Seguela'!AF65+'DCF Lindero'!AJ66*'DCF Lindero'!AJ67+'DCF Caylloma'!AJ104*'DCF Caylloma'!AJ106)/('DCF Caylloma'!AJ104+'DCF Lindero'!AJ66+'DCF Seguela'!AF64),IF(AND('DCF Caylloma'!AJ104&gt;=0,'DCF Lindero'!AJ66&gt;=0,'DCF Yaramoko'!AJ70&gt;=0),('DCF Yaramoko'!AJ70*'DCF Yaramoko'!AJ71+'DCF Lindero'!AJ66*'DCF Lindero'!AJ67+'DCF Caylloma'!AJ104*'DCF Caylloma'!AJ106)/('DCF Caylloma'!AJ104+'DCF Lindero'!AJ66+'DCF Yaramoko'!AJ70),IF(AND('DCF Seguela'!AF64&gt;=0,'DCF San Jose'!AJ84&gt;=0,'DCF Caylloma'!AJ104&gt;=0),('DCF Caylloma'!AJ104*'DCF Caylloma'!AJ106+'DCF San Jose'!AJ84*'DCF San Jose'!AJ86+'DCF Seguela'!AF64*'DCF Seguela'!AF65)/('DCF Seguela'!AF64+'DCF San Jose'!AJ84+'DCF Caylloma'!AJ104),IF(AND('DCF Caylloma'!AJ104&gt;=0,'DCF San Jose'!AJ84&gt;=0,'DCF Yaramoko'!AJ70&gt;=0),('DCF Yaramoko'!AJ70*'DCF Yaramoko'!AJ71+'DCF San Jose'!AJ84*'DCF San Jose'!AJ86+'DCF Caylloma'!AJ104*'DCF Caylloma'!AJ106)/('DCF Caylloma'!AJ104+'DCF San Jose'!AJ84+'DCF Yaramoko'!AJ70),IF(AND('DCF Lindero'!AJ66&gt;=0,'DCF San Jose'!AJ84&gt;=0,'DCF Caylloma'!AJ104&gt;=0),('DCF Caylloma'!AJ104*'DCF Caylloma'!AJ106+'DCF San Jose'!AJ84*'DCF San Jose'!AJ86+'DCF Lindero'!AJ66*'DCF Lindero'!AJ67)/('DCF Lindero'!AJ66+'DCF San Jose'!AJ84+'DCF Caylloma'!AJ104),IF(AND('DCF Seguela'!AF64&gt;=0,'DCF Yaramoko'!AJ70&gt;=0),('DCF Yaramoko'!AJ70*'DCF Yaramoko'!AJ71+'DCF Seguela'!AF64*'DCF Seguela'!AF65)/('DCF Seguela'!AF64+'DCF Yaramoko'!AJ70),IF(AND('DCF Yaramoko'!AJ70&gt;=0,'DCF Lindero'!AJ66&gt;=0),('DCF Lindero'!AJ66*'DCF Lindero'!AJ67+'DCF Yaramoko'!AJ70*'DCF Yaramoko'!AJ71)/('DCF Yaramoko'!AJ70+'DCF Lindero'!AJ66),IF(AND('DCF Yaramoko'!AJ70&gt;=0,'DCF San Jose'!AJ84&gt;=0),('DCF San Jose'!AJ84*'DCF San Jose'!AJ86+'DCF Yaramoko'!AJ70*'DCF Yaramoko'!AJ71)/('DCF Yaramoko'!AJ70+'DCF San Jose'!AJ84),IF(AND('DCF Yaramoko'!AJ70&gt;=0,'DCF Caylloma'!AJ104&gt;=0),('DCF Caylloma'!AJ104*'DCF Caylloma'!AJ106+'DCF Yaramoko'!AJ70*'DCF Yaramoko'!AJ71)/('DCF Yaramoko'!AJ70+'DCF Caylloma'!AJ104),IF(AND('DCF Caylloma'!AJ104&gt;=0,'DCF San Jose'!AJ84&gt;=0),('DCF San Jose'!AJ84*'DCF San Jose'!AJ86+'DCF Caylloma'!AJ104*'DCF Caylloma'!AJ106)/('DCF Caylloma'!AJ104+'DCF San Jose'!AJ84),IF(AND('DCF Caylloma'!AJ104&gt;=0,'DCF Lindero'!AJ66&gt;=0),('DCF Lindero'!AJ66*'DCF Lindero'!AJ67+'DCF Caylloma'!AJ104*'DCF Caylloma'!AJ106)/('DCF Caylloma'!AJ104+'DCF Lindero'!AJ66),IF(AND('DCF Caylloma'!AJ104&gt;=0,'DCF Seguela'!AF64&gt;=0),('DCF Seguela'!AF64*'DCF Seguela'!AF65+'DCF Caylloma'!AJ104*'DCF Caylloma'!AJ106)/('DCF Caylloma'!AJ104+'DCF Seguela'!AF64),IF(AND('DCF San Jose'!AJ84&gt;=0,'DCF Lindero'!AJ66&gt;=0),('DCF Lindero'!AJ66*'DCF Lindero'!AJ67+'DCF San Jose'!AJ84*'DCF San Jose'!AJ86)/('DCF San Jose'!AJ84+'DCF Lindero'!AJ66),IF(AND('DCF San Jose'!AJ84&gt;=0,'DCF Seguela'!AF64&gt;=0),('DCF Seguela'!AF64*'DCF Seguela'!AF65+'DCF San Jose'!AJ84*'DCF San Jose'!AJ86)/('DCF San Jose'!AJ84+'DCF Seguela'!AF64),IF(AND('DCF Lindero'!AJ66&gt;=0,'DCF Seguela'!AF64&gt;=0),('DCF Seguela'!AF64*'DCF Seguela'!AF65+'DCF Lindero'!AJ66*'DCF Lindero'!AJ67)/('DCF Lindero'!AJ66+'DCF Seguela'!AF64),IF('DCF Seguela'!AF64&gt;=0,'DCF Seguela'!AF65,IF('DCF Yaramoko'!AI70&gt;=0,'DCF Yaramoko'!AI71,IF('DCF Lindero'!AJ66&gt;=0,'DCF Lindero'!AJ67,IF('DCF San Jose'!AJ84&gt;=0,'DCF San Jose'!AJ86,IF('DCF Caylloma'!AJ104&gt;=0,'DCF Caylloma'!AJ106,0))))))))))))))))))))))))))))))))</f>
        <v>0</v>
      </c>
      <c r="AK118" s="28">
        <f>IF(AND('DCF Caylloma'!AK104&lt;=0,'DCF San Jose'!AK84&lt;=0,'DCF Lindero'!AK66&lt;=0,'DCF Yaramoko'!AK70&lt;=0,'DCF Seguela'!AG64&lt;=0),0,IF(AND('DCF Caylloma'!AK104&gt;=0,'DCF San Jose'!AK84&gt;=0,'DCF Lindero'!AK66&gt;=0,'DCF Yaramoko'!AK70&gt;=0,'DCF Seguela'!AG64&gt;=0),('DCF Seguela'!AG64*'DCF Seguela'!AG65+'DCF Yaramoko'!AK70*'DCF Yaramoko'!AK71+'DCF Lindero'!AK66*'DCF Lindero'!AK67+'DCF San Jose'!AK84*'DCF San Jose'!AK86+'DCF Caylloma'!AK104*'DCF Caylloma'!AK106)/('DCF Caylloma'!AK104+'DCF San Jose'!AK84+'DCF Lindero'!AK66+'DCF Yaramoko'!AK70+'DCF Seguela'!AG64),IF(AND('DCF Caylloma'!AK104&gt;=0,'DCF San Jose'!AK84&gt;=0,'DCF Lindero'!AK66&gt;=0,'DCF Yaramoko'!AK70&gt;=0),('DCF Yaramoko'!AK70*'DCF Yaramoko'!AK71+'DCF Lindero'!AK66*'DCF Lindero'!AK67+'DCF San Jose'!AK84*'DCF San Jose'!AK86+'DCF Caylloma'!AK104*'DCF Caylloma'!AK106)/('DCF Caylloma'!AK104+'DCF San Jose'!AK84+'DCF Lindero'!AK66+'DCF Yaramoko'!AK70),IF(AND('DCF Caylloma'!AK104&gt;=0,'DCF San Jose'!AK84&gt;=0,'DCF Lindero'!AK66&gt;=0,'DCF Seguela'!AG64&gt;=0),('DCF Seguela'!AG64*'DCF Seguela'!AG65+'DCF Lindero'!AK66*'DCF Lindero'!AK67+'DCF San Jose'!AK84*'DCF San Jose'!AK86+'DCF Caylloma'!AK104*'DCF Caylloma'!AK106)/('DCF Caylloma'!AK104+'DCF San Jose'!AK84+'DCF Lindero'!AK66+'DCF Seguela'!AG64),IF(AND('DCF Seguela'!AG64&gt;=0,'DCF Yaramoko'!AK70&gt;=0,'DCF San Jose'!AK84&gt;=0,'DCF Caylloma'!AK104&gt;=0),('DCF Caylloma'!AK104*'DCF Caylloma'!AK106+'DCF San Jose'!AK84*'DCF San Jose'!AK86+'DCF Yaramoko'!AK70*'DCF Yaramoko'!AK71+'DCF Seguela'!AG64*'DCF Seguela'!AG65)/('DCF Seguela'!AG64+'DCF Yaramoko'!AK70+'DCF San Jose'!AK84+'DCF Caylloma'!AK104),IF(AND('DCF Caylloma'!AK104&gt;=0,'DCF Lindero'!AK66&gt;=0,'DCF Yaramoko'!AK70&gt;=0,'DCF Seguela'!AG64&gt;=0),('DCF Seguela'!AG64*'DCF Seguela'!AG65+'DCF Yaramoko'!AK70*'DCF Yaramoko'!AK71+'DCF Lindero'!AK66*'DCF Lindero'!AK67+'DCF Caylloma'!AK104*'DCF Caylloma'!AK106)/('DCF Caylloma'!AK104+'DCF Lindero'!AK66+'DCF Yaramoko'!AK70+'DCF Seguela'!AG64),IF(AND('DCF Seguela'!AG64&gt;=0,'DCF Yaramoko'!AK70&gt;=0,'DCF Lindero'!AK66&gt;=0,'DCF San Jose'!AK84&gt;=0),('DCF San Jose'!AK84*'DCF San Jose'!AK86+'DCF Lindero'!AK66*'DCF Lindero'!AK67+'DCF Yaramoko'!AK70*'DCF Yaramoko'!AK71+'DCF Seguela'!AG64*'DCF Seguela'!AG65)/('DCF Seguela'!AG64+'DCF Yaramoko'!AK70+'DCF Lindero'!AK66+'DCF San Jose'!AK84),IF(AND('DCF Lindero'!AK66&gt;=0,'DCF Yaramoko'!AK70&gt;=0,'DCF Seguela'!AG64&gt;=0),('DCF Seguela'!AG64*'DCF Seguela'!AG65+'DCF Yaramoko'!AK70*'DCF Yaramoko'!AK71+'DCF Lindero'!AK66*'DCF Lindero'!AK67)/('DCF Lindero'!AK66+'DCF Yaramoko'!AK70+'DCF Seguela'!AG64),IF(AND('DCF San Jose'!AK84&gt;=0,'DCF Yaramoko'!AK70&gt;=0,'DCF Seguela'!AG64&gt;=0),('DCF Seguela'!AG64*'DCF Seguela'!AG65+'DCF Yaramoko'!AK70*'DCF Yaramoko'!AK71+'DCF San Jose'!AK84*'DCF San Jose'!AK86)/('DCF San Jose'!AK84+'DCF Yaramoko'!AK70+'DCF Seguela'!AG64),IF(AND('DCF San Jose'!AK84&gt;=0,'DCF Lindero'!AK66&gt;=0,'DCF Seguela'!AG64&gt;=0),('DCF Seguela'!AG64*'DCF Seguela'!AG65+'DCF Lindero'!AK66*'DCF Lindero'!AK67+'DCF San Jose'!AK84*'DCF San Jose'!AK86)/('DCF San Jose'!AK84+'DCF Lindero'!AK66+'DCF Seguela'!AG64),IF(AND('DCF Yaramoko'!AK70&gt;=0,'DCF Lindero'!AK66&gt;=0,'DCF San Jose'!AK84&gt;=0),('DCF San Jose'!AK84*'DCF San Jose'!AK86+'DCF Lindero'!AK66*'DCF Lindero'!AK67+'DCF Yaramoko'!AK70*'DCF Yaramoko'!AK71)/('DCF Yaramoko'!AK70+'DCF Lindero'!AK66+'DCF San Jose'!AK84),IF(AND('DCF Caylloma'!AK104&gt;=0,'DCF Yaramoko'!AK70&gt;=0,'DCF Seguela'!AG64&gt;=0),('DCF Seguela'!AG64*'DCF Seguela'!AG65+'DCF Yaramoko'!AK70*'DCF Yaramoko'!AK71+'DCF Caylloma'!AK104*'DCF Caylloma'!AK106)/('DCF Caylloma'!AK104+'DCF Yaramoko'!AK70+'DCF Seguela'!AG64),IF(AND('DCF Caylloma'!AK104&gt;=0,'DCF Lindero'!AK66&gt;=0,'DCF Seguela'!AG64&gt;=0),('DCF Seguela'!AG64*'DCF Seguela'!AG65+'DCF Lindero'!AK66*'DCF Lindero'!AK67+'DCF Caylloma'!AK104*'DCF Caylloma'!AK106)/('DCF Caylloma'!AK104+'DCF Lindero'!AK66+'DCF Seguela'!AG64),IF(AND('DCF Caylloma'!AK104&gt;=0,'DCF Lindero'!AK66&gt;=0,'DCF Yaramoko'!AK70&gt;=0),('DCF Yaramoko'!AK70*'DCF Yaramoko'!AK71+'DCF Lindero'!AK66*'DCF Lindero'!AK67+'DCF Caylloma'!AK104*'DCF Caylloma'!AK106)/('DCF Caylloma'!AK104+'DCF Lindero'!AK66+'DCF Yaramoko'!AK70),IF(AND('DCF Seguela'!AG64&gt;=0,'DCF San Jose'!AK84&gt;=0,'DCF Caylloma'!AK104&gt;=0),('DCF Caylloma'!AK104*'DCF Caylloma'!AK106+'DCF San Jose'!AK84*'DCF San Jose'!AK86+'DCF Seguela'!AG64*'DCF Seguela'!AG65)/('DCF Seguela'!AG64+'DCF San Jose'!AK84+'DCF Caylloma'!AK104),IF(AND('DCF Caylloma'!AK104&gt;=0,'DCF San Jose'!AK84&gt;=0,'DCF Yaramoko'!AK70&gt;=0),('DCF Yaramoko'!AK70*'DCF Yaramoko'!AK71+'DCF San Jose'!AK84*'DCF San Jose'!AK86+'DCF Caylloma'!AK104*'DCF Caylloma'!AK106)/('DCF Caylloma'!AK104+'DCF San Jose'!AK84+'DCF Yaramoko'!AK70),IF(AND('DCF Lindero'!AK66&gt;=0,'DCF San Jose'!AK84&gt;=0,'DCF Caylloma'!AK104&gt;=0),('DCF Caylloma'!AK104*'DCF Caylloma'!AK106+'DCF San Jose'!AK84*'DCF San Jose'!AK86+'DCF Lindero'!AK66*'DCF Lindero'!AK67)/('DCF Lindero'!AK66+'DCF San Jose'!AK84+'DCF Caylloma'!AK104),IF(AND('DCF Seguela'!AG64&gt;=0,'DCF Yaramoko'!AK70&gt;=0),('DCF Yaramoko'!AK70*'DCF Yaramoko'!AK71+'DCF Seguela'!AG64*'DCF Seguela'!AG65)/('DCF Seguela'!AG64+'DCF Yaramoko'!AK70),IF(AND('DCF Yaramoko'!AK70&gt;=0,'DCF Lindero'!AK66&gt;=0),('DCF Lindero'!AK66*'DCF Lindero'!AK67+'DCF Yaramoko'!AK70*'DCF Yaramoko'!AK71)/('DCF Yaramoko'!AK70+'DCF Lindero'!AK66),IF(AND('DCF Yaramoko'!AK70&gt;=0,'DCF San Jose'!AK84&gt;=0),('DCF San Jose'!AK84*'DCF San Jose'!AK86+'DCF Yaramoko'!AK70*'DCF Yaramoko'!AK71)/('DCF Yaramoko'!AK70+'DCF San Jose'!AK84),IF(AND('DCF Yaramoko'!AK70&gt;=0,'DCF Caylloma'!AK104&gt;=0),('DCF Caylloma'!AK104*'DCF Caylloma'!AK106+'DCF Yaramoko'!AK70*'DCF Yaramoko'!AK71)/('DCF Yaramoko'!AK70+'DCF Caylloma'!AK104),IF(AND('DCF Caylloma'!AK104&gt;=0,'DCF San Jose'!AK84&gt;=0),('DCF San Jose'!AK84*'DCF San Jose'!AK86+'DCF Caylloma'!AK104*'DCF Caylloma'!AK106)/('DCF Caylloma'!AK104+'DCF San Jose'!AK84),IF(AND('DCF Caylloma'!AK104&gt;=0,'DCF Lindero'!AK66&gt;=0),('DCF Lindero'!AK66*'DCF Lindero'!AK67+'DCF Caylloma'!AK104*'DCF Caylloma'!AK106)/('DCF Caylloma'!AK104+'DCF Lindero'!AK66),IF(AND('DCF Caylloma'!AK104&gt;=0,'DCF Seguela'!AG64&gt;=0),('DCF Seguela'!AG64*'DCF Seguela'!AG65+'DCF Caylloma'!AK104*'DCF Caylloma'!AK106)/('DCF Caylloma'!AK104+'DCF Seguela'!AG64),IF(AND('DCF San Jose'!AK84&gt;=0,'DCF Lindero'!AK66&gt;=0),('DCF Lindero'!AK66*'DCF Lindero'!AK67+'DCF San Jose'!AK84*'DCF San Jose'!AK86)/('DCF San Jose'!AK84+'DCF Lindero'!AK66),IF(AND('DCF San Jose'!AK84&gt;=0,'DCF Seguela'!AG64&gt;=0),('DCF Seguela'!AG64*'DCF Seguela'!AG65+'DCF San Jose'!AK84*'DCF San Jose'!AK86)/('DCF San Jose'!AK84+'DCF Seguela'!AG64),IF(AND('DCF Lindero'!AK66&gt;=0,'DCF Seguela'!AG64&gt;=0),('DCF Seguela'!AG64*'DCF Seguela'!AG65+'DCF Lindero'!AK66*'DCF Lindero'!AK67)/('DCF Lindero'!AK66+'DCF Seguela'!AG64),IF('DCF Seguela'!AG64&gt;=0,'DCF Seguela'!AG65,IF('DCF Yaramoko'!AJ70&gt;=0,'DCF Yaramoko'!AJ71,IF('DCF Lindero'!AK66&gt;=0,'DCF Lindero'!AK67,IF('DCF San Jose'!AK84&gt;=0,'DCF San Jose'!AK86,IF('DCF Caylloma'!AK104&gt;=0,'DCF Caylloma'!AK106,0))))))))))))))))))))))))))))))))</f>
        <v>0</v>
      </c>
      <c r="AL118" s="28">
        <f>IF(AND('DCF Caylloma'!AL104&lt;=0,'DCF San Jose'!AL84&lt;=0,'DCF Lindero'!AL66&lt;=0,'DCF Yaramoko'!AL70&lt;=0,'DCF Seguela'!AH64&lt;=0),0,IF(AND('DCF Caylloma'!AL104&gt;=0,'DCF San Jose'!AL84&gt;=0,'DCF Lindero'!AL66&gt;=0,'DCF Yaramoko'!AL70&gt;=0,'DCF Seguela'!AH64&gt;=0),('DCF Seguela'!AH64*'DCF Seguela'!AH65+'DCF Yaramoko'!AL70*'DCF Yaramoko'!AL71+'DCF Lindero'!AL66*'DCF Lindero'!AL67+'DCF San Jose'!AL84*'DCF San Jose'!AL86+'DCF Caylloma'!AL104*'DCF Caylloma'!AL106)/('DCF Caylloma'!AL104+'DCF San Jose'!AL84+'DCF Lindero'!AL66+'DCF Yaramoko'!AL70+'DCF Seguela'!AH64),IF(AND('DCF Caylloma'!AL104&gt;=0,'DCF San Jose'!AL84&gt;=0,'DCF Lindero'!AL66&gt;=0,'DCF Yaramoko'!AL70&gt;=0),('DCF Yaramoko'!AL70*'DCF Yaramoko'!AL71+'DCF Lindero'!AL66*'DCF Lindero'!AL67+'DCF San Jose'!AL84*'DCF San Jose'!AL86+'DCF Caylloma'!AL104*'DCF Caylloma'!AL106)/('DCF Caylloma'!AL104+'DCF San Jose'!AL84+'DCF Lindero'!AL66+'DCF Yaramoko'!AL70),IF(AND('DCF Caylloma'!AL104&gt;=0,'DCF San Jose'!AL84&gt;=0,'DCF Lindero'!AL66&gt;=0,'DCF Seguela'!AH64&gt;=0),('DCF Seguela'!AH64*'DCF Seguela'!AH65+'DCF Lindero'!AL66*'DCF Lindero'!AL67+'DCF San Jose'!AL84*'DCF San Jose'!AL86+'DCF Caylloma'!AL104*'DCF Caylloma'!AL106)/('DCF Caylloma'!AL104+'DCF San Jose'!AL84+'DCF Lindero'!AL66+'DCF Seguela'!AH64),IF(AND('DCF Seguela'!AH64&gt;=0,'DCF Yaramoko'!AL70&gt;=0,'DCF San Jose'!AL84&gt;=0,'DCF Caylloma'!AL104&gt;=0),('DCF Caylloma'!AL104*'DCF Caylloma'!AL106+'DCF San Jose'!AL84*'DCF San Jose'!AL86+'DCF Yaramoko'!AL70*'DCF Yaramoko'!AL71+'DCF Seguela'!AH64*'DCF Seguela'!AH65)/('DCF Seguela'!AH64+'DCF Yaramoko'!AL70+'DCF San Jose'!AL84+'DCF Caylloma'!AL104),IF(AND('DCF Caylloma'!AL104&gt;=0,'DCF Lindero'!AL66&gt;=0,'DCF Yaramoko'!AL70&gt;=0,'DCF Seguela'!AH64&gt;=0),('DCF Seguela'!AH64*'DCF Seguela'!AH65+'DCF Yaramoko'!AL70*'DCF Yaramoko'!AL71+'DCF Lindero'!AL66*'DCF Lindero'!AL67+'DCF Caylloma'!AL104*'DCF Caylloma'!AL106)/('DCF Caylloma'!AL104+'DCF Lindero'!AL66+'DCF Yaramoko'!AL70+'DCF Seguela'!AH64),IF(AND('DCF Seguela'!AH64&gt;=0,'DCF Yaramoko'!AL70&gt;=0,'DCF Lindero'!AL66&gt;=0,'DCF San Jose'!AL84&gt;=0),('DCF San Jose'!AL84*'DCF San Jose'!AL86+'DCF Lindero'!AL66*'DCF Lindero'!AL67+'DCF Yaramoko'!AL70*'DCF Yaramoko'!AL71+'DCF Seguela'!AH64*'DCF Seguela'!AH65)/('DCF Seguela'!AH64+'DCF Yaramoko'!AL70+'DCF Lindero'!AL66+'DCF San Jose'!AL84),IF(AND('DCF Lindero'!AL66&gt;=0,'DCF Yaramoko'!AL70&gt;=0,'DCF Seguela'!AH64&gt;=0),('DCF Seguela'!AH64*'DCF Seguela'!AH65+'DCF Yaramoko'!AL70*'DCF Yaramoko'!AL71+'DCF Lindero'!AL66*'DCF Lindero'!AL67)/('DCF Lindero'!AL66+'DCF Yaramoko'!AL70+'DCF Seguela'!AH64),IF(AND('DCF San Jose'!AL84&gt;=0,'DCF Yaramoko'!AL70&gt;=0,'DCF Seguela'!AH64&gt;=0),('DCF Seguela'!AH64*'DCF Seguela'!AH65+'DCF Yaramoko'!AL70*'DCF Yaramoko'!AL71+'DCF San Jose'!AL84*'DCF San Jose'!AL86)/('DCF San Jose'!AL84+'DCF Yaramoko'!AL70+'DCF Seguela'!AH64),IF(AND('DCF San Jose'!AL84&gt;=0,'DCF Lindero'!AL66&gt;=0,'DCF Seguela'!AH64&gt;=0),('DCF Seguela'!AH64*'DCF Seguela'!AH65+'DCF Lindero'!AL66*'DCF Lindero'!AL67+'DCF San Jose'!AL84*'DCF San Jose'!AL86)/('DCF San Jose'!AL84+'DCF Lindero'!AL66+'DCF Seguela'!AH64),IF(AND('DCF Yaramoko'!AL70&gt;=0,'DCF Lindero'!AL66&gt;=0,'DCF San Jose'!AL84&gt;=0),('DCF San Jose'!AL84*'DCF San Jose'!AL86+'DCF Lindero'!AL66*'DCF Lindero'!AL67+'DCF Yaramoko'!AL70*'DCF Yaramoko'!AL71)/('DCF Yaramoko'!AL70+'DCF Lindero'!AL66+'DCF San Jose'!AL84),IF(AND('DCF Caylloma'!AL104&gt;=0,'DCF Yaramoko'!AL70&gt;=0,'DCF Seguela'!AH64&gt;=0),('DCF Seguela'!AH64*'DCF Seguela'!AH65+'DCF Yaramoko'!AL70*'DCF Yaramoko'!AL71+'DCF Caylloma'!AL104*'DCF Caylloma'!AL106)/('DCF Caylloma'!AL104+'DCF Yaramoko'!AL70+'DCF Seguela'!AH64),IF(AND('DCF Caylloma'!AL104&gt;=0,'DCF Lindero'!AL66&gt;=0,'DCF Seguela'!AH64&gt;=0),('DCF Seguela'!AH64*'DCF Seguela'!AH65+'DCF Lindero'!AL66*'DCF Lindero'!AL67+'DCF Caylloma'!AL104*'DCF Caylloma'!AL106)/('DCF Caylloma'!AL104+'DCF Lindero'!AL66+'DCF Seguela'!AH64),IF(AND('DCF Caylloma'!AL104&gt;=0,'DCF Lindero'!AL66&gt;=0,'DCF Yaramoko'!AL70&gt;=0),('DCF Yaramoko'!AL70*'DCF Yaramoko'!AL71+'DCF Lindero'!AL66*'DCF Lindero'!AL67+'DCF Caylloma'!AL104*'DCF Caylloma'!AL106)/('DCF Caylloma'!AL104+'DCF Lindero'!AL66+'DCF Yaramoko'!AL70),IF(AND('DCF Seguela'!AH64&gt;=0,'DCF San Jose'!AL84&gt;=0,'DCF Caylloma'!AL104&gt;=0),('DCF Caylloma'!AL104*'DCF Caylloma'!AL106+'DCF San Jose'!AL84*'DCF San Jose'!AL86+'DCF Seguela'!AH64*'DCF Seguela'!AH65)/('DCF Seguela'!AH64+'DCF San Jose'!AL84+'DCF Caylloma'!AL104),IF(AND('DCF Caylloma'!AL104&gt;=0,'DCF San Jose'!AL84&gt;=0,'DCF Yaramoko'!AL70&gt;=0),('DCF Yaramoko'!AL70*'DCF Yaramoko'!AL71+'DCF San Jose'!AL84*'DCF San Jose'!AL86+'DCF Caylloma'!AL104*'DCF Caylloma'!AL106)/('DCF Caylloma'!AL104+'DCF San Jose'!AL84+'DCF Yaramoko'!AL70),IF(AND('DCF Lindero'!AL66&gt;=0,'DCF San Jose'!AL84&gt;=0,'DCF Caylloma'!AL104&gt;=0),('DCF Caylloma'!AL104*'DCF Caylloma'!AL106+'DCF San Jose'!AL84*'DCF San Jose'!AL86+'DCF Lindero'!AL66*'DCF Lindero'!AL67)/('DCF Lindero'!AL66+'DCF San Jose'!AL84+'DCF Caylloma'!AL104),IF(AND('DCF Seguela'!AH64&gt;=0,'DCF Yaramoko'!AL70&gt;=0),('DCF Yaramoko'!AL70*'DCF Yaramoko'!AL71+'DCF Seguela'!AH64*'DCF Seguela'!AH65)/('DCF Seguela'!AH64+'DCF Yaramoko'!AL70),IF(AND('DCF Yaramoko'!AL70&gt;=0,'DCF Lindero'!AL66&gt;=0),('DCF Lindero'!AL66*'DCF Lindero'!AL67+'DCF Yaramoko'!AL70*'DCF Yaramoko'!AL71)/('DCF Yaramoko'!AL70+'DCF Lindero'!AL66),IF(AND('DCF Yaramoko'!AL70&gt;=0,'DCF San Jose'!AL84&gt;=0),('DCF San Jose'!AL84*'DCF San Jose'!AL86+'DCF Yaramoko'!AL70*'DCF Yaramoko'!AL71)/('DCF Yaramoko'!AL70+'DCF San Jose'!AL84),IF(AND('DCF Yaramoko'!AL70&gt;=0,'DCF Caylloma'!AL104&gt;=0),('DCF Caylloma'!AL104*'DCF Caylloma'!AL106+'DCF Yaramoko'!AL70*'DCF Yaramoko'!AL71)/('DCF Yaramoko'!AL70+'DCF Caylloma'!AL104),IF(AND('DCF Caylloma'!AL104&gt;=0,'DCF San Jose'!AL84&gt;=0),('DCF San Jose'!AL84*'DCF San Jose'!AL86+'DCF Caylloma'!AL104*'DCF Caylloma'!AL106)/('DCF Caylloma'!AL104+'DCF San Jose'!AL84),IF(AND('DCF Caylloma'!AL104&gt;=0,'DCF Lindero'!AL66&gt;=0),('DCF Lindero'!AL66*'DCF Lindero'!AL67+'DCF Caylloma'!AL104*'DCF Caylloma'!AL106)/('DCF Caylloma'!AL104+'DCF Lindero'!AL66),IF(AND('DCF Caylloma'!AL104&gt;=0,'DCF Seguela'!AH64&gt;=0),('DCF Seguela'!AH64*'DCF Seguela'!AH65+'DCF Caylloma'!AL104*'DCF Caylloma'!AL106)/('DCF Caylloma'!AL104+'DCF Seguela'!AH64),IF(AND('DCF San Jose'!AL84&gt;=0,'DCF Lindero'!AL66&gt;=0),('DCF Lindero'!AL66*'DCF Lindero'!AL67+'DCF San Jose'!AL84*'DCF San Jose'!AL86)/('DCF San Jose'!AL84+'DCF Lindero'!AL66),IF(AND('DCF San Jose'!AL84&gt;=0,'DCF Seguela'!AH64&gt;=0),('DCF Seguela'!AH64*'DCF Seguela'!AH65+'DCF San Jose'!AL84*'DCF San Jose'!AL86)/('DCF San Jose'!AL84+'DCF Seguela'!AH64),IF(AND('DCF Lindero'!AL66&gt;=0,'DCF Seguela'!AH64&gt;=0),('DCF Seguela'!AH64*'DCF Seguela'!AH65+'DCF Lindero'!AL66*'DCF Lindero'!AL67)/('DCF Lindero'!AL66+'DCF Seguela'!AH64),IF('DCF Seguela'!AH64&gt;=0,'DCF Seguela'!AH65,IF('DCF Yaramoko'!AK70&gt;=0,'DCF Yaramoko'!AK71,IF('DCF Lindero'!AL66&gt;=0,'DCF Lindero'!AL67,IF('DCF San Jose'!AL84&gt;=0,'DCF San Jose'!AL86,IF('DCF Caylloma'!AL104&gt;=0,'DCF Caylloma'!AL106,0))))))))))))))))))))))))))))))))</f>
        <v>0</v>
      </c>
      <c r="AM118" s="28">
        <f>IF(AND('DCF Caylloma'!AM104&lt;=0,'DCF San Jose'!AM84&lt;=0,'DCF Lindero'!AM66&lt;=0,'DCF Yaramoko'!AM70&lt;=0,'DCF Seguela'!AI64&lt;=0),0,IF(AND('DCF Caylloma'!AM104&gt;=0,'DCF San Jose'!AM84&gt;=0,'DCF Lindero'!AM66&gt;=0,'DCF Yaramoko'!AM70&gt;=0,'DCF Seguela'!AI64&gt;=0),('DCF Seguela'!AI64*'DCF Seguela'!AI65+'DCF Yaramoko'!AM70*'DCF Yaramoko'!AM71+'DCF Lindero'!AM66*'DCF Lindero'!AM67+'DCF San Jose'!AM84*'DCF San Jose'!AM86+'DCF Caylloma'!AM104*'DCF Caylloma'!AM106)/('DCF Caylloma'!AM104+'DCF San Jose'!AM84+'DCF Lindero'!AM66+'DCF Yaramoko'!AM70+'DCF Seguela'!AI64),IF(AND('DCF Caylloma'!AM104&gt;=0,'DCF San Jose'!AM84&gt;=0,'DCF Lindero'!AM66&gt;=0,'DCF Yaramoko'!AM70&gt;=0),('DCF Yaramoko'!AM70*'DCF Yaramoko'!AM71+'DCF Lindero'!AM66*'DCF Lindero'!AM67+'DCF San Jose'!AM84*'DCF San Jose'!AM86+'DCF Caylloma'!AM104*'DCF Caylloma'!AM106)/('DCF Caylloma'!AM104+'DCF San Jose'!AM84+'DCF Lindero'!AM66+'DCF Yaramoko'!AM70),IF(AND('DCF Caylloma'!AM104&gt;=0,'DCF San Jose'!AM84&gt;=0,'DCF Lindero'!AM66&gt;=0,'DCF Seguela'!AI64&gt;=0),('DCF Seguela'!AI64*'DCF Seguela'!AI65+'DCF Lindero'!AM66*'DCF Lindero'!AM67+'DCF San Jose'!AM84*'DCF San Jose'!AM86+'DCF Caylloma'!AM104*'DCF Caylloma'!AM106)/('DCF Caylloma'!AM104+'DCF San Jose'!AM84+'DCF Lindero'!AM66+'DCF Seguela'!AI64),IF(AND('DCF Seguela'!AI64&gt;=0,'DCF Yaramoko'!AM70&gt;=0,'DCF San Jose'!AM84&gt;=0,'DCF Caylloma'!AM104&gt;=0),('DCF Caylloma'!AM104*'DCF Caylloma'!AM106+'DCF San Jose'!AM84*'DCF San Jose'!AM86+'DCF Yaramoko'!AM70*'DCF Yaramoko'!AM71+'DCF Seguela'!AI64*'DCF Seguela'!AI65)/('DCF Seguela'!AI64+'DCF Yaramoko'!AM70+'DCF San Jose'!AM84+'DCF Caylloma'!AM104),IF(AND('DCF Caylloma'!AM104&gt;=0,'DCF Lindero'!AM66&gt;=0,'DCF Yaramoko'!AM70&gt;=0,'DCF Seguela'!AI64&gt;=0),('DCF Seguela'!AI64*'DCF Seguela'!AI65+'DCF Yaramoko'!AM70*'DCF Yaramoko'!AM71+'DCF Lindero'!AM66*'DCF Lindero'!AM67+'DCF Caylloma'!AM104*'DCF Caylloma'!AM106)/('DCF Caylloma'!AM104+'DCF Lindero'!AM66+'DCF Yaramoko'!AM70+'DCF Seguela'!AI64),IF(AND('DCF Seguela'!AI64&gt;=0,'DCF Yaramoko'!AM70&gt;=0,'DCF Lindero'!AM66&gt;=0,'DCF San Jose'!AM84&gt;=0),('DCF San Jose'!AM84*'DCF San Jose'!AM86+'DCF Lindero'!AM66*'DCF Lindero'!AM67+'DCF Yaramoko'!AM70*'DCF Yaramoko'!AM71+'DCF Seguela'!AI64*'DCF Seguela'!AI65)/('DCF Seguela'!AI64+'DCF Yaramoko'!AM70+'DCF Lindero'!AM66+'DCF San Jose'!AM84),IF(AND('DCF Lindero'!AM66&gt;=0,'DCF Yaramoko'!AM70&gt;=0,'DCF Seguela'!AI64&gt;=0),('DCF Seguela'!AI64*'DCF Seguela'!AI65+'DCF Yaramoko'!AM70*'DCF Yaramoko'!AM71+'DCF Lindero'!AM66*'DCF Lindero'!AM67)/('DCF Lindero'!AM66+'DCF Yaramoko'!AM70+'DCF Seguela'!AI64),IF(AND('DCF San Jose'!AM84&gt;=0,'DCF Yaramoko'!AM70&gt;=0,'DCF Seguela'!AI64&gt;=0),('DCF Seguela'!AI64*'DCF Seguela'!AI65+'DCF Yaramoko'!AM70*'DCF Yaramoko'!AM71+'DCF San Jose'!AM84*'DCF San Jose'!AM86)/('DCF San Jose'!AM84+'DCF Yaramoko'!AM70+'DCF Seguela'!AI64),IF(AND('DCF San Jose'!AM84&gt;=0,'DCF Lindero'!AM66&gt;=0,'DCF Seguela'!AI64&gt;=0),('DCF Seguela'!AI64*'DCF Seguela'!AI65+'DCF Lindero'!AM66*'DCF Lindero'!AM67+'DCF San Jose'!AM84*'DCF San Jose'!AM86)/('DCF San Jose'!AM84+'DCF Lindero'!AM66+'DCF Seguela'!AI64),IF(AND('DCF Yaramoko'!AM70&gt;=0,'DCF Lindero'!AM66&gt;=0,'DCF San Jose'!AM84&gt;=0),('DCF San Jose'!AM84*'DCF San Jose'!AM86+'DCF Lindero'!AM66*'DCF Lindero'!AM67+'DCF Yaramoko'!AM70*'DCF Yaramoko'!AM71)/('DCF Yaramoko'!AM70+'DCF Lindero'!AM66+'DCF San Jose'!AM84),IF(AND('DCF Caylloma'!AM104&gt;=0,'DCF Yaramoko'!AM70&gt;=0,'DCF Seguela'!AI64&gt;=0),('DCF Seguela'!AI64*'DCF Seguela'!AI65+'DCF Yaramoko'!AM70*'DCF Yaramoko'!AM71+'DCF Caylloma'!AM104*'DCF Caylloma'!AM106)/('DCF Caylloma'!AM104+'DCF Yaramoko'!AM70+'DCF Seguela'!AI64),IF(AND('DCF Caylloma'!AM104&gt;=0,'DCF Lindero'!AM66&gt;=0,'DCF Seguela'!AI64&gt;=0),('DCF Seguela'!AI64*'DCF Seguela'!AI65+'DCF Lindero'!AM66*'DCF Lindero'!AM67+'DCF Caylloma'!AM104*'DCF Caylloma'!AM106)/('DCF Caylloma'!AM104+'DCF Lindero'!AM66+'DCF Seguela'!AI64),IF(AND('DCF Caylloma'!AM104&gt;=0,'DCF Lindero'!AM66&gt;=0,'DCF Yaramoko'!AM70&gt;=0),('DCF Yaramoko'!AM70*'DCF Yaramoko'!AM71+'DCF Lindero'!AM66*'DCF Lindero'!AM67+'DCF Caylloma'!AM104*'DCF Caylloma'!AM106)/('DCF Caylloma'!AM104+'DCF Lindero'!AM66+'DCF Yaramoko'!AM70),IF(AND('DCF Seguela'!AI64&gt;=0,'DCF San Jose'!AM84&gt;=0,'DCF Caylloma'!AM104&gt;=0),('DCF Caylloma'!AM104*'DCF Caylloma'!AM106+'DCF San Jose'!AM84*'DCF San Jose'!AM86+'DCF Seguela'!AI64*'DCF Seguela'!AI65)/('DCF Seguela'!AI64+'DCF San Jose'!AM84+'DCF Caylloma'!AM104),IF(AND('DCF Caylloma'!AM104&gt;=0,'DCF San Jose'!AM84&gt;=0,'DCF Yaramoko'!AM70&gt;=0),('DCF Yaramoko'!AM70*'DCF Yaramoko'!AM71+'DCF San Jose'!AM84*'DCF San Jose'!AM86+'DCF Caylloma'!AM104*'DCF Caylloma'!AM106)/('DCF Caylloma'!AM104+'DCF San Jose'!AM84+'DCF Yaramoko'!AM70),IF(AND('DCF Lindero'!AM66&gt;=0,'DCF San Jose'!AM84&gt;=0,'DCF Caylloma'!AM104&gt;=0),('DCF Caylloma'!AM104*'DCF Caylloma'!AM106+'DCF San Jose'!AM84*'DCF San Jose'!AM86+'DCF Lindero'!AM66*'DCF Lindero'!AM67)/('DCF Lindero'!AM66+'DCF San Jose'!AM84+'DCF Caylloma'!AM104),IF(AND('DCF Seguela'!AI64&gt;=0,'DCF Yaramoko'!AM70&gt;=0),('DCF Yaramoko'!AM70*'DCF Yaramoko'!AM71+'DCF Seguela'!AI64*'DCF Seguela'!AI65)/('DCF Seguela'!AI64+'DCF Yaramoko'!AM70),IF(AND('DCF Yaramoko'!AM70&gt;=0,'DCF Lindero'!AM66&gt;=0),('DCF Lindero'!AM66*'DCF Lindero'!AM67+'DCF Yaramoko'!AM70*'DCF Yaramoko'!AM71)/('DCF Yaramoko'!AM70+'DCF Lindero'!AM66),IF(AND('DCF Yaramoko'!AM70&gt;=0,'DCF San Jose'!AM84&gt;=0),('DCF San Jose'!AM84*'DCF San Jose'!AM86+'DCF Yaramoko'!AM70*'DCF Yaramoko'!AM71)/('DCF Yaramoko'!AM70+'DCF San Jose'!AM84),IF(AND('DCF Yaramoko'!AM70&gt;=0,'DCF Caylloma'!AM104&gt;=0),('DCF Caylloma'!AM104*'DCF Caylloma'!AM106+'DCF Yaramoko'!AM70*'DCF Yaramoko'!AM71)/('DCF Yaramoko'!AM70+'DCF Caylloma'!AM104),IF(AND('DCF Caylloma'!AM104&gt;=0,'DCF San Jose'!AM84&gt;=0),('DCF San Jose'!AM84*'DCF San Jose'!AM86+'DCF Caylloma'!AM104*'DCF Caylloma'!AM106)/('DCF Caylloma'!AM104+'DCF San Jose'!AM84),IF(AND('DCF Caylloma'!AM104&gt;=0,'DCF Lindero'!AM66&gt;=0),('DCF Lindero'!AM66*'DCF Lindero'!AM67+'DCF Caylloma'!AM104*'DCF Caylloma'!AM106)/('DCF Caylloma'!AM104+'DCF Lindero'!AM66),IF(AND('DCF Caylloma'!AM104&gt;=0,'DCF Seguela'!AI64&gt;=0),('DCF Seguela'!AI64*'DCF Seguela'!AI65+'DCF Caylloma'!AM104*'DCF Caylloma'!AM106)/('DCF Caylloma'!AM104+'DCF Seguela'!AI64),IF(AND('DCF San Jose'!AM84&gt;=0,'DCF Lindero'!AM66&gt;=0),('DCF Lindero'!AM66*'DCF Lindero'!AM67+'DCF San Jose'!AM84*'DCF San Jose'!AM86)/('DCF San Jose'!AM84+'DCF Lindero'!AM66),IF(AND('DCF San Jose'!AM84&gt;=0,'DCF Seguela'!AI64&gt;=0),('DCF Seguela'!AI64*'DCF Seguela'!AI65+'DCF San Jose'!AM84*'DCF San Jose'!AM86)/('DCF San Jose'!AM84+'DCF Seguela'!AI64),IF(AND('DCF Lindero'!AM66&gt;=0,'DCF Seguela'!AI64&gt;=0),('DCF Seguela'!AI64*'DCF Seguela'!AI65+'DCF Lindero'!AM66*'DCF Lindero'!AM67)/('DCF Lindero'!AM66+'DCF Seguela'!AI64),IF('DCF Seguela'!AI64&gt;=0,'DCF Seguela'!AI65,IF('DCF Yaramoko'!AL70&gt;=0,'DCF Yaramoko'!AL71,IF('DCF Lindero'!AM66&gt;=0,'DCF Lindero'!AM67,IF('DCF San Jose'!AM84&gt;=0,'DCF San Jose'!AM86,IF('DCF Caylloma'!AM104&gt;=0,'DCF Caylloma'!AM106,0))))))))))))))))))))))))))))))))</f>
        <v>0</v>
      </c>
      <c r="AN118" s="28">
        <f>IF(AND('DCF Caylloma'!AN104&lt;=0,'DCF San Jose'!AN84&lt;=0,'DCF Lindero'!AN66&lt;=0,'DCF Yaramoko'!AN70&lt;=0,'DCF Seguela'!AJ64&lt;=0),0,IF(AND('DCF Caylloma'!AN104&gt;=0,'DCF San Jose'!AN84&gt;=0,'DCF Lindero'!AN66&gt;=0,'DCF Yaramoko'!AN70&gt;=0,'DCF Seguela'!AJ64&gt;=0),('DCF Seguela'!AJ64*'DCF Seguela'!AJ65+'DCF Yaramoko'!AN70*'DCF Yaramoko'!AN71+'DCF Lindero'!AN66*'DCF Lindero'!AN67+'DCF San Jose'!AN84*'DCF San Jose'!AN86+'DCF Caylloma'!AN104*'DCF Caylloma'!AN106)/('DCF Caylloma'!AN104+'DCF San Jose'!AN84+'DCF Lindero'!AN66+'DCF Yaramoko'!AN70+'DCF Seguela'!AJ64),IF(AND('DCF Caylloma'!AN104&gt;=0,'DCF San Jose'!AN84&gt;=0,'DCF Lindero'!AN66&gt;=0,'DCF Yaramoko'!AN70&gt;=0),('DCF Yaramoko'!AN70*'DCF Yaramoko'!AN71+'DCF Lindero'!AN66*'DCF Lindero'!AN67+'DCF San Jose'!AN84*'DCF San Jose'!AN86+'DCF Caylloma'!AN104*'DCF Caylloma'!AN106)/('DCF Caylloma'!AN104+'DCF San Jose'!AN84+'DCF Lindero'!AN66+'DCF Yaramoko'!AN70),IF(AND('DCF Caylloma'!AN104&gt;=0,'DCF San Jose'!AN84&gt;=0,'DCF Lindero'!AN66&gt;=0,'DCF Seguela'!AJ64&gt;=0),('DCF Seguela'!AJ64*'DCF Seguela'!AJ65+'DCF Lindero'!AN66*'DCF Lindero'!AN67+'DCF San Jose'!AN84*'DCF San Jose'!AN86+'DCF Caylloma'!AN104*'DCF Caylloma'!AN106)/('DCF Caylloma'!AN104+'DCF San Jose'!AN84+'DCF Lindero'!AN66+'DCF Seguela'!AJ64),IF(AND('DCF Seguela'!AJ64&gt;=0,'DCF Yaramoko'!AN70&gt;=0,'DCF San Jose'!AN84&gt;=0,'DCF Caylloma'!AN104&gt;=0),('DCF Caylloma'!AN104*'DCF Caylloma'!AN106+'DCF San Jose'!AN84*'DCF San Jose'!AN86+'DCF Yaramoko'!AN70*'DCF Yaramoko'!AN71+'DCF Seguela'!AJ64*'DCF Seguela'!AJ65)/('DCF Seguela'!AJ64+'DCF Yaramoko'!AN70+'DCF San Jose'!AN84+'DCF Caylloma'!AN104),IF(AND('DCF Caylloma'!AN104&gt;=0,'DCF Lindero'!AN66&gt;=0,'DCF Yaramoko'!AN70&gt;=0,'DCF Seguela'!AJ64&gt;=0),('DCF Seguela'!AJ64*'DCF Seguela'!AJ65+'DCF Yaramoko'!AN70*'DCF Yaramoko'!AN71+'DCF Lindero'!AN66*'DCF Lindero'!AN67+'DCF Caylloma'!AN104*'DCF Caylloma'!AN106)/('DCF Caylloma'!AN104+'DCF Lindero'!AN66+'DCF Yaramoko'!AN70+'DCF Seguela'!AJ64),IF(AND('DCF Seguela'!AJ64&gt;=0,'DCF Yaramoko'!AN70&gt;=0,'DCF Lindero'!AN66&gt;=0,'DCF San Jose'!AN84&gt;=0),('DCF San Jose'!AN84*'DCF San Jose'!AN86+'DCF Lindero'!AN66*'DCF Lindero'!AN67+'DCF Yaramoko'!AN70*'DCF Yaramoko'!AN71+'DCF Seguela'!AJ64*'DCF Seguela'!AJ65)/('DCF Seguela'!AJ64+'DCF Yaramoko'!AN70+'DCF Lindero'!AN66+'DCF San Jose'!AN84),IF(AND('DCF Lindero'!AN66&gt;=0,'DCF Yaramoko'!AN70&gt;=0,'DCF Seguela'!AJ64&gt;=0),('DCF Seguela'!AJ64*'DCF Seguela'!AJ65+'DCF Yaramoko'!AN70*'DCF Yaramoko'!AN71+'DCF Lindero'!AN66*'DCF Lindero'!AN67)/('DCF Lindero'!AN66+'DCF Yaramoko'!AN70+'DCF Seguela'!AJ64),IF(AND('DCF San Jose'!AN84&gt;=0,'DCF Yaramoko'!AN70&gt;=0,'DCF Seguela'!AJ64&gt;=0),('DCF Seguela'!AJ64*'DCF Seguela'!AJ65+'DCF Yaramoko'!AN70*'DCF Yaramoko'!AN71+'DCF San Jose'!AN84*'DCF San Jose'!AN86)/('DCF San Jose'!AN84+'DCF Yaramoko'!AN70+'DCF Seguela'!AJ64),IF(AND('DCF San Jose'!AN84&gt;=0,'DCF Lindero'!AN66&gt;=0,'DCF Seguela'!AJ64&gt;=0),('DCF Seguela'!AJ64*'DCF Seguela'!AJ65+'DCF Lindero'!AN66*'DCF Lindero'!AN67+'DCF San Jose'!AN84*'DCF San Jose'!AN86)/('DCF San Jose'!AN84+'DCF Lindero'!AN66+'DCF Seguela'!AJ64),IF(AND('DCF Yaramoko'!AN70&gt;=0,'DCF Lindero'!AN66&gt;=0,'DCF San Jose'!AN84&gt;=0),('DCF San Jose'!AN84*'DCF San Jose'!AN86+'DCF Lindero'!AN66*'DCF Lindero'!AN67+'DCF Yaramoko'!AN70*'DCF Yaramoko'!AN71)/('DCF Yaramoko'!AN70+'DCF Lindero'!AN66+'DCF San Jose'!AN84),IF(AND('DCF Caylloma'!AN104&gt;=0,'DCF Yaramoko'!AN70&gt;=0,'DCF Seguela'!AJ64&gt;=0),('DCF Seguela'!AJ64*'DCF Seguela'!AJ65+'DCF Yaramoko'!AN70*'DCF Yaramoko'!AN71+'DCF Caylloma'!AN104*'DCF Caylloma'!AN106)/('DCF Caylloma'!AN104+'DCF Yaramoko'!AN70+'DCF Seguela'!AJ64),IF(AND('DCF Caylloma'!AN104&gt;=0,'DCF Lindero'!AN66&gt;=0,'DCF Seguela'!AJ64&gt;=0),('DCF Seguela'!AJ64*'DCF Seguela'!AJ65+'DCF Lindero'!AN66*'DCF Lindero'!AN67+'DCF Caylloma'!AN104*'DCF Caylloma'!AN106)/('DCF Caylloma'!AN104+'DCF Lindero'!AN66+'DCF Seguela'!AJ64),IF(AND('DCF Caylloma'!AN104&gt;=0,'DCF Lindero'!AN66&gt;=0,'DCF Yaramoko'!AN70&gt;=0),('DCF Yaramoko'!AN70*'DCF Yaramoko'!AN71+'DCF Lindero'!AN66*'DCF Lindero'!AN67+'DCF Caylloma'!AN104*'DCF Caylloma'!AN106)/('DCF Caylloma'!AN104+'DCF Lindero'!AN66+'DCF Yaramoko'!AN70),IF(AND('DCF Seguela'!AJ64&gt;=0,'DCF San Jose'!AN84&gt;=0,'DCF Caylloma'!AN104&gt;=0),('DCF Caylloma'!AN104*'DCF Caylloma'!AN106+'DCF San Jose'!AN84*'DCF San Jose'!AN86+'DCF Seguela'!AJ64*'DCF Seguela'!AJ65)/('DCF Seguela'!AJ64+'DCF San Jose'!AN84+'DCF Caylloma'!AN104),IF(AND('DCF Caylloma'!AN104&gt;=0,'DCF San Jose'!AN84&gt;=0,'DCF Yaramoko'!AN70&gt;=0),('DCF Yaramoko'!AN70*'DCF Yaramoko'!AN71+'DCF San Jose'!AN84*'DCF San Jose'!AN86+'DCF Caylloma'!AN104*'DCF Caylloma'!AN106)/('DCF Caylloma'!AN104+'DCF San Jose'!AN84+'DCF Yaramoko'!AN70),IF(AND('DCF Lindero'!AN66&gt;=0,'DCF San Jose'!AN84&gt;=0,'DCF Caylloma'!AN104&gt;=0),('DCF Caylloma'!AN104*'DCF Caylloma'!AN106+'DCF San Jose'!AN84*'DCF San Jose'!AN86+'DCF Lindero'!AN66*'DCF Lindero'!AN67)/('DCF Lindero'!AN66+'DCF San Jose'!AN84+'DCF Caylloma'!AN104),IF(AND('DCF Seguela'!AJ64&gt;=0,'DCF Yaramoko'!AN70&gt;=0),('DCF Yaramoko'!AN70*'DCF Yaramoko'!AN71+'DCF Seguela'!AJ64*'DCF Seguela'!AJ65)/('DCF Seguela'!AJ64+'DCF Yaramoko'!AN70),IF(AND('DCF Yaramoko'!AN70&gt;=0,'DCF Lindero'!AN66&gt;=0),('DCF Lindero'!AN66*'DCF Lindero'!AN67+'DCF Yaramoko'!AN70*'DCF Yaramoko'!AN71)/('DCF Yaramoko'!AN70+'DCF Lindero'!AN66),IF(AND('DCF Yaramoko'!AN70&gt;=0,'DCF San Jose'!AN84&gt;=0),('DCF San Jose'!AN84*'DCF San Jose'!AN86+'DCF Yaramoko'!AN70*'DCF Yaramoko'!AN71)/('DCF Yaramoko'!AN70+'DCF San Jose'!AN84),IF(AND('DCF Yaramoko'!AN70&gt;=0,'DCF Caylloma'!AN104&gt;=0),('DCF Caylloma'!AN104*'DCF Caylloma'!AN106+'DCF Yaramoko'!AN70*'DCF Yaramoko'!AN71)/('DCF Yaramoko'!AN70+'DCF Caylloma'!AN104),IF(AND('DCF Caylloma'!AN104&gt;=0,'DCF San Jose'!AN84&gt;=0),('DCF San Jose'!AN84*'DCF San Jose'!AN86+'DCF Caylloma'!AN104*'DCF Caylloma'!AN106)/('DCF Caylloma'!AN104+'DCF San Jose'!AN84),IF(AND('DCF Caylloma'!AN104&gt;=0,'DCF Lindero'!AN66&gt;=0),('DCF Lindero'!AN66*'DCF Lindero'!AN67+'DCF Caylloma'!AN104*'DCF Caylloma'!AN106)/('DCF Caylloma'!AN104+'DCF Lindero'!AN66),IF(AND('DCF Caylloma'!AN104&gt;=0,'DCF Seguela'!AJ64&gt;=0),('DCF Seguela'!AJ64*'DCF Seguela'!AJ65+'DCF Caylloma'!AN104*'DCF Caylloma'!AN106)/('DCF Caylloma'!AN104+'DCF Seguela'!AJ64),IF(AND('DCF San Jose'!AN84&gt;=0,'DCF Lindero'!AN66&gt;=0),('DCF Lindero'!AN66*'DCF Lindero'!AN67+'DCF San Jose'!AN84*'DCF San Jose'!AN86)/('DCF San Jose'!AN84+'DCF Lindero'!AN66),IF(AND('DCF San Jose'!AN84&gt;=0,'DCF Seguela'!AJ64&gt;=0),('DCF Seguela'!AJ64*'DCF Seguela'!AJ65+'DCF San Jose'!AN84*'DCF San Jose'!AN86)/('DCF San Jose'!AN84+'DCF Seguela'!AJ64),IF(AND('DCF Lindero'!AN66&gt;=0,'DCF Seguela'!AJ64&gt;=0),('DCF Seguela'!AJ64*'DCF Seguela'!AJ65+'DCF Lindero'!AN66*'DCF Lindero'!AN67)/('DCF Lindero'!AN66+'DCF Seguela'!AJ64),IF('DCF Seguela'!AJ64&gt;=0,'DCF Seguela'!AJ65,IF('DCF Yaramoko'!AM70&gt;=0,'DCF Yaramoko'!AM71,IF('DCF Lindero'!AN66&gt;=0,'DCF Lindero'!AN67,IF('DCF San Jose'!AN84&gt;=0,'DCF San Jose'!AN86,IF('DCF Caylloma'!AN104&gt;=0,'DCF Caylloma'!AN106,0))))))))))))))))))))))))))))))))</f>
        <v>0</v>
      </c>
      <c r="AO118" s="28">
        <f>IF(AND('DCF Caylloma'!AO104&lt;=0,'DCF San Jose'!AO84&lt;=0,'DCF Lindero'!AO66&lt;=0,'DCF Yaramoko'!AO70&lt;=0,'DCF Seguela'!AK64&lt;=0),0,IF(AND('DCF Caylloma'!AO104&gt;=0,'DCF San Jose'!AO84&gt;=0,'DCF Lindero'!AO66&gt;=0,'DCF Yaramoko'!AO70&gt;=0,'DCF Seguela'!AK64&gt;=0),('DCF Seguela'!AK64*'DCF Seguela'!AK65+'DCF Yaramoko'!AO70*'DCF Yaramoko'!AO71+'DCF Lindero'!AO66*'DCF Lindero'!AO67+'DCF San Jose'!AO84*'DCF San Jose'!AO86+'DCF Caylloma'!AO104*'DCF Caylloma'!AO106)/('DCF Caylloma'!AO104+'DCF San Jose'!AO84+'DCF Lindero'!AO66+'DCF Yaramoko'!AO70+'DCF Seguela'!AK64),IF(AND('DCF Caylloma'!AO104&gt;=0,'DCF San Jose'!AO84&gt;=0,'DCF Lindero'!AO66&gt;=0,'DCF Yaramoko'!AO70&gt;=0),('DCF Yaramoko'!AO70*'DCF Yaramoko'!AO71+'DCF Lindero'!AO66*'DCF Lindero'!AO67+'DCF San Jose'!AO84*'DCF San Jose'!AO86+'DCF Caylloma'!AO104*'DCF Caylloma'!AO106)/('DCF Caylloma'!AO104+'DCF San Jose'!AO84+'DCF Lindero'!AO66+'DCF Yaramoko'!AO70),IF(AND('DCF Caylloma'!AO104&gt;=0,'DCF San Jose'!AO84&gt;=0,'DCF Lindero'!AO66&gt;=0,'DCF Seguela'!AK64&gt;=0),('DCF Seguela'!AK64*'DCF Seguela'!AK65+'DCF Lindero'!AO66*'DCF Lindero'!AO67+'DCF San Jose'!AO84*'DCF San Jose'!AO86+'DCF Caylloma'!AO104*'DCF Caylloma'!AO106)/('DCF Caylloma'!AO104+'DCF San Jose'!AO84+'DCF Lindero'!AO66+'DCF Seguela'!AK64),IF(AND('DCF Seguela'!AK64&gt;=0,'DCF Yaramoko'!AO70&gt;=0,'DCF San Jose'!AO84&gt;=0,'DCF Caylloma'!AO104&gt;=0),('DCF Caylloma'!AO104*'DCF Caylloma'!AO106+'DCF San Jose'!AO84*'DCF San Jose'!AO86+'DCF Yaramoko'!AO70*'DCF Yaramoko'!AO71+'DCF Seguela'!AK64*'DCF Seguela'!AK65)/('DCF Seguela'!AK64+'DCF Yaramoko'!AO70+'DCF San Jose'!AO84+'DCF Caylloma'!AO104),IF(AND('DCF Caylloma'!AO104&gt;=0,'DCF Lindero'!AO66&gt;=0,'DCF Yaramoko'!AO70&gt;=0,'DCF Seguela'!AK64&gt;=0),('DCF Seguela'!AK64*'DCF Seguela'!AK65+'DCF Yaramoko'!AO70*'DCF Yaramoko'!AO71+'DCF Lindero'!AO66*'DCF Lindero'!AO67+'DCF Caylloma'!AO104*'DCF Caylloma'!AO106)/('DCF Caylloma'!AO104+'DCF Lindero'!AO66+'DCF Yaramoko'!AO70+'DCF Seguela'!AK64),IF(AND('DCF Seguela'!AK64&gt;=0,'DCF Yaramoko'!AO70&gt;=0,'DCF Lindero'!AO66&gt;=0,'DCF San Jose'!AO84&gt;=0),('DCF San Jose'!AO84*'DCF San Jose'!AO86+'DCF Lindero'!AO66*'DCF Lindero'!AO67+'DCF Yaramoko'!AO70*'DCF Yaramoko'!AO71+'DCF Seguela'!AK64*'DCF Seguela'!AK65)/('DCF Seguela'!AK64+'DCF Yaramoko'!AO70+'DCF Lindero'!AO66+'DCF San Jose'!AO84),IF(AND('DCF Lindero'!AO66&gt;=0,'DCF Yaramoko'!AO70&gt;=0,'DCF Seguela'!AK64&gt;=0),('DCF Seguela'!AK64*'DCF Seguela'!AK65+'DCF Yaramoko'!AO70*'DCF Yaramoko'!AO71+'DCF Lindero'!AO66*'DCF Lindero'!AO67)/('DCF Lindero'!AO66+'DCF Yaramoko'!AO70+'DCF Seguela'!AK64),IF(AND('DCF San Jose'!AO84&gt;=0,'DCF Yaramoko'!AO70&gt;=0,'DCF Seguela'!AK64&gt;=0),('DCF Seguela'!AK64*'DCF Seguela'!AK65+'DCF Yaramoko'!AO70*'DCF Yaramoko'!AO71+'DCF San Jose'!AO84*'DCF San Jose'!AO86)/('DCF San Jose'!AO84+'DCF Yaramoko'!AO70+'DCF Seguela'!AK64),IF(AND('DCF San Jose'!AO84&gt;=0,'DCF Lindero'!AO66&gt;=0,'DCF Seguela'!AK64&gt;=0),('DCF Seguela'!AK64*'DCF Seguela'!AK65+'DCF Lindero'!AO66*'DCF Lindero'!AO67+'DCF San Jose'!AO84*'DCF San Jose'!AO86)/('DCF San Jose'!AO84+'DCF Lindero'!AO66+'DCF Seguela'!AK64),IF(AND('DCF Yaramoko'!AO70&gt;=0,'DCF Lindero'!AO66&gt;=0,'DCF San Jose'!AO84&gt;=0),('DCF San Jose'!AO84*'DCF San Jose'!AO86+'DCF Lindero'!AO66*'DCF Lindero'!AO67+'DCF Yaramoko'!AO70*'DCF Yaramoko'!AO71)/('DCF Yaramoko'!AO70+'DCF Lindero'!AO66+'DCF San Jose'!AO84),IF(AND('DCF Caylloma'!AO104&gt;=0,'DCF Yaramoko'!AO70&gt;=0,'DCF Seguela'!AK64&gt;=0),('DCF Seguela'!AK64*'DCF Seguela'!AK65+'DCF Yaramoko'!AO70*'DCF Yaramoko'!AO71+'DCF Caylloma'!AO104*'DCF Caylloma'!AO106)/('DCF Caylloma'!AO104+'DCF Yaramoko'!AO70+'DCF Seguela'!AK64),IF(AND('DCF Caylloma'!AO104&gt;=0,'DCF Lindero'!AO66&gt;=0,'DCF Seguela'!AK64&gt;=0),('DCF Seguela'!AK64*'DCF Seguela'!AK65+'DCF Lindero'!AO66*'DCF Lindero'!AO67+'DCF Caylloma'!AO104*'DCF Caylloma'!AO106)/('DCF Caylloma'!AO104+'DCF Lindero'!AO66+'DCF Seguela'!AK64),IF(AND('DCF Caylloma'!AO104&gt;=0,'DCF Lindero'!AO66&gt;=0,'DCF Yaramoko'!AO70&gt;=0),('DCF Yaramoko'!AO70*'DCF Yaramoko'!AO71+'DCF Lindero'!AO66*'DCF Lindero'!AO67+'DCF Caylloma'!AO104*'DCF Caylloma'!AO106)/('DCF Caylloma'!AO104+'DCF Lindero'!AO66+'DCF Yaramoko'!AO70),IF(AND('DCF Seguela'!AK64&gt;=0,'DCF San Jose'!AO84&gt;=0,'DCF Caylloma'!AO104&gt;=0),('DCF Caylloma'!AO104*'DCF Caylloma'!AO106+'DCF San Jose'!AO84*'DCF San Jose'!AO86+'DCF Seguela'!AK64*'DCF Seguela'!AK65)/('DCF Seguela'!AK64+'DCF San Jose'!AO84+'DCF Caylloma'!AO104),IF(AND('DCF Caylloma'!AO104&gt;=0,'DCF San Jose'!AO84&gt;=0,'DCF Yaramoko'!AO70&gt;=0),('DCF Yaramoko'!AO70*'DCF Yaramoko'!AO71+'DCF San Jose'!AO84*'DCF San Jose'!AO86+'DCF Caylloma'!AO104*'DCF Caylloma'!AO106)/('DCF Caylloma'!AO104+'DCF San Jose'!AO84+'DCF Yaramoko'!AO70),IF(AND('DCF Lindero'!AO66&gt;=0,'DCF San Jose'!AO84&gt;=0,'DCF Caylloma'!AO104&gt;=0),('DCF Caylloma'!AO104*'DCF Caylloma'!AO106+'DCF San Jose'!AO84*'DCF San Jose'!AO86+'DCF Lindero'!AO66*'DCF Lindero'!AO67)/('DCF Lindero'!AO66+'DCF San Jose'!AO84+'DCF Caylloma'!AO104),IF(AND('DCF Seguela'!AK64&gt;=0,'DCF Yaramoko'!AO70&gt;=0),('DCF Yaramoko'!AO70*'DCF Yaramoko'!AO71+'DCF Seguela'!AK64*'DCF Seguela'!AK65)/('DCF Seguela'!AK64+'DCF Yaramoko'!AO70),IF(AND('DCF Yaramoko'!AO70&gt;=0,'DCF Lindero'!AO66&gt;=0),('DCF Lindero'!AO66*'DCF Lindero'!AO67+'DCF Yaramoko'!AO70*'DCF Yaramoko'!AO71)/('DCF Yaramoko'!AO70+'DCF Lindero'!AO66),IF(AND('DCF Yaramoko'!AO70&gt;=0,'DCF San Jose'!AO84&gt;=0),('DCF San Jose'!AO84*'DCF San Jose'!AO86+'DCF Yaramoko'!AO70*'DCF Yaramoko'!AO71)/('DCF Yaramoko'!AO70+'DCF San Jose'!AO84),IF(AND('DCF Yaramoko'!AO70&gt;=0,'DCF Caylloma'!AO104&gt;=0),('DCF Caylloma'!AO104*'DCF Caylloma'!AO106+'DCF Yaramoko'!AO70*'DCF Yaramoko'!AO71)/('DCF Yaramoko'!AO70+'DCF Caylloma'!AO104),IF(AND('DCF Caylloma'!AO104&gt;=0,'DCF San Jose'!AO84&gt;=0),('DCF San Jose'!AO84*'DCF San Jose'!AO86+'DCF Caylloma'!AO104*'DCF Caylloma'!AO106)/('DCF Caylloma'!AO104+'DCF San Jose'!AO84),IF(AND('DCF Caylloma'!AO104&gt;=0,'DCF Lindero'!AO66&gt;=0),('DCF Lindero'!AO66*'DCF Lindero'!AO67+'DCF Caylloma'!AO104*'DCF Caylloma'!AO106)/('DCF Caylloma'!AO104+'DCF Lindero'!AO66),IF(AND('DCF Caylloma'!AO104&gt;=0,'DCF Seguela'!AK64&gt;=0),('DCF Seguela'!AK64*'DCF Seguela'!AK65+'DCF Caylloma'!AO104*'DCF Caylloma'!AO106)/('DCF Caylloma'!AO104+'DCF Seguela'!AK64),IF(AND('DCF San Jose'!AO84&gt;=0,'DCF Lindero'!AO66&gt;=0),('DCF Lindero'!AO66*'DCF Lindero'!AO67+'DCF San Jose'!AO84*'DCF San Jose'!AO86)/('DCF San Jose'!AO84+'DCF Lindero'!AO66),IF(AND('DCF San Jose'!AO84&gt;=0,'DCF Seguela'!AK64&gt;=0),('DCF Seguela'!AK64*'DCF Seguela'!AK65+'DCF San Jose'!AO84*'DCF San Jose'!AO86)/('DCF San Jose'!AO84+'DCF Seguela'!AK64),IF(AND('DCF Lindero'!AO66&gt;=0,'DCF Seguela'!AK64&gt;=0),('DCF Seguela'!AK64*'DCF Seguela'!AK65+'DCF Lindero'!AO66*'DCF Lindero'!AO67)/('DCF Lindero'!AO66+'DCF Seguela'!AK64),IF('DCF Seguela'!AK64&gt;=0,'DCF Seguela'!AK65,IF('DCF Yaramoko'!AN70&gt;=0,'DCF Yaramoko'!AN71,IF('DCF Lindero'!AO66&gt;=0,'DCF Lindero'!AO67,IF('DCF San Jose'!AO84&gt;=0,'DCF San Jose'!AO86,IF('DCF Caylloma'!AO104&gt;=0,'DCF Caylloma'!AO106,0))))))))))))))))))))))))))))))))</f>
        <v>0</v>
      </c>
      <c r="AP118" s="28">
        <f>IF(AND('DCF Caylloma'!AP104&lt;=0,'DCF San Jose'!AP84&lt;=0,'DCF Lindero'!AP66&lt;=0,'DCF Yaramoko'!AP70&lt;=0,'DCF Seguela'!AL64&lt;=0),0,IF(AND('DCF Caylloma'!AP104&gt;=0,'DCF San Jose'!AP84&gt;=0,'DCF Lindero'!AP66&gt;=0,'DCF Yaramoko'!AP70&gt;=0,'DCF Seguela'!AL64&gt;=0),('DCF Seguela'!AL64*'DCF Seguela'!AL65+'DCF Yaramoko'!AP70*'DCF Yaramoko'!AP71+'DCF Lindero'!AP66*'DCF Lindero'!AP67+'DCF San Jose'!AP84*'DCF San Jose'!AP86+'DCF Caylloma'!AP104*'DCF Caylloma'!AP106)/('DCF Caylloma'!AP104+'DCF San Jose'!AP84+'DCF Lindero'!AP66+'DCF Yaramoko'!AP70+'DCF Seguela'!AL64),IF(AND('DCF Caylloma'!AP104&gt;=0,'DCF San Jose'!AP84&gt;=0,'DCF Lindero'!AP66&gt;=0,'DCF Yaramoko'!AP70&gt;=0),('DCF Yaramoko'!AP70*'DCF Yaramoko'!AP71+'DCF Lindero'!AP66*'DCF Lindero'!AP67+'DCF San Jose'!AP84*'DCF San Jose'!AP86+'DCF Caylloma'!AP104*'DCF Caylloma'!AP106)/('DCF Caylloma'!AP104+'DCF San Jose'!AP84+'DCF Lindero'!AP66+'DCF Yaramoko'!AP70),IF(AND('DCF Caylloma'!AP104&gt;=0,'DCF San Jose'!AP84&gt;=0,'DCF Lindero'!AP66&gt;=0,'DCF Seguela'!AL64&gt;=0),('DCF Seguela'!AL64*'DCF Seguela'!AL65+'DCF Lindero'!AP66*'DCF Lindero'!AP67+'DCF San Jose'!AP84*'DCF San Jose'!AP86+'DCF Caylloma'!AP104*'DCF Caylloma'!AP106)/('DCF Caylloma'!AP104+'DCF San Jose'!AP84+'DCF Lindero'!AP66+'DCF Seguela'!AL64),IF(AND('DCF Seguela'!AL64&gt;=0,'DCF Yaramoko'!AP70&gt;=0,'DCF San Jose'!AP84&gt;=0,'DCF Caylloma'!AP104&gt;=0),('DCF Caylloma'!AP104*'DCF Caylloma'!AP106+'DCF San Jose'!AP84*'DCF San Jose'!AP86+'DCF Yaramoko'!AP70*'DCF Yaramoko'!AP71+'DCF Seguela'!AL64*'DCF Seguela'!AL65)/('DCF Seguela'!AL64+'DCF Yaramoko'!AP70+'DCF San Jose'!AP84+'DCF Caylloma'!AP104),IF(AND('DCF Caylloma'!AP104&gt;=0,'DCF Lindero'!AP66&gt;=0,'DCF Yaramoko'!AP70&gt;=0,'DCF Seguela'!AL64&gt;=0),('DCF Seguela'!AL64*'DCF Seguela'!AL65+'DCF Yaramoko'!AP70*'DCF Yaramoko'!AP71+'DCF Lindero'!AP66*'DCF Lindero'!AP67+'DCF Caylloma'!AP104*'DCF Caylloma'!AP106)/('DCF Caylloma'!AP104+'DCF Lindero'!AP66+'DCF Yaramoko'!AP70+'DCF Seguela'!AL64),IF(AND('DCF Seguela'!AL64&gt;=0,'DCF Yaramoko'!AP70&gt;=0,'DCF Lindero'!AP66&gt;=0,'DCF San Jose'!AP84&gt;=0),('DCF San Jose'!AP84*'DCF San Jose'!AP86+'DCF Lindero'!AP66*'DCF Lindero'!AP67+'DCF Yaramoko'!AP70*'DCF Yaramoko'!AP71+'DCF Seguela'!AL64*'DCF Seguela'!AL65)/('DCF Seguela'!AL64+'DCF Yaramoko'!AP70+'DCF Lindero'!AP66+'DCF San Jose'!AP84),IF(AND('DCF Lindero'!AP66&gt;=0,'DCF Yaramoko'!AP70&gt;=0,'DCF Seguela'!AL64&gt;=0),('DCF Seguela'!AL64*'DCF Seguela'!AL65+'DCF Yaramoko'!AP70*'DCF Yaramoko'!AP71+'DCF Lindero'!AP66*'DCF Lindero'!AP67)/('DCF Lindero'!AP66+'DCF Yaramoko'!AP70+'DCF Seguela'!AL64),IF(AND('DCF San Jose'!AP84&gt;=0,'DCF Yaramoko'!AP70&gt;=0,'DCF Seguela'!AL64&gt;=0),('DCF Seguela'!AL64*'DCF Seguela'!AL65+'DCF Yaramoko'!AP70*'DCF Yaramoko'!AP71+'DCF San Jose'!AP84*'DCF San Jose'!AP86)/('DCF San Jose'!AP84+'DCF Yaramoko'!AP70+'DCF Seguela'!AL64),IF(AND('DCF San Jose'!AP84&gt;=0,'DCF Lindero'!AP66&gt;=0,'DCF Seguela'!AL64&gt;=0),('DCF Seguela'!AL64*'DCF Seguela'!AL65+'DCF Lindero'!AP66*'DCF Lindero'!AP67+'DCF San Jose'!AP84*'DCF San Jose'!AP86)/('DCF San Jose'!AP84+'DCF Lindero'!AP66+'DCF Seguela'!AL64),IF(AND('DCF Yaramoko'!AP70&gt;=0,'DCF Lindero'!AP66&gt;=0,'DCF San Jose'!AP84&gt;=0),('DCF San Jose'!AP84*'DCF San Jose'!AP86+'DCF Lindero'!AP66*'DCF Lindero'!AP67+'DCF Yaramoko'!AP70*'DCF Yaramoko'!AP71)/('DCF Yaramoko'!AP70+'DCF Lindero'!AP66+'DCF San Jose'!AP84),IF(AND('DCF Caylloma'!AP104&gt;=0,'DCF Yaramoko'!AP70&gt;=0,'DCF Seguela'!AL64&gt;=0),('DCF Seguela'!AL64*'DCF Seguela'!AL65+'DCF Yaramoko'!AP70*'DCF Yaramoko'!AP71+'DCF Caylloma'!AP104*'DCF Caylloma'!AP106)/('DCF Caylloma'!AP104+'DCF Yaramoko'!AP70+'DCF Seguela'!AL64),IF(AND('DCF Caylloma'!AP104&gt;=0,'DCF Lindero'!AP66&gt;=0,'DCF Seguela'!AL64&gt;=0),('DCF Seguela'!AL64*'DCF Seguela'!AL65+'DCF Lindero'!AP66*'DCF Lindero'!AP67+'DCF Caylloma'!AP104*'DCF Caylloma'!AP106)/('DCF Caylloma'!AP104+'DCF Lindero'!AP66+'DCF Seguela'!AL64),IF(AND('DCF Caylloma'!AP104&gt;=0,'DCF Lindero'!AP66&gt;=0,'DCF Yaramoko'!AP70&gt;=0),('DCF Yaramoko'!AP70*'DCF Yaramoko'!AP71+'DCF Lindero'!AP66*'DCF Lindero'!AP67+'DCF Caylloma'!AP104*'DCF Caylloma'!AP106)/('DCF Caylloma'!AP104+'DCF Lindero'!AP66+'DCF Yaramoko'!AP70),IF(AND('DCF Seguela'!AL64&gt;=0,'DCF San Jose'!AP84&gt;=0,'DCF Caylloma'!AP104&gt;=0),('DCF Caylloma'!AP104*'DCF Caylloma'!AP106+'DCF San Jose'!AP84*'DCF San Jose'!AP86+'DCF Seguela'!AL64*'DCF Seguela'!AL65)/('DCF Seguela'!AL64+'DCF San Jose'!AP84+'DCF Caylloma'!AP104),IF(AND('DCF Caylloma'!AP104&gt;=0,'DCF San Jose'!AP84&gt;=0,'DCF Yaramoko'!AP70&gt;=0),('DCF Yaramoko'!AP70*'DCF Yaramoko'!AP71+'DCF San Jose'!AP84*'DCF San Jose'!AP86+'DCF Caylloma'!AP104*'DCF Caylloma'!AP106)/('DCF Caylloma'!AP104+'DCF San Jose'!AP84+'DCF Yaramoko'!AP70),IF(AND('DCF Lindero'!AP66&gt;=0,'DCF San Jose'!AP84&gt;=0,'DCF Caylloma'!AP104&gt;=0),('DCF Caylloma'!AP104*'DCF Caylloma'!AP106+'DCF San Jose'!AP84*'DCF San Jose'!AP86+'DCF Lindero'!AP66*'DCF Lindero'!AP67)/('DCF Lindero'!AP66+'DCF San Jose'!AP84+'DCF Caylloma'!AP104),IF(AND('DCF Seguela'!AL64&gt;=0,'DCF Yaramoko'!AP70&gt;=0),('DCF Yaramoko'!AP70*'DCF Yaramoko'!AP71+'DCF Seguela'!AL64*'DCF Seguela'!AL65)/('DCF Seguela'!AL64+'DCF Yaramoko'!AP70),IF(AND('DCF Yaramoko'!AP70&gt;=0,'DCF Lindero'!AP66&gt;=0),('DCF Lindero'!AP66*'DCF Lindero'!AP67+'DCF Yaramoko'!AP70*'DCF Yaramoko'!AP71)/('DCF Yaramoko'!AP70+'DCF Lindero'!AP66),IF(AND('DCF Yaramoko'!AP70&gt;=0,'DCF San Jose'!AP84&gt;=0),('DCF San Jose'!AP84*'DCF San Jose'!AP86+'DCF Yaramoko'!AP70*'DCF Yaramoko'!AP71)/('DCF Yaramoko'!AP70+'DCF San Jose'!AP84),IF(AND('DCF Yaramoko'!AP70&gt;=0,'DCF Caylloma'!AP104&gt;=0),('DCF Caylloma'!AP104*'DCF Caylloma'!AP106+'DCF Yaramoko'!AP70*'DCF Yaramoko'!AP71)/('DCF Yaramoko'!AP70+'DCF Caylloma'!AP104),IF(AND('DCF Caylloma'!AP104&gt;=0,'DCF San Jose'!AP84&gt;=0),('DCF San Jose'!AP84*'DCF San Jose'!AP86+'DCF Caylloma'!AP104*'DCF Caylloma'!AP106)/('DCF Caylloma'!AP104+'DCF San Jose'!AP84),IF(AND('DCF Caylloma'!AP104&gt;=0,'DCF Lindero'!AP66&gt;=0),('DCF Lindero'!AP66*'DCF Lindero'!AP67+'DCF Caylloma'!AP104*'DCF Caylloma'!AP106)/('DCF Caylloma'!AP104+'DCF Lindero'!AP66),IF(AND('DCF Caylloma'!AP104&gt;=0,'DCF Seguela'!AL64&gt;=0),('DCF Seguela'!AL64*'DCF Seguela'!AL65+'DCF Caylloma'!AP104*'DCF Caylloma'!AP106)/('DCF Caylloma'!AP104+'DCF Seguela'!AL64),IF(AND('DCF San Jose'!AP84&gt;=0,'DCF Lindero'!AP66&gt;=0),('DCF Lindero'!AP66*'DCF Lindero'!AP67+'DCF San Jose'!AP84*'DCF San Jose'!AP86)/('DCF San Jose'!AP84+'DCF Lindero'!AP66),IF(AND('DCF San Jose'!AP84&gt;=0,'DCF Seguela'!AL64&gt;=0),('DCF Seguela'!AL64*'DCF Seguela'!AL65+'DCF San Jose'!AP84*'DCF San Jose'!AP86)/('DCF San Jose'!AP84+'DCF Seguela'!AL64),IF(AND('DCF Lindero'!AP66&gt;=0,'DCF Seguela'!AL64&gt;=0),('DCF Seguela'!AL64*'DCF Seguela'!AL65+'DCF Lindero'!AP66*'DCF Lindero'!AP67)/('DCF Lindero'!AP66+'DCF Seguela'!AL64),IF('DCF Seguela'!AL64&gt;=0,'DCF Seguela'!AL65,IF('DCF Yaramoko'!AO70&gt;=0,'DCF Yaramoko'!AO71,IF('DCF Lindero'!AP66&gt;=0,'DCF Lindero'!AP67,IF('DCF San Jose'!AP84&gt;=0,'DCF San Jose'!AP86,IF('DCF Caylloma'!AP104&gt;=0,'DCF Caylloma'!AP106,0))))))))))))))))))))))))))))))))</f>
        <v>0</v>
      </c>
      <c r="AQ118" s="28">
        <f>IF(AND('DCF Caylloma'!AQ104&lt;=0,'DCF San Jose'!AQ84&lt;=0,'DCF Lindero'!AQ66&lt;=0,'DCF Yaramoko'!AQ70&lt;=0,'DCF Seguela'!AM64&lt;=0),0,IF(AND('DCF Caylloma'!AQ104&gt;=0,'DCF San Jose'!AQ84&gt;=0,'DCF Lindero'!AQ66&gt;=0,'DCF Yaramoko'!AQ70&gt;=0,'DCF Seguela'!AM64&gt;=0),('DCF Seguela'!AM64*'DCF Seguela'!AM65+'DCF Yaramoko'!AQ70*'DCF Yaramoko'!AQ71+'DCF Lindero'!AQ66*'DCF Lindero'!AQ67+'DCF San Jose'!AQ84*'DCF San Jose'!AQ86+'DCF Caylloma'!AQ104*'DCF Caylloma'!AQ106)/('DCF Caylloma'!AQ104+'DCF San Jose'!AQ84+'DCF Lindero'!AQ66+'DCF Yaramoko'!AQ70+'DCF Seguela'!AM64),IF(AND('DCF Caylloma'!AQ104&gt;=0,'DCF San Jose'!AQ84&gt;=0,'DCF Lindero'!AQ66&gt;=0,'DCF Yaramoko'!AQ70&gt;=0),('DCF Yaramoko'!AQ70*'DCF Yaramoko'!AQ71+'DCF Lindero'!AQ66*'DCF Lindero'!AQ67+'DCF San Jose'!AQ84*'DCF San Jose'!AQ86+'DCF Caylloma'!AQ104*'DCF Caylloma'!AQ106)/('DCF Caylloma'!AQ104+'DCF San Jose'!AQ84+'DCF Lindero'!AQ66+'DCF Yaramoko'!AQ70),IF(AND('DCF Caylloma'!AQ104&gt;=0,'DCF San Jose'!AQ84&gt;=0,'DCF Lindero'!AQ66&gt;=0,'DCF Seguela'!AM64&gt;=0),('DCF Seguela'!AM64*'DCF Seguela'!AM65+'DCF Lindero'!AQ66*'DCF Lindero'!AQ67+'DCF San Jose'!AQ84*'DCF San Jose'!AQ86+'DCF Caylloma'!AQ104*'DCF Caylloma'!AQ106)/('DCF Caylloma'!AQ104+'DCF San Jose'!AQ84+'DCF Lindero'!AQ66+'DCF Seguela'!AM64),IF(AND('DCF Seguela'!AM64&gt;=0,'DCF Yaramoko'!AQ70&gt;=0,'DCF San Jose'!AQ84&gt;=0,'DCF Caylloma'!AQ104&gt;=0),('DCF Caylloma'!AQ104*'DCF Caylloma'!AQ106+'DCF San Jose'!AQ84*'DCF San Jose'!AQ86+'DCF Yaramoko'!AQ70*'DCF Yaramoko'!AQ71+'DCF Seguela'!AM64*'DCF Seguela'!AM65)/('DCF Seguela'!AM64+'DCF Yaramoko'!AQ70+'DCF San Jose'!AQ84+'DCF Caylloma'!AQ104),IF(AND('DCF Caylloma'!AQ104&gt;=0,'DCF Lindero'!AQ66&gt;=0,'DCF Yaramoko'!AQ70&gt;=0,'DCF Seguela'!AM64&gt;=0),('DCF Seguela'!AM64*'DCF Seguela'!AM65+'DCF Yaramoko'!AQ70*'DCF Yaramoko'!AQ71+'DCF Lindero'!AQ66*'DCF Lindero'!AQ67+'DCF Caylloma'!AQ104*'DCF Caylloma'!AQ106)/('DCF Caylloma'!AQ104+'DCF Lindero'!AQ66+'DCF Yaramoko'!AQ70+'DCF Seguela'!AM64),IF(AND('DCF Seguela'!AM64&gt;=0,'DCF Yaramoko'!AQ70&gt;=0,'DCF Lindero'!AQ66&gt;=0,'DCF San Jose'!AQ84&gt;=0),('DCF San Jose'!AQ84*'DCF San Jose'!AQ86+'DCF Lindero'!AQ66*'DCF Lindero'!AQ67+'DCF Yaramoko'!AQ70*'DCF Yaramoko'!AQ71+'DCF Seguela'!AM64*'DCF Seguela'!AM65)/('DCF Seguela'!AM64+'DCF Yaramoko'!AQ70+'DCF Lindero'!AQ66+'DCF San Jose'!AQ84),IF(AND('DCF Lindero'!AQ66&gt;=0,'DCF Yaramoko'!AQ70&gt;=0,'DCF Seguela'!AM64&gt;=0),('DCF Seguela'!AM64*'DCF Seguela'!AM65+'DCF Yaramoko'!AQ70*'DCF Yaramoko'!AQ71+'DCF Lindero'!AQ66*'DCF Lindero'!AQ67)/('DCF Lindero'!AQ66+'DCF Yaramoko'!AQ70+'DCF Seguela'!AM64),IF(AND('DCF San Jose'!AQ84&gt;=0,'DCF Yaramoko'!AQ70&gt;=0,'DCF Seguela'!AM64&gt;=0),('DCF Seguela'!AM64*'DCF Seguela'!AM65+'DCF Yaramoko'!AQ70*'DCF Yaramoko'!AQ71+'DCF San Jose'!AQ84*'DCF San Jose'!AQ86)/('DCF San Jose'!AQ84+'DCF Yaramoko'!AQ70+'DCF Seguela'!AM64),IF(AND('DCF San Jose'!AQ84&gt;=0,'DCF Lindero'!AQ66&gt;=0,'DCF Seguela'!AM64&gt;=0),('DCF Seguela'!AM64*'DCF Seguela'!AM65+'DCF Lindero'!AQ66*'DCF Lindero'!AQ67+'DCF San Jose'!AQ84*'DCF San Jose'!AQ86)/('DCF San Jose'!AQ84+'DCF Lindero'!AQ66+'DCF Seguela'!AM64),IF(AND('DCF Yaramoko'!AQ70&gt;=0,'DCF Lindero'!AQ66&gt;=0,'DCF San Jose'!AQ84&gt;=0),('DCF San Jose'!AQ84*'DCF San Jose'!AQ86+'DCF Lindero'!AQ66*'DCF Lindero'!AQ67+'DCF Yaramoko'!AQ70*'DCF Yaramoko'!AQ71)/('DCF Yaramoko'!AQ70+'DCF Lindero'!AQ66+'DCF San Jose'!AQ84),IF(AND('DCF Caylloma'!AQ104&gt;=0,'DCF Yaramoko'!AQ70&gt;=0,'DCF Seguela'!AM64&gt;=0),('DCF Seguela'!AM64*'DCF Seguela'!AM65+'DCF Yaramoko'!AQ70*'DCF Yaramoko'!AQ71+'DCF Caylloma'!AQ104*'DCF Caylloma'!AQ106)/('DCF Caylloma'!AQ104+'DCF Yaramoko'!AQ70+'DCF Seguela'!AM64),IF(AND('DCF Caylloma'!AQ104&gt;=0,'DCF Lindero'!AQ66&gt;=0,'DCF Seguela'!AM64&gt;=0),('DCF Seguela'!AM64*'DCF Seguela'!AM65+'DCF Lindero'!AQ66*'DCF Lindero'!AQ67+'DCF Caylloma'!AQ104*'DCF Caylloma'!AQ106)/('DCF Caylloma'!AQ104+'DCF Lindero'!AQ66+'DCF Seguela'!AM64),IF(AND('DCF Caylloma'!AQ104&gt;=0,'DCF Lindero'!AQ66&gt;=0,'DCF Yaramoko'!AQ70&gt;=0),('DCF Yaramoko'!AQ70*'DCF Yaramoko'!AQ71+'DCF Lindero'!AQ66*'DCF Lindero'!AQ67+'DCF Caylloma'!AQ104*'DCF Caylloma'!AQ106)/('DCF Caylloma'!AQ104+'DCF Lindero'!AQ66+'DCF Yaramoko'!AQ70),IF(AND('DCF Seguela'!AM64&gt;=0,'DCF San Jose'!AQ84&gt;=0,'DCF Caylloma'!AQ104&gt;=0),('DCF Caylloma'!AQ104*'DCF Caylloma'!AQ106+'DCF San Jose'!AQ84*'DCF San Jose'!AQ86+'DCF Seguela'!AM64*'DCF Seguela'!AM65)/('DCF Seguela'!AM64+'DCF San Jose'!AQ84+'DCF Caylloma'!AQ104),IF(AND('DCF Caylloma'!AQ104&gt;=0,'DCF San Jose'!AQ84&gt;=0,'DCF Yaramoko'!AQ70&gt;=0),('DCF Yaramoko'!AQ70*'DCF Yaramoko'!AQ71+'DCF San Jose'!AQ84*'DCF San Jose'!AQ86+'DCF Caylloma'!AQ104*'DCF Caylloma'!AQ106)/('DCF Caylloma'!AQ104+'DCF San Jose'!AQ84+'DCF Yaramoko'!AQ70),IF(AND('DCF Lindero'!AQ66&gt;=0,'DCF San Jose'!AQ84&gt;=0,'DCF Caylloma'!AQ104&gt;=0),('DCF Caylloma'!AQ104*'DCF Caylloma'!AQ106+'DCF San Jose'!AQ84*'DCF San Jose'!AQ86+'DCF Lindero'!AQ66*'DCF Lindero'!AQ67)/('DCF Lindero'!AQ66+'DCF San Jose'!AQ84+'DCF Caylloma'!AQ104),IF(AND('DCF Seguela'!AM64&gt;=0,'DCF Yaramoko'!AQ70&gt;=0),('DCF Yaramoko'!AQ70*'DCF Yaramoko'!AQ71+'DCF Seguela'!AM64*'DCF Seguela'!AM65)/('DCF Seguela'!AM64+'DCF Yaramoko'!AQ70),IF(AND('DCF Yaramoko'!AQ70&gt;=0,'DCF Lindero'!AQ66&gt;=0),('DCF Lindero'!AQ66*'DCF Lindero'!AQ67+'DCF Yaramoko'!AQ70*'DCF Yaramoko'!AQ71)/('DCF Yaramoko'!AQ70+'DCF Lindero'!AQ66),IF(AND('DCF Yaramoko'!AQ70&gt;=0,'DCF San Jose'!AQ84&gt;=0),('DCF San Jose'!AQ84*'DCF San Jose'!AQ86+'DCF Yaramoko'!AQ70*'DCF Yaramoko'!AQ71)/('DCF Yaramoko'!AQ70+'DCF San Jose'!AQ84),IF(AND('DCF Yaramoko'!AQ70&gt;=0,'DCF Caylloma'!AQ104&gt;=0),('DCF Caylloma'!AQ104*'DCF Caylloma'!AQ106+'DCF Yaramoko'!AQ70*'DCF Yaramoko'!AQ71)/('DCF Yaramoko'!AQ70+'DCF Caylloma'!AQ104),IF(AND('DCF Caylloma'!AQ104&gt;=0,'DCF San Jose'!AQ84&gt;=0),('DCF San Jose'!AQ84*'DCF San Jose'!AQ86+'DCF Caylloma'!AQ104*'DCF Caylloma'!AQ106)/('DCF Caylloma'!AQ104+'DCF San Jose'!AQ84),IF(AND('DCF Caylloma'!AQ104&gt;=0,'DCF Lindero'!AQ66&gt;=0),('DCF Lindero'!AQ66*'DCF Lindero'!AQ67+'DCF Caylloma'!AQ104*'DCF Caylloma'!AQ106)/('DCF Caylloma'!AQ104+'DCF Lindero'!AQ66),IF(AND('DCF Caylloma'!AQ104&gt;=0,'DCF Seguela'!AM64&gt;=0),('DCF Seguela'!AM64*'DCF Seguela'!AM65+'DCF Caylloma'!AQ104*'DCF Caylloma'!AQ106)/('DCF Caylloma'!AQ104+'DCF Seguela'!AM64),IF(AND('DCF San Jose'!AQ84&gt;=0,'DCF Lindero'!AQ66&gt;=0),('DCF Lindero'!AQ66*'DCF Lindero'!AQ67+'DCF San Jose'!AQ84*'DCF San Jose'!AQ86)/('DCF San Jose'!AQ84+'DCF Lindero'!AQ66),IF(AND('DCF San Jose'!AQ84&gt;=0,'DCF Seguela'!AM64&gt;=0),('DCF Seguela'!AM64*'DCF Seguela'!AM65+'DCF San Jose'!AQ84*'DCF San Jose'!AQ86)/('DCF San Jose'!AQ84+'DCF Seguela'!AM64),IF(AND('DCF Lindero'!AQ66&gt;=0,'DCF Seguela'!AM64&gt;=0),('DCF Seguela'!AM64*'DCF Seguela'!AM65+'DCF Lindero'!AQ66*'DCF Lindero'!AQ67)/('DCF Lindero'!AQ66+'DCF Seguela'!AM64),IF('DCF Seguela'!AM64&gt;=0,'DCF Seguela'!AM65,IF('DCF Yaramoko'!AP70&gt;=0,'DCF Yaramoko'!AP71,IF('DCF Lindero'!AQ66&gt;=0,'DCF Lindero'!AQ67,IF('DCF San Jose'!AQ84&gt;=0,'DCF San Jose'!AQ86,IF('DCF Caylloma'!AQ104&gt;=0,'DCF Caylloma'!AQ106,0))))))))))))))))))))))))))))))))</f>
        <v>0</v>
      </c>
      <c r="AR118" s="28">
        <f>IF(AND('DCF Caylloma'!AR104&lt;=0,'DCF San Jose'!AR84&lt;=0,'DCF Lindero'!AR66&lt;=0,'DCF Yaramoko'!AR70&lt;=0,'DCF Seguela'!AN64&lt;=0),0,IF(AND('DCF Caylloma'!AR104&gt;=0,'DCF San Jose'!AR84&gt;=0,'DCF Lindero'!AR66&gt;=0,'DCF Yaramoko'!AR70&gt;=0,'DCF Seguela'!AN64&gt;=0),('DCF Seguela'!AN64*'DCF Seguela'!AN65+'DCF Yaramoko'!AR70*'DCF Yaramoko'!AR71+'DCF Lindero'!AR66*'DCF Lindero'!AR67+'DCF San Jose'!AR84*'DCF San Jose'!AR86+'DCF Caylloma'!AR104*'DCF Caylloma'!AR106)/('DCF Caylloma'!AR104+'DCF San Jose'!AR84+'DCF Lindero'!AR66+'DCF Yaramoko'!AR70+'DCF Seguela'!AN64),IF(AND('DCF Caylloma'!AR104&gt;=0,'DCF San Jose'!AR84&gt;=0,'DCF Lindero'!AR66&gt;=0,'DCF Yaramoko'!AR70&gt;=0),('DCF Yaramoko'!AR70*'DCF Yaramoko'!AR71+'DCF Lindero'!AR66*'DCF Lindero'!AR67+'DCF San Jose'!AR84*'DCF San Jose'!AR86+'DCF Caylloma'!AR104*'DCF Caylloma'!AR106)/('DCF Caylloma'!AR104+'DCF San Jose'!AR84+'DCF Lindero'!AR66+'DCF Yaramoko'!AR70),IF(AND('DCF Caylloma'!AR104&gt;=0,'DCF San Jose'!AR84&gt;=0,'DCF Lindero'!AR66&gt;=0,'DCF Seguela'!AN64&gt;=0),('DCF Seguela'!AN64*'DCF Seguela'!AN65+'DCF Lindero'!AR66*'DCF Lindero'!AR67+'DCF San Jose'!AR84*'DCF San Jose'!AR86+'DCF Caylloma'!AR104*'DCF Caylloma'!AR106)/('DCF Caylloma'!AR104+'DCF San Jose'!AR84+'DCF Lindero'!AR66+'DCF Seguela'!AN64),IF(AND('DCF Seguela'!AN64&gt;=0,'DCF Yaramoko'!AR70&gt;=0,'DCF San Jose'!AR84&gt;=0,'DCF Caylloma'!AR104&gt;=0),('DCF Caylloma'!AR104*'DCF Caylloma'!AR106+'DCF San Jose'!AR84*'DCF San Jose'!AR86+'DCF Yaramoko'!AR70*'DCF Yaramoko'!AR71+'DCF Seguela'!AN64*'DCF Seguela'!AN65)/('DCF Seguela'!AN64+'DCF Yaramoko'!AR70+'DCF San Jose'!AR84+'DCF Caylloma'!AR104),IF(AND('DCF Caylloma'!AR104&gt;=0,'DCF Lindero'!AR66&gt;=0,'DCF Yaramoko'!AR70&gt;=0,'DCF Seguela'!AN64&gt;=0),('DCF Seguela'!AN64*'DCF Seguela'!AN65+'DCF Yaramoko'!AR70*'DCF Yaramoko'!AR71+'DCF Lindero'!AR66*'DCF Lindero'!AR67+'DCF Caylloma'!AR104*'DCF Caylloma'!AR106)/('DCF Caylloma'!AR104+'DCF Lindero'!AR66+'DCF Yaramoko'!AR70+'DCF Seguela'!AN64),IF(AND('DCF Seguela'!AN64&gt;=0,'DCF Yaramoko'!AR70&gt;=0,'DCF Lindero'!AR66&gt;=0,'DCF San Jose'!AR84&gt;=0),('DCF San Jose'!AR84*'DCF San Jose'!AR86+'DCF Lindero'!AR66*'DCF Lindero'!AR67+'DCF Yaramoko'!AR70*'DCF Yaramoko'!AR71+'DCF Seguela'!AN64*'DCF Seguela'!AN65)/('DCF Seguela'!AN64+'DCF Yaramoko'!AR70+'DCF Lindero'!AR66+'DCF San Jose'!AR84),IF(AND('DCF Lindero'!AR66&gt;=0,'DCF Yaramoko'!AR70&gt;=0,'DCF Seguela'!AN64&gt;=0),('DCF Seguela'!AN64*'DCF Seguela'!AN65+'DCF Yaramoko'!AR70*'DCF Yaramoko'!AR71+'DCF Lindero'!AR66*'DCF Lindero'!AR67)/('DCF Lindero'!AR66+'DCF Yaramoko'!AR70+'DCF Seguela'!AN64),IF(AND('DCF San Jose'!AR84&gt;=0,'DCF Yaramoko'!AR70&gt;=0,'DCF Seguela'!AN64&gt;=0),('DCF Seguela'!AN64*'DCF Seguela'!AN65+'DCF Yaramoko'!AR70*'DCF Yaramoko'!AR71+'DCF San Jose'!AR84*'DCF San Jose'!AR86)/('DCF San Jose'!AR84+'DCF Yaramoko'!AR70+'DCF Seguela'!AN64),IF(AND('DCF San Jose'!AR84&gt;=0,'DCF Lindero'!AR66&gt;=0,'DCF Seguela'!AN64&gt;=0),('DCF Seguela'!AN64*'DCF Seguela'!AN65+'DCF Lindero'!AR66*'DCF Lindero'!AR67+'DCF San Jose'!AR84*'DCF San Jose'!AR86)/('DCF San Jose'!AR84+'DCF Lindero'!AR66+'DCF Seguela'!AN64),IF(AND('DCF Yaramoko'!AR70&gt;=0,'DCF Lindero'!AR66&gt;=0,'DCF San Jose'!AR84&gt;=0),('DCF San Jose'!AR84*'DCF San Jose'!AR86+'DCF Lindero'!AR66*'DCF Lindero'!AR67+'DCF Yaramoko'!AR70*'DCF Yaramoko'!AR71)/('DCF Yaramoko'!AR70+'DCF Lindero'!AR66+'DCF San Jose'!AR84),IF(AND('DCF Caylloma'!AR104&gt;=0,'DCF Yaramoko'!AR70&gt;=0,'DCF Seguela'!AN64&gt;=0),('DCF Seguela'!AN64*'DCF Seguela'!AN65+'DCF Yaramoko'!AR70*'DCF Yaramoko'!AR71+'DCF Caylloma'!AR104*'DCF Caylloma'!AR106)/('DCF Caylloma'!AR104+'DCF Yaramoko'!AR70+'DCF Seguela'!AN64),IF(AND('DCF Caylloma'!AR104&gt;=0,'DCF Lindero'!AR66&gt;=0,'DCF Seguela'!AN64&gt;=0),('DCF Seguela'!AN64*'DCF Seguela'!AN65+'DCF Lindero'!AR66*'DCF Lindero'!AR67+'DCF Caylloma'!AR104*'DCF Caylloma'!AR106)/('DCF Caylloma'!AR104+'DCF Lindero'!AR66+'DCF Seguela'!AN64),IF(AND('DCF Caylloma'!AR104&gt;=0,'DCF Lindero'!AR66&gt;=0,'DCF Yaramoko'!AR70&gt;=0),('DCF Yaramoko'!AR70*'DCF Yaramoko'!AR71+'DCF Lindero'!AR66*'DCF Lindero'!AR67+'DCF Caylloma'!AR104*'DCF Caylloma'!AR106)/('DCF Caylloma'!AR104+'DCF Lindero'!AR66+'DCF Yaramoko'!AR70),IF(AND('DCF Seguela'!AN64&gt;=0,'DCF San Jose'!AR84&gt;=0,'DCF Caylloma'!AR104&gt;=0),('DCF Caylloma'!AR104*'DCF Caylloma'!AR106+'DCF San Jose'!AR84*'DCF San Jose'!AR86+'DCF Seguela'!AN64*'DCF Seguela'!AN65)/('DCF Seguela'!AN64+'DCF San Jose'!AR84+'DCF Caylloma'!AR104),IF(AND('DCF Caylloma'!AR104&gt;=0,'DCF San Jose'!AR84&gt;=0,'DCF Yaramoko'!AR70&gt;=0),('DCF Yaramoko'!AR70*'DCF Yaramoko'!AR71+'DCF San Jose'!AR84*'DCF San Jose'!AR86+'DCF Caylloma'!AR104*'DCF Caylloma'!AR106)/('DCF Caylloma'!AR104+'DCF San Jose'!AR84+'DCF Yaramoko'!AR70),IF(AND('DCF Lindero'!AR66&gt;=0,'DCF San Jose'!AR84&gt;=0,'DCF Caylloma'!AR104&gt;=0),('DCF Caylloma'!AR104*'DCF Caylloma'!AR106+'DCF San Jose'!AR84*'DCF San Jose'!AR86+'DCF Lindero'!AR66*'DCF Lindero'!AR67)/('DCF Lindero'!AR66+'DCF San Jose'!AR84+'DCF Caylloma'!AR104),IF(AND('DCF Seguela'!AN64&gt;=0,'DCF Yaramoko'!AR70&gt;=0),('DCF Yaramoko'!AR70*'DCF Yaramoko'!AR71+'DCF Seguela'!AN64*'DCF Seguela'!AN65)/('DCF Seguela'!AN64+'DCF Yaramoko'!AR70),IF(AND('DCF Yaramoko'!AR70&gt;=0,'DCF Lindero'!AR66&gt;=0),('DCF Lindero'!AR66*'DCF Lindero'!AR67+'DCF Yaramoko'!AR70*'DCF Yaramoko'!AR71)/('DCF Yaramoko'!AR70+'DCF Lindero'!AR66),IF(AND('DCF Yaramoko'!AR70&gt;=0,'DCF San Jose'!AR84&gt;=0),('DCF San Jose'!AR84*'DCF San Jose'!AR86+'DCF Yaramoko'!AR70*'DCF Yaramoko'!AR71)/('DCF Yaramoko'!AR70+'DCF San Jose'!AR84),IF(AND('DCF Yaramoko'!AR70&gt;=0,'DCF Caylloma'!AR104&gt;=0),('DCF Caylloma'!AR104*'DCF Caylloma'!AR106+'DCF Yaramoko'!AR70*'DCF Yaramoko'!AR71)/('DCF Yaramoko'!AR70+'DCF Caylloma'!AR104),IF(AND('DCF Caylloma'!AR104&gt;=0,'DCF San Jose'!AR84&gt;=0),('DCF San Jose'!AR84*'DCF San Jose'!AR86+'DCF Caylloma'!AR104*'DCF Caylloma'!AR106)/('DCF Caylloma'!AR104+'DCF San Jose'!AR84),IF(AND('DCF Caylloma'!AR104&gt;=0,'DCF Lindero'!AR66&gt;=0),('DCF Lindero'!AR66*'DCF Lindero'!AR67+'DCF Caylloma'!AR104*'DCF Caylloma'!AR106)/('DCF Caylloma'!AR104+'DCF Lindero'!AR66),IF(AND('DCF Caylloma'!AR104&gt;=0,'DCF Seguela'!AN64&gt;=0),('DCF Seguela'!AN64*'DCF Seguela'!AN65+'DCF Caylloma'!AR104*'DCF Caylloma'!AR106)/('DCF Caylloma'!AR104+'DCF Seguela'!AN64),IF(AND('DCF San Jose'!AR84&gt;=0,'DCF Lindero'!AR66&gt;=0),('DCF Lindero'!AR66*'DCF Lindero'!AR67+'DCF San Jose'!AR84*'DCF San Jose'!AR86)/('DCF San Jose'!AR84+'DCF Lindero'!AR66),IF(AND('DCF San Jose'!AR84&gt;=0,'DCF Seguela'!AN64&gt;=0),('DCF Seguela'!AN64*'DCF Seguela'!AN65+'DCF San Jose'!AR84*'DCF San Jose'!AR86)/('DCF San Jose'!AR84+'DCF Seguela'!AN64),IF(AND('DCF Lindero'!AR66&gt;=0,'DCF Seguela'!AN64&gt;=0),('DCF Seguela'!AN64*'DCF Seguela'!AN65+'DCF Lindero'!AR66*'DCF Lindero'!AR67)/('DCF Lindero'!AR66+'DCF Seguela'!AN64),IF('DCF Seguela'!AN64&gt;=0,'DCF Seguela'!AN65,IF('DCF Yaramoko'!AQ70&gt;=0,'DCF Yaramoko'!AQ71,IF('DCF Lindero'!AR66&gt;=0,'DCF Lindero'!AR67,IF('DCF San Jose'!AR84&gt;=0,'DCF San Jose'!AR86,IF('DCF Caylloma'!AR104&gt;=0,'DCF Caylloma'!AR106,0))))))))))))))))))))))))))))))))</f>
        <v>0</v>
      </c>
      <c r="AS118" s="28">
        <f>IF(AND('DCF Caylloma'!AS104&lt;=0,'DCF San Jose'!AS84&lt;=0,'DCF Lindero'!AS66&lt;=0,'DCF Yaramoko'!AS70&lt;=0,'DCF Seguela'!AO64&lt;=0),0,IF(AND('DCF Caylloma'!AS104&gt;=0,'DCF San Jose'!AS84&gt;=0,'DCF Lindero'!AS66&gt;=0,'DCF Yaramoko'!AS70&gt;=0,'DCF Seguela'!AO64&gt;=0),('DCF Seguela'!AO64*'DCF Seguela'!AO65+'DCF Yaramoko'!AS70*'DCF Yaramoko'!AS71+'DCF Lindero'!AS66*'DCF Lindero'!AS67+'DCF San Jose'!AS84*'DCF San Jose'!AS86+'DCF Caylloma'!AS104*'DCF Caylloma'!AS106)/('DCF Caylloma'!AS104+'DCF San Jose'!AS84+'DCF Lindero'!AS66+'DCF Yaramoko'!AS70+'DCF Seguela'!AO64),IF(AND('DCF Caylloma'!AS104&gt;=0,'DCF San Jose'!AS84&gt;=0,'DCF Lindero'!AS66&gt;=0,'DCF Yaramoko'!AS70&gt;=0),('DCF Yaramoko'!AS70*'DCF Yaramoko'!AS71+'DCF Lindero'!AS66*'DCF Lindero'!AS67+'DCF San Jose'!AS84*'DCF San Jose'!AS86+'DCF Caylloma'!AS104*'DCF Caylloma'!AS106)/('DCF Caylloma'!AS104+'DCF San Jose'!AS84+'DCF Lindero'!AS66+'DCF Yaramoko'!AS70),IF(AND('DCF Caylloma'!AS104&gt;=0,'DCF San Jose'!AS84&gt;=0,'DCF Lindero'!AS66&gt;=0,'DCF Seguela'!AO64&gt;=0),('DCF Seguela'!AO64*'DCF Seguela'!AO65+'DCF Lindero'!AS66*'DCF Lindero'!AS67+'DCF San Jose'!AS84*'DCF San Jose'!AS86+'DCF Caylloma'!AS104*'DCF Caylloma'!AS106)/('DCF Caylloma'!AS104+'DCF San Jose'!AS84+'DCF Lindero'!AS66+'DCF Seguela'!AO64),IF(AND('DCF Seguela'!AO64&gt;=0,'DCF Yaramoko'!AS70&gt;=0,'DCF San Jose'!AS84&gt;=0,'DCF Caylloma'!AS104&gt;=0),('DCF Caylloma'!AS104*'DCF Caylloma'!AS106+'DCF San Jose'!AS84*'DCF San Jose'!AS86+'DCF Yaramoko'!AS70*'DCF Yaramoko'!AS71+'DCF Seguela'!AO64*'DCF Seguela'!AO65)/('DCF Seguela'!AO64+'DCF Yaramoko'!AS70+'DCF San Jose'!AS84+'DCF Caylloma'!AS104),IF(AND('DCF Caylloma'!AS104&gt;=0,'DCF Lindero'!AS66&gt;=0,'DCF Yaramoko'!AS70&gt;=0,'DCF Seguela'!AO64&gt;=0),('DCF Seguela'!AO64*'DCF Seguela'!AO65+'DCF Yaramoko'!AS70*'DCF Yaramoko'!AS71+'DCF Lindero'!AS66*'DCF Lindero'!AS67+'DCF Caylloma'!AS104*'DCF Caylloma'!AS106)/('DCF Caylloma'!AS104+'DCF Lindero'!AS66+'DCF Yaramoko'!AS70+'DCF Seguela'!AO64),IF(AND('DCF Seguela'!AO64&gt;=0,'DCF Yaramoko'!AS70&gt;=0,'DCF Lindero'!AS66&gt;=0,'DCF San Jose'!AS84&gt;=0),('DCF San Jose'!AS84*'DCF San Jose'!AS86+'DCF Lindero'!AS66*'DCF Lindero'!AS67+'DCF Yaramoko'!AS70*'DCF Yaramoko'!AS71+'DCF Seguela'!AO64*'DCF Seguela'!AO65)/('DCF Seguela'!AO64+'DCF Yaramoko'!AS70+'DCF Lindero'!AS66+'DCF San Jose'!AS84),IF(AND('DCF Lindero'!AS66&gt;=0,'DCF Yaramoko'!AS70&gt;=0,'DCF Seguela'!AO64&gt;=0),('DCF Seguela'!AO64*'DCF Seguela'!AO65+'DCF Yaramoko'!AS70*'DCF Yaramoko'!AS71+'DCF Lindero'!AS66*'DCF Lindero'!AS67)/('DCF Lindero'!AS66+'DCF Yaramoko'!AS70+'DCF Seguela'!AO64),IF(AND('DCF San Jose'!AS84&gt;=0,'DCF Yaramoko'!AS70&gt;=0,'DCF Seguela'!AO64&gt;=0),('DCF Seguela'!AO64*'DCF Seguela'!AO65+'DCF Yaramoko'!AS70*'DCF Yaramoko'!AS71+'DCF San Jose'!AS84*'DCF San Jose'!AS86)/('DCF San Jose'!AS84+'DCF Yaramoko'!AS70+'DCF Seguela'!AO64),IF(AND('DCF San Jose'!AS84&gt;=0,'DCF Lindero'!AS66&gt;=0,'DCF Seguela'!AO64&gt;=0),('DCF Seguela'!AO64*'DCF Seguela'!AO65+'DCF Lindero'!AS66*'DCF Lindero'!AS67+'DCF San Jose'!AS84*'DCF San Jose'!AS86)/('DCF San Jose'!AS84+'DCF Lindero'!AS66+'DCF Seguela'!AO64),IF(AND('DCF Yaramoko'!AS70&gt;=0,'DCF Lindero'!AS66&gt;=0,'DCF San Jose'!AS84&gt;=0),('DCF San Jose'!AS84*'DCF San Jose'!AS86+'DCF Lindero'!AS66*'DCF Lindero'!AS67+'DCF Yaramoko'!AS70*'DCF Yaramoko'!AS71)/('DCF Yaramoko'!AS70+'DCF Lindero'!AS66+'DCF San Jose'!AS84),IF(AND('DCF Caylloma'!AS104&gt;=0,'DCF Yaramoko'!AS70&gt;=0,'DCF Seguela'!AO64&gt;=0),('DCF Seguela'!AO64*'DCF Seguela'!AO65+'DCF Yaramoko'!AS70*'DCF Yaramoko'!AS71+'DCF Caylloma'!AS104*'DCF Caylloma'!AS106)/('DCF Caylloma'!AS104+'DCF Yaramoko'!AS70+'DCF Seguela'!AO64),IF(AND('DCF Caylloma'!AS104&gt;=0,'DCF Lindero'!AS66&gt;=0,'DCF Seguela'!AO64&gt;=0),('DCF Seguela'!AO64*'DCF Seguela'!AO65+'DCF Lindero'!AS66*'DCF Lindero'!AS67+'DCF Caylloma'!AS104*'DCF Caylloma'!AS106)/('DCF Caylloma'!AS104+'DCF Lindero'!AS66+'DCF Seguela'!AO64),IF(AND('DCF Caylloma'!AS104&gt;=0,'DCF Lindero'!AS66&gt;=0,'DCF Yaramoko'!AS70&gt;=0),('DCF Yaramoko'!AS70*'DCF Yaramoko'!AS71+'DCF Lindero'!AS66*'DCF Lindero'!AS67+'DCF Caylloma'!AS104*'DCF Caylloma'!AS106)/('DCF Caylloma'!AS104+'DCF Lindero'!AS66+'DCF Yaramoko'!AS70),IF(AND('DCF Seguela'!AO64&gt;=0,'DCF San Jose'!AS84&gt;=0,'DCF Caylloma'!AS104&gt;=0),('DCF Caylloma'!AS104*'DCF Caylloma'!AS106+'DCF San Jose'!AS84*'DCF San Jose'!AS86+'DCF Seguela'!AO64*'DCF Seguela'!AO65)/('DCF Seguela'!AO64+'DCF San Jose'!AS84+'DCF Caylloma'!AS104),IF(AND('DCF Caylloma'!AS104&gt;=0,'DCF San Jose'!AS84&gt;=0,'DCF Yaramoko'!AS70&gt;=0),('DCF Yaramoko'!AS70*'DCF Yaramoko'!AS71+'DCF San Jose'!AS84*'DCF San Jose'!AS86+'DCF Caylloma'!AS104*'DCF Caylloma'!AS106)/('DCF Caylloma'!AS104+'DCF San Jose'!AS84+'DCF Yaramoko'!AS70),IF(AND('DCF Lindero'!AS66&gt;=0,'DCF San Jose'!AS84&gt;=0,'DCF Caylloma'!AS104&gt;=0),('DCF Caylloma'!AS104*'DCF Caylloma'!AS106+'DCF San Jose'!AS84*'DCF San Jose'!AS86+'DCF Lindero'!AS66*'DCF Lindero'!AS67)/('DCF Lindero'!AS66+'DCF San Jose'!AS84+'DCF Caylloma'!AS104),IF(AND('DCF Seguela'!AO64&gt;=0,'DCF Yaramoko'!AS70&gt;=0),('DCF Yaramoko'!AS70*'DCF Yaramoko'!AS71+'DCF Seguela'!AO64*'DCF Seguela'!AO65)/('DCF Seguela'!AO64+'DCF Yaramoko'!AS70),IF(AND('DCF Yaramoko'!AS70&gt;=0,'DCF Lindero'!AS66&gt;=0),('DCF Lindero'!AS66*'DCF Lindero'!AS67+'DCF Yaramoko'!AS70*'DCF Yaramoko'!AS71)/('DCF Yaramoko'!AS70+'DCF Lindero'!AS66),IF(AND('DCF Yaramoko'!AS70&gt;=0,'DCF San Jose'!AS84&gt;=0),('DCF San Jose'!AS84*'DCF San Jose'!AS86+'DCF Yaramoko'!AS70*'DCF Yaramoko'!AS71)/('DCF Yaramoko'!AS70+'DCF San Jose'!AS84),IF(AND('DCF Yaramoko'!AS70&gt;=0,'DCF Caylloma'!AS104&gt;=0),('DCF Caylloma'!AS104*'DCF Caylloma'!AS106+'DCF Yaramoko'!AS70*'DCF Yaramoko'!AS71)/('DCF Yaramoko'!AS70+'DCF Caylloma'!AS104),IF(AND('DCF Caylloma'!AS104&gt;=0,'DCF San Jose'!AS84&gt;=0),('DCF San Jose'!AS84*'DCF San Jose'!AS86+'DCF Caylloma'!AS104*'DCF Caylloma'!AS106)/('DCF Caylloma'!AS104+'DCF San Jose'!AS84),IF(AND('DCF Caylloma'!AS104&gt;=0,'DCF Lindero'!AS66&gt;=0),('DCF Lindero'!AS66*'DCF Lindero'!AS67+'DCF Caylloma'!AS104*'DCF Caylloma'!AS106)/('DCF Caylloma'!AS104+'DCF Lindero'!AS66),IF(AND('DCF Caylloma'!AS104&gt;=0,'DCF Seguela'!AO64&gt;=0),('DCF Seguela'!AO64*'DCF Seguela'!AO65+'DCF Caylloma'!AS104*'DCF Caylloma'!AS106)/('DCF Caylloma'!AS104+'DCF Seguela'!AO64),IF(AND('DCF San Jose'!AS84&gt;=0,'DCF Lindero'!AS66&gt;=0),('DCF Lindero'!AS66*'DCF Lindero'!AS67+'DCF San Jose'!AS84*'DCF San Jose'!AS86)/('DCF San Jose'!AS84+'DCF Lindero'!AS66),IF(AND('DCF San Jose'!AS84&gt;=0,'DCF Seguela'!AO64&gt;=0),('DCF Seguela'!AO64*'DCF Seguela'!AO65+'DCF San Jose'!AS84*'DCF San Jose'!AS86)/('DCF San Jose'!AS84+'DCF Seguela'!AO64),IF(AND('DCF Lindero'!AS66&gt;=0,'DCF Seguela'!AO64&gt;=0),('DCF Seguela'!AO64*'DCF Seguela'!AO65+'DCF Lindero'!AS66*'DCF Lindero'!AS67)/('DCF Lindero'!AS66+'DCF Seguela'!AO64),IF('DCF Seguela'!AO64&gt;=0,'DCF Seguela'!AO65,IF('DCF Yaramoko'!AR70&gt;=0,'DCF Yaramoko'!AR71,IF('DCF Lindero'!AS66&gt;=0,'DCF Lindero'!AS67,IF('DCF San Jose'!AS84&gt;=0,'DCF San Jose'!AS86,IF('DCF Caylloma'!AS104&gt;=0,'DCF Caylloma'!AS106,0))))))))))))))))))))))))))))))))</f>
        <v>0</v>
      </c>
      <c r="AT118" s="28">
        <f>IF(AND('DCF Caylloma'!AT104&lt;=0,'DCF San Jose'!AT84&lt;=0,'DCF Lindero'!AT66&lt;=0,'DCF Yaramoko'!AT70&lt;=0,'DCF Seguela'!AP64&lt;=0),0,IF(AND('DCF Caylloma'!AT104&gt;=0,'DCF San Jose'!AT84&gt;=0,'DCF Lindero'!AT66&gt;=0,'DCF Yaramoko'!AT70&gt;=0,'DCF Seguela'!AP64&gt;=0),('DCF Seguela'!AP64*'DCF Seguela'!AP65+'DCF Yaramoko'!AT70*'DCF Yaramoko'!AT71+'DCF Lindero'!AT66*'DCF Lindero'!AT67+'DCF San Jose'!AT84*'DCF San Jose'!AT86+'DCF Caylloma'!AT104*'DCF Caylloma'!AT106)/('DCF Caylloma'!AT104+'DCF San Jose'!AT84+'DCF Lindero'!AT66+'DCF Yaramoko'!AT70+'DCF Seguela'!AP64),IF(AND('DCF Caylloma'!AT104&gt;=0,'DCF San Jose'!AT84&gt;=0,'DCF Lindero'!AT66&gt;=0,'DCF Yaramoko'!AT70&gt;=0),('DCF Yaramoko'!AT70*'DCF Yaramoko'!AT71+'DCF Lindero'!AT66*'DCF Lindero'!AT67+'DCF San Jose'!AT84*'DCF San Jose'!AT86+'DCF Caylloma'!AT104*'DCF Caylloma'!AT106)/('DCF Caylloma'!AT104+'DCF San Jose'!AT84+'DCF Lindero'!AT66+'DCF Yaramoko'!AT70),IF(AND('DCF Caylloma'!AT104&gt;=0,'DCF San Jose'!AT84&gt;=0,'DCF Lindero'!AT66&gt;=0,'DCF Seguela'!AP64&gt;=0),('DCF Seguela'!AP64*'DCF Seguela'!AP65+'DCF Lindero'!AT66*'DCF Lindero'!AT67+'DCF San Jose'!AT84*'DCF San Jose'!AT86+'DCF Caylloma'!AT104*'DCF Caylloma'!AT106)/('DCF Caylloma'!AT104+'DCF San Jose'!AT84+'DCF Lindero'!AT66+'DCF Seguela'!AP64),IF(AND('DCF Seguela'!AP64&gt;=0,'DCF Yaramoko'!AT70&gt;=0,'DCF San Jose'!AT84&gt;=0,'DCF Caylloma'!AT104&gt;=0),('DCF Caylloma'!AT104*'DCF Caylloma'!AT106+'DCF San Jose'!AT84*'DCF San Jose'!AT86+'DCF Yaramoko'!AT70*'DCF Yaramoko'!AT71+'DCF Seguela'!AP64*'DCF Seguela'!AP65)/('DCF Seguela'!AP64+'DCF Yaramoko'!AT70+'DCF San Jose'!AT84+'DCF Caylloma'!AT104),IF(AND('DCF Caylloma'!AT104&gt;=0,'DCF Lindero'!AT66&gt;=0,'DCF Yaramoko'!AT70&gt;=0,'DCF Seguela'!AP64&gt;=0),('DCF Seguela'!AP64*'DCF Seguela'!AP65+'DCF Yaramoko'!AT70*'DCF Yaramoko'!AT71+'DCF Lindero'!AT66*'DCF Lindero'!AT67+'DCF Caylloma'!AT104*'DCF Caylloma'!AT106)/('DCF Caylloma'!AT104+'DCF Lindero'!AT66+'DCF Yaramoko'!AT70+'DCF Seguela'!AP64),IF(AND('DCF Seguela'!AP64&gt;=0,'DCF Yaramoko'!AT70&gt;=0,'DCF Lindero'!AT66&gt;=0,'DCF San Jose'!AT84&gt;=0),('DCF San Jose'!AT84*'DCF San Jose'!AT86+'DCF Lindero'!AT66*'DCF Lindero'!AT67+'DCF Yaramoko'!AT70*'DCF Yaramoko'!AT71+'DCF Seguela'!AP64*'DCF Seguela'!AP65)/('DCF Seguela'!AP64+'DCF Yaramoko'!AT70+'DCF Lindero'!AT66+'DCF San Jose'!AT84),IF(AND('DCF Lindero'!AT66&gt;=0,'DCF Yaramoko'!AT70&gt;=0,'DCF Seguela'!AP64&gt;=0),('DCF Seguela'!AP64*'DCF Seguela'!AP65+'DCF Yaramoko'!AT70*'DCF Yaramoko'!AT71+'DCF Lindero'!AT66*'DCF Lindero'!AT67)/('DCF Lindero'!AT66+'DCF Yaramoko'!AT70+'DCF Seguela'!AP64),IF(AND('DCF San Jose'!AT84&gt;=0,'DCF Yaramoko'!AT70&gt;=0,'DCF Seguela'!AP64&gt;=0),('DCF Seguela'!AP64*'DCF Seguela'!AP65+'DCF Yaramoko'!AT70*'DCF Yaramoko'!AT71+'DCF San Jose'!AT84*'DCF San Jose'!AT86)/('DCF San Jose'!AT84+'DCF Yaramoko'!AT70+'DCF Seguela'!AP64),IF(AND('DCF San Jose'!AT84&gt;=0,'DCF Lindero'!AT66&gt;=0,'DCF Seguela'!AP64&gt;=0),('DCF Seguela'!AP64*'DCF Seguela'!AP65+'DCF Lindero'!AT66*'DCF Lindero'!AT67+'DCF San Jose'!AT84*'DCF San Jose'!AT86)/('DCF San Jose'!AT84+'DCF Lindero'!AT66+'DCF Seguela'!AP64),IF(AND('DCF Yaramoko'!AT70&gt;=0,'DCF Lindero'!AT66&gt;=0,'DCF San Jose'!AT84&gt;=0),('DCF San Jose'!AT84*'DCF San Jose'!AT86+'DCF Lindero'!AT66*'DCF Lindero'!AT67+'DCF Yaramoko'!AT70*'DCF Yaramoko'!AT71)/('DCF Yaramoko'!AT70+'DCF Lindero'!AT66+'DCF San Jose'!AT84),IF(AND('DCF Caylloma'!AT104&gt;=0,'DCF Yaramoko'!AT70&gt;=0,'DCF Seguela'!AP64&gt;=0),('DCF Seguela'!AP64*'DCF Seguela'!AP65+'DCF Yaramoko'!AT70*'DCF Yaramoko'!AT71+'DCF Caylloma'!AT104*'DCF Caylloma'!AT106)/('DCF Caylloma'!AT104+'DCF Yaramoko'!AT70+'DCF Seguela'!AP64),IF(AND('DCF Caylloma'!AT104&gt;=0,'DCF Lindero'!AT66&gt;=0,'DCF Seguela'!AP64&gt;=0),('DCF Seguela'!AP64*'DCF Seguela'!AP65+'DCF Lindero'!AT66*'DCF Lindero'!AT67+'DCF Caylloma'!AT104*'DCF Caylloma'!AT106)/('DCF Caylloma'!AT104+'DCF Lindero'!AT66+'DCF Seguela'!AP64),IF(AND('DCF Caylloma'!AT104&gt;=0,'DCF Lindero'!AT66&gt;=0,'DCF Yaramoko'!AT70&gt;=0),('DCF Yaramoko'!AT70*'DCF Yaramoko'!AT71+'DCF Lindero'!AT66*'DCF Lindero'!AT67+'DCF Caylloma'!AT104*'DCF Caylloma'!AT106)/('DCF Caylloma'!AT104+'DCF Lindero'!AT66+'DCF Yaramoko'!AT70),IF(AND('DCF Seguela'!AP64&gt;=0,'DCF San Jose'!AT84&gt;=0,'DCF Caylloma'!AT104&gt;=0),('DCF Caylloma'!AT104*'DCF Caylloma'!AT106+'DCF San Jose'!AT84*'DCF San Jose'!AT86+'DCF Seguela'!AP64*'DCF Seguela'!AP65)/('DCF Seguela'!AP64+'DCF San Jose'!AT84+'DCF Caylloma'!AT104),IF(AND('DCF Caylloma'!AT104&gt;=0,'DCF San Jose'!AT84&gt;=0,'DCF Yaramoko'!AT70&gt;=0),('DCF Yaramoko'!AT70*'DCF Yaramoko'!AT71+'DCF San Jose'!AT84*'DCF San Jose'!AT86+'DCF Caylloma'!AT104*'DCF Caylloma'!AT106)/('DCF Caylloma'!AT104+'DCF San Jose'!AT84+'DCF Yaramoko'!AT70),IF(AND('DCF Lindero'!AT66&gt;=0,'DCF San Jose'!AT84&gt;=0,'DCF Caylloma'!AT104&gt;=0),('DCF Caylloma'!AT104*'DCF Caylloma'!AT106+'DCF San Jose'!AT84*'DCF San Jose'!AT86+'DCF Lindero'!AT66*'DCF Lindero'!AT67)/('DCF Lindero'!AT66+'DCF San Jose'!AT84+'DCF Caylloma'!AT104),IF(AND('DCF Seguela'!AP64&gt;=0,'DCF Yaramoko'!AT70&gt;=0),('DCF Yaramoko'!AT70*'DCF Yaramoko'!AT71+'DCF Seguela'!AP64*'DCF Seguela'!AP65)/('DCF Seguela'!AP64+'DCF Yaramoko'!AT70),IF(AND('DCF Yaramoko'!AT70&gt;=0,'DCF Lindero'!AT66&gt;=0),('DCF Lindero'!AT66*'DCF Lindero'!AT67+'DCF Yaramoko'!AT70*'DCF Yaramoko'!AT71)/('DCF Yaramoko'!AT70+'DCF Lindero'!AT66),IF(AND('DCF Yaramoko'!AT70&gt;=0,'DCF San Jose'!AT84&gt;=0),('DCF San Jose'!AT84*'DCF San Jose'!AT86+'DCF Yaramoko'!AT70*'DCF Yaramoko'!AT71)/('DCF Yaramoko'!AT70+'DCF San Jose'!AT84),IF(AND('DCF Yaramoko'!AT70&gt;=0,'DCF Caylloma'!AT104&gt;=0),('DCF Caylloma'!AT104*'DCF Caylloma'!AT106+'DCF Yaramoko'!AT70*'DCF Yaramoko'!AT71)/('DCF Yaramoko'!AT70+'DCF Caylloma'!AT104),IF(AND('DCF Caylloma'!AT104&gt;=0,'DCF San Jose'!AT84&gt;=0),('DCF San Jose'!AT84*'DCF San Jose'!AT86+'DCF Caylloma'!AT104*'DCF Caylloma'!AT106)/('DCF Caylloma'!AT104+'DCF San Jose'!AT84),IF(AND('DCF Caylloma'!AT104&gt;=0,'DCF Lindero'!AT66&gt;=0),('DCF Lindero'!AT66*'DCF Lindero'!AT67+'DCF Caylloma'!AT104*'DCF Caylloma'!AT106)/('DCF Caylloma'!AT104+'DCF Lindero'!AT66),IF(AND('DCF Caylloma'!AT104&gt;=0,'DCF Seguela'!AP64&gt;=0),('DCF Seguela'!AP64*'DCF Seguela'!AP65+'DCF Caylloma'!AT104*'DCF Caylloma'!AT106)/('DCF Caylloma'!AT104+'DCF Seguela'!AP64),IF(AND('DCF San Jose'!AT84&gt;=0,'DCF Lindero'!AT66&gt;=0),('DCF Lindero'!AT66*'DCF Lindero'!AT67+'DCF San Jose'!AT84*'DCF San Jose'!AT86)/('DCF San Jose'!AT84+'DCF Lindero'!AT66),IF(AND('DCF San Jose'!AT84&gt;=0,'DCF Seguela'!AP64&gt;=0),('DCF Seguela'!AP64*'DCF Seguela'!AP65+'DCF San Jose'!AT84*'DCF San Jose'!AT86)/('DCF San Jose'!AT84+'DCF Seguela'!AP64),IF(AND('DCF Lindero'!AT66&gt;=0,'DCF Seguela'!AP64&gt;=0),('DCF Seguela'!AP64*'DCF Seguela'!AP65+'DCF Lindero'!AT66*'DCF Lindero'!AT67)/('DCF Lindero'!AT66+'DCF Seguela'!AP64),IF('DCF Seguela'!AP64&gt;=0,'DCF Seguela'!AP65,IF('DCF Yaramoko'!AS70&gt;=0,'DCF Yaramoko'!AS71,IF('DCF Lindero'!AT66&gt;=0,'DCF Lindero'!AT67,IF('DCF San Jose'!AT84&gt;=0,'DCF San Jose'!AT86,IF('DCF Caylloma'!AT104&gt;=0,'DCF Caylloma'!AT106,0))))))))))))))))))))))))))))))))</f>
        <v>0</v>
      </c>
      <c r="AU118" s="28">
        <f>IF(AND('DCF Caylloma'!AU104&lt;=0,'DCF San Jose'!AU84&lt;=0,'DCF Lindero'!AU66&lt;=0,'DCF Yaramoko'!AU70&lt;=0,'DCF Seguela'!AQ64&lt;=0),0,IF(AND('DCF Caylloma'!AU104&gt;=0,'DCF San Jose'!AU84&gt;=0,'DCF Lindero'!AU66&gt;=0,'DCF Yaramoko'!AU70&gt;=0,'DCF Seguela'!AQ64&gt;=0),('DCF Seguela'!AQ64*'DCF Seguela'!AQ65+'DCF Yaramoko'!AU70*'DCF Yaramoko'!AU71+'DCF Lindero'!AU66*'DCF Lindero'!AU67+'DCF San Jose'!AU84*'DCF San Jose'!AU86+'DCF Caylloma'!AU104*'DCF Caylloma'!AU106)/('DCF Caylloma'!AU104+'DCF San Jose'!AU84+'DCF Lindero'!AU66+'DCF Yaramoko'!AU70+'DCF Seguela'!AQ64),IF(AND('DCF Caylloma'!AU104&gt;=0,'DCF San Jose'!AU84&gt;=0,'DCF Lindero'!AU66&gt;=0,'DCF Yaramoko'!AU70&gt;=0),('DCF Yaramoko'!AU70*'DCF Yaramoko'!AU71+'DCF Lindero'!AU66*'DCF Lindero'!AU67+'DCF San Jose'!AU84*'DCF San Jose'!AU86+'DCF Caylloma'!AU104*'DCF Caylloma'!AU106)/('DCF Caylloma'!AU104+'DCF San Jose'!AU84+'DCF Lindero'!AU66+'DCF Yaramoko'!AU70),IF(AND('DCF Caylloma'!AU104&gt;=0,'DCF San Jose'!AU84&gt;=0,'DCF Lindero'!AU66&gt;=0,'DCF Seguela'!AQ64&gt;=0),('DCF Seguela'!AQ64*'DCF Seguela'!AQ65+'DCF Lindero'!AU66*'DCF Lindero'!AU67+'DCF San Jose'!AU84*'DCF San Jose'!AU86+'DCF Caylloma'!AU104*'DCF Caylloma'!AU106)/('DCF Caylloma'!AU104+'DCF San Jose'!AU84+'DCF Lindero'!AU66+'DCF Seguela'!AQ64),IF(AND('DCF Seguela'!AQ64&gt;=0,'DCF Yaramoko'!AU70&gt;=0,'DCF San Jose'!AU84&gt;=0,'DCF Caylloma'!AU104&gt;=0),('DCF Caylloma'!AU104*'DCF Caylloma'!AU106+'DCF San Jose'!AU84*'DCF San Jose'!AU86+'DCF Yaramoko'!AU70*'DCF Yaramoko'!AU71+'DCF Seguela'!AQ64*'DCF Seguela'!AQ65)/('DCF Seguela'!AQ64+'DCF Yaramoko'!AU70+'DCF San Jose'!AU84+'DCF Caylloma'!AU104),IF(AND('DCF Caylloma'!AU104&gt;=0,'DCF Lindero'!AU66&gt;=0,'DCF Yaramoko'!AU70&gt;=0,'DCF Seguela'!AQ64&gt;=0),('DCF Seguela'!AQ64*'DCF Seguela'!AQ65+'DCF Yaramoko'!AU70*'DCF Yaramoko'!AU71+'DCF Lindero'!AU66*'DCF Lindero'!AU67+'DCF Caylloma'!AU104*'DCF Caylloma'!AU106)/('DCF Caylloma'!AU104+'DCF Lindero'!AU66+'DCF Yaramoko'!AU70+'DCF Seguela'!AQ64),IF(AND('DCF Seguela'!AQ64&gt;=0,'DCF Yaramoko'!AU70&gt;=0,'DCF Lindero'!AU66&gt;=0,'DCF San Jose'!AU84&gt;=0),('DCF San Jose'!AU84*'DCF San Jose'!AU86+'DCF Lindero'!AU66*'DCF Lindero'!AU67+'DCF Yaramoko'!AU70*'DCF Yaramoko'!AU71+'DCF Seguela'!AQ64*'DCF Seguela'!AQ65)/('DCF Seguela'!AQ64+'DCF Yaramoko'!AU70+'DCF Lindero'!AU66+'DCF San Jose'!AU84),IF(AND('DCF Lindero'!AU66&gt;=0,'DCF Yaramoko'!AU70&gt;=0,'DCF Seguela'!AQ64&gt;=0),('DCF Seguela'!AQ64*'DCF Seguela'!AQ65+'DCF Yaramoko'!AU70*'DCF Yaramoko'!AU71+'DCF Lindero'!AU66*'DCF Lindero'!AU67)/('DCF Lindero'!AU66+'DCF Yaramoko'!AU70+'DCF Seguela'!AQ64),IF(AND('DCF San Jose'!AU84&gt;=0,'DCF Yaramoko'!AU70&gt;=0,'DCF Seguela'!AQ64&gt;=0),('DCF Seguela'!AQ64*'DCF Seguela'!AQ65+'DCF Yaramoko'!AU70*'DCF Yaramoko'!AU71+'DCF San Jose'!AU84*'DCF San Jose'!AU86)/('DCF San Jose'!AU84+'DCF Yaramoko'!AU70+'DCF Seguela'!AQ64),IF(AND('DCF San Jose'!AU84&gt;=0,'DCF Lindero'!AU66&gt;=0,'DCF Seguela'!AQ64&gt;=0),('DCF Seguela'!AQ64*'DCF Seguela'!AQ65+'DCF Lindero'!AU66*'DCF Lindero'!AU67+'DCF San Jose'!AU84*'DCF San Jose'!AU86)/('DCF San Jose'!AU84+'DCF Lindero'!AU66+'DCF Seguela'!AQ64),IF(AND('DCF Yaramoko'!AU70&gt;=0,'DCF Lindero'!AU66&gt;=0,'DCF San Jose'!AU84&gt;=0),('DCF San Jose'!AU84*'DCF San Jose'!AU86+'DCF Lindero'!AU66*'DCF Lindero'!AU67+'DCF Yaramoko'!AU70*'DCF Yaramoko'!AU71)/('DCF Yaramoko'!AU70+'DCF Lindero'!AU66+'DCF San Jose'!AU84),IF(AND('DCF Caylloma'!AU104&gt;=0,'DCF Yaramoko'!AU70&gt;=0,'DCF Seguela'!AQ64&gt;=0),('DCF Seguela'!AQ64*'DCF Seguela'!AQ65+'DCF Yaramoko'!AU70*'DCF Yaramoko'!AU71+'DCF Caylloma'!AU104*'DCF Caylloma'!AU106)/('DCF Caylloma'!AU104+'DCF Yaramoko'!AU70+'DCF Seguela'!AQ64),IF(AND('DCF Caylloma'!AU104&gt;=0,'DCF Lindero'!AU66&gt;=0,'DCF Seguela'!AQ64&gt;=0),('DCF Seguela'!AQ64*'DCF Seguela'!AQ65+'DCF Lindero'!AU66*'DCF Lindero'!AU67+'DCF Caylloma'!AU104*'DCF Caylloma'!AU106)/('DCF Caylloma'!AU104+'DCF Lindero'!AU66+'DCF Seguela'!AQ64),IF(AND('DCF Caylloma'!AU104&gt;=0,'DCF Lindero'!AU66&gt;=0,'DCF Yaramoko'!AU70&gt;=0),('DCF Yaramoko'!AU70*'DCF Yaramoko'!AU71+'DCF Lindero'!AU66*'DCF Lindero'!AU67+'DCF Caylloma'!AU104*'DCF Caylloma'!AU106)/('DCF Caylloma'!AU104+'DCF Lindero'!AU66+'DCF Yaramoko'!AU70),IF(AND('DCF Seguela'!AQ64&gt;=0,'DCF San Jose'!AU84&gt;=0,'DCF Caylloma'!AU104&gt;=0),('DCF Caylloma'!AU104*'DCF Caylloma'!AU106+'DCF San Jose'!AU84*'DCF San Jose'!AU86+'DCF Seguela'!AQ64*'DCF Seguela'!AQ65)/('DCF Seguela'!AQ64+'DCF San Jose'!AU84+'DCF Caylloma'!AU104),IF(AND('DCF Caylloma'!AU104&gt;=0,'DCF San Jose'!AU84&gt;=0,'DCF Yaramoko'!AU70&gt;=0),('DCF Yaramoko'!AU70*'DCF Yaramoko'!AU71+'DCF San Jose'!AU84*'DCF San Jose'!AU86+'DCF Caylloma'!AU104*'DCF Caylloma'!AU106)/('DCF Caylloma'!AU104+'DCF San Jose'!AU84+'DCF Yaramoko'!AU70),IF(AND('DCF Lindero'!AU66&gt;=0,'DCF San Jose'!AU84&gt;=0,'DCF Caylloma'!AU104&gt;=0),('DCF Caylloma'!AU104*'DCF Caylloma'!AU106+'DCF San Jose'!AU84*'DCF San Jose'!AU86+'DCF Lindero'!AU66*'DCF Lindero'!AU67)/('DCF Lindero'!AU66+'DCF San Jose'!AU84+'DCF Caylloma'!AU104),IF(AND('DCF Seguela'!AQ64&gt;=0,'DCF Yaramoko'!AU70&gt;=0),('DCF Yaramoko'!AU70*'DCF Yaramoko'!AU71+'DCF Seguela'!AQ64*'DCF Seguela'!AQ65)/('DCF Seguela'!AQ64+'DCF Yaramoko'!AU70),IF(AND('DCF Yaramoko'!AU70&gt;=0,'DCF Lindero'!AU66&gt;=0),('DCF Lindero'!AU66*'DCF Lindero'!AU67+'DCF Yaramoko'!AU70*'DCF Yaramoko'!AU71)/('DCF Yaramoko'!AU70+'DCF Lindero'!AU66),IF(AND('DCF Yaramoko'!AU70&gt;=0,'DCF San Jose'!AU84&gt;=0),('DCF San Jose'!AU84*'DCF San Jose'!AU86+'DCF Yaramoko'!AU70*'DCF Yaramoko'!AU71)/('DCF Yaramoko'!AU70+'DCF San Jose'!AU84),IF(AND('DCF Yaramoko'!AU70&gt;=0,'DCF Caylloma'!AU104&gt;=0),('DCF Caylloma'!AU104*'DCF Caylloma'!AU106+'DCF Yaramoko'!AU70*'DCF Yaramoko'!AU71)/('DCF Yaramoko'!AU70+'DCF Caylloma'!AU104),IF(AND('DCF Caylloma'!AU104&gt;=0,'DCF San Jose'!AU84&gt;=0),('DCF San Jose'!AU84*'DCF San Jose'!AU86+'DCF Caylloma'!AU104*'DCF Caylloma'!AU106)/('DCF Caylloma'!AU104+'DCF San Jose'!AU84),IF(AND('DCF Caylloma'!AU104&gt;=0,'DCF Lindero'!AU66&gt;=0),('DCF Lindero'!AU66*'DCF Lindero'!AU67+'DCF Caylloma'!AU104*'DCF Caylloma'!AU106)/('DCF Caylloma'!AU104+'DCF Lindero'!AU66),IF(AND('DCF Caylloma'!AU104&gt;=0,'DCF Seguela'!AQ64&gt;=0),('DCF Seguela'!AQ64*'DCF Seguela'!AQ65+'DCF Caylloma'!AU104*'DCF Caylloma'!AU106)/('DCF Caylloma'!AU104+'DCF Seguela'!AQ64),IF(AND('DCF San Jose'!AU84&gt;=0,'DCF Lindero'!AU66&gt;=0),('DCF Lindero'!AU66*'DCF Lindero'!AU67+'DCF San Jose'!AU84*'DCF San Jose'!AU86)/('DCF San Jose'!AU84+'DCF Lindero'!AU66),IF(AND('DCF San Jose'!AU84&gt;=0,'DCF Seguela'!AQ64&gt;=0),('DCF Seguela'!AQ64*'DCF Seguela'!AQ65+'DCF San Jose'!AU84*'DCF San Jose'!AU86)/('DCF San Jose'!AU84+'DCF Seguela'!AQ64),IF(AND('DCF Lindero'!AU66&gt;=0,'DCF Seguela'!AQ64&gt;=0),('DCF Seguela'!AQ64*'DCF Seguela'!AQ65+'DCF Lindero'!AU66*'DCF Lindero'!AU67)/('DCF Lindero'!AU66+'DCF Seguela'!AQ64),IF('DCF Seguela'!AQ64&gt;=0,'DCF Seguela'!AQ65,IF('DCF Yaramoko'!AT70&gt;=0,'DCF Yaramoko'!AT71,IF('DCF Lindero'!AU66&gt;=0,'DCF Lindero'!AU67,IF('DCF San Jose'!AU84&gt;=0,'DCF San Jose'!AU86,IF('DCF Caylloma'!AU104&gt;=0,'DCF Caylloma'!AU106,0))))))))))))))))))))))))))))))))</f>
        <v>0</v>
      </c>
      <c r="AV118" s="28">
        <f>IF(AND('DCF Caylloma'!AV104&lt;=0,'DCF San Jose'!AV84&lt;=0,'DCF Lindero'!AV66&lt;=0,'DCF Yaramoko'!AV70&lt;=0,'DCF Seguela'!AR64&lt;=0),0,IF(AND('DCF Caylloma'!AV104&gt;=0,'DCF San Jose'!AV84&gt;=0,'DCF Lindero'!AV66&gt;=0,'DCF Yaramoko'!AV70&gt;=0,'DCF Seguela'!AR64&gt;=0),('DCF Seguela'!AR64*'DCF Seguela'!AR65+'DCF Yaramoko'!AV70*'DCF Yaramoko'!AV71+'DCF Lindero'!AV66*'DCF Lindero'!AV67+'DCF San Jose'!AV84*'DCF San Jose'!AV86+'DCF Caylloma'!AV104*'DCF Caylloma'!AV106)/('DCF Caylloma'!AV104+'DCF San Jose'!AV84+'DCF Lindero'!AV66+'DCF Yaramoko'!AV70+'DCF Seguela'!AR64),IF(AND('DCF Caylloma'!AV104&gt;=0,'DCF San Jose'!AV84&gt;=0,'DCF Lindero'!AV66&gt;=0,'DCF Yaramoko'!AV70&gt;=0),('DCF Yaramoko'!AV70*'DCF Yaramoko'!AV71+'DCF Lindero'!AV66*'DCF Lindero'!AV67+'DCF San Jose'!AV84*'DCF San Jose'!AV86+'DCF Caylloma'!AV104*'DCF Caylloma'!AV106)/('DCF Caylloma'!AV104+'DCF San Jose'!AV84+'DCF Lindero'!AV66+'DCF Yaramoko'!AV70),IF(AND('DCF Caylloma'!AV104&gt;=0,'DCF San Jose'!AV84&gt;=0,'DCF Lindero'!AV66&gt;=0,'DCF Seguela'!AR64&gt;=0),('DCF Seguela'!AR64*'DCF Seguela'!AR65+'DCF Lindero'!AV66*'DCF Lindero'!AV67+'DCF San Jose'!AV84*'DCF San Jose'!AV86+'DCF Caylloma'!AV104*'DCF Caylloma'!AV106)/('DCF Caylloma'!AV104+'DCF San Jose'!AV84+'DCF Lindero'!AV66+'DCF Seguela'!AR64),IF(AND('DCF Seguela'!AR64&gt;=0,'DCF Yaramoko'!AV70&gt;=0,'DCF San Jose'!AV84&gt;=0,'DCF Caylloma'!AV104&gt;=0),('DCF Caylloma'!AV104*'DCF Caylloma'!AV106+'DCF San Jose'!AV84*'DCF San Jose'!AV86+'DCF Yaramoko'!AV70*'DCF Yaramoko'!AV71+'DCF Seguela'!AR64*'DCF Seguela'!AR65)/('DCF Seguela'!AR64+'DCF Yaramoko'!AV70+'DCF San Jose'!AV84+'DCF Caylloma'!AV104),IF(AND('DCF Caylloma'!AV104&gt;=0,'DCF Lindero'!AV66&gt;=0,'DCF Yaramoko'!AV70&gt;=0,'DCF Seguela'!AR64&gt;=0),('DCF Seguela'!AR64*'DCF Seguela'!AR65+'DCF Yaramoko'!AV70*'DCF Yaramoko'!AV71+'DCF Lindero'!AV66*'DCF Lindero'!AV67+'DCF Caylloma'!AV104*'DCF Caylloma'!AV106)/('DCF Caylloma'!AV104+'DCF Lindero'!AV66+'DCF Yaramoko'!AV70+'DCF Seguela'!AR64),IF(AND('DCF Seguela'!AR64&gt;=0,'DCF Yaramoko'!AV70&gt;=0,'DCF Lindero'!AV66&gt;=0,'DCF San Jose'!AV84&gt;=0),('DCF San Jose'!AV84*'DCF San Jose'!AV86+'DCF Lindero'!AV66*'DCF Lindero'!AV67+'DCF Yaramoko'!AV70*'DCF Yaramoko'!AV71+'DCF Seguela'!AR64*'DCF Seguela'!AR65)/('DCF Seguela'!AR64+'DCF Yaramoko'!AV70+'DCF Lindero'!AV66+'DCF San Jose'!AV84),IF(AND('DCF Lindero'!AV66&gt;=0,'DCF Yaramoko'!AV70&gt;=0,'DCF Seguela'!AR64&gt;=0),('DCF Seguela'!AR64*'DCF Seguela'!AR65+'DCF Yaramoko'!AV70*'DCF Yaramoko'!AV71+'DCF Lindero'!AV66*'DCF Lindero'!AV67)/('DCF Lindero'!AV66+'DCF Yaramoko'!AV70+'DCF Seguela'!AR64),IF(AND('DCF San Jose'!AV84&gt;=0,'DCF Yaramoko'!AV70&gt;=0,'DCF Seguela'!AR64&gt;=0),('DCF Seguela'!AR64*'DCF Seguela'!AR65+'DCF Yaramoko'!AV70*'DCF Yaramoko'!AV71+'DCF San Jose'!AV84*'DCF San Jose'!AV86)/('DCF San Jose'!AV84+'DCF Yaramoko'!AV70+'DCF Seguela'!AR64),IF(AND('DCF San Jose'!AV84&gt;=0,'DCF Lindero'!AV66&gt;=0,'DCF Seguela'!AR64&gt;=0),('DCF Seguela'!AR64*'DCF Seguela'!AR65+'DCF Lindero'!AV66*'DCF Lindero'!AV67+'DCF San Jose'!AV84*'DCF San Jose'!AV86)/('DCF San Jose'!AV84+'DCF Lindero'!AV66+'DCF Seguela'!AR64),IF(AND('DCF Yaramoko'!AV70&gt;=0,'DCF Lindero'!AV66&gt;=0,'DCF San Jose'!AV84&gt;=0),('DCF San Jose'!AV84*'DCF San Jose'!AV86+'DCF Lindero'!AV66*'DCF Lindero'!AV67+'DCF Yaramoko'!AV70*'DCF Yaramoko'!AV71)/('DCF Yaramoko'!AV70+'DCF Lindero'!AV66+'DCF San Jose'!AV84),IF(AND('DCF Caylloma'!AV104&gt;=0,'DCF Yaramoko'!AV70&gt;=0,'DCF Seguela'!AR64&gt;=0),('DCF Seguela'!AR64*'DCF Seguela'!AR65+'DCF Yaramoko'!AV70*'DCF Yaramoko'!AV71+'DCF Caylloma'!AV104*'DCF Caylloma'!AV106)/('DCF Caylloma'!AV104+'DCF Yaramoko'!AV70+'DCF Seguela'!AR64),IF(AND('DCF Caylloma'!AV104&gt;=0,'DCF Lindero'!AV66&gt;=0,'DCF Seguela'!AR64&gt;=0),('DCF Seguela'!AR64*'DCF Seguela'!AR65+'DCF Lindero'!AV66*'DCF Lindero'!AV67+'DCF Caylloma'!AV104*'DCF Caylloma'!AV106)/('DCF Caylloma'!AV104+'DCF Lindero'!AV66+'DCF Seguela'!AR64),IF(AND('DCF Caylloma'!AV104&gt;=0,'DCF Lindero'!AV66&gt;=0,'DCF Yaramoko'!AV70&gt;=0),('DCF Yaramoko'!AV70*'DCF Yaramoko'!AV71+'DCF Lindero'!AV66*'DCF Lindero'!AV67+'DCF Caylloma'!AV104*'DCF Caylloma'!AV106)/('DCF Caylloma'!AV104+'DCF Lindero'!AV66+'DCF Yaramoko'!AV70),IF(AND('DCF Seguela'!AR64&gt;=0,'DCF San Jose'!AV84&gt;=0,'DCF Caylloma'!AV104&gt;=0),('DCF Caylloma'!AV104*'DCF Caylloma'!AV106+'DCF San Jose'!AV84*'DCF San Jose'!AV86+'DCF Seguela'!AR64*'DCF Seguela'!AR65)/('DCF Seguela'!AR64+'DCF San Jose'!AV84+'DCF Caylloma'!AV104),IF(AND('DCF Caylloma'!AV104&gt;=0,'DCF San Jose'!AV84&gt;=0,'DCF Yaramoko'!AV70&gt;=0),('DCF Yaramoko'!AV70*'DCF Yaramoko'!AV71+'DCF San Jose'!AV84*'DCF San Jose'!AV86+'DCF Caylloma'!AV104*'DCF Caylloma'!AV106)/('DCF Caylloma'!AV104+'DCF San Jose'!AV84+'DCF Yaramoko'!AV70),IF(AND('DCF Lindero'!AV66&gt;=0,'DCF San Jose'!AV84&gt;=0,'DCF Caylloma'!AV104&gt;=0),('DCF Caylloma'!AV104*'DCF Caylloma'!AV106+'DCF San Jose'!AV84*'DCF San Jose'!AV86+'DCF Lindero'!AV66*'DCF Lindero'!AV67)/('DCF Lindero'!AV66+'DCF San Jose'!AV84+'DCF Caylloma'!AV104),IF(AND('DCF Seguela'!AR64&gt;=0,'DCF Yaramoko'!AV70&gt;=0),('DCF Yaramoko'!AV70*'DCF Yaramoko'!AV71+'DCF Seguela'!AR64*'DCF Seguela'!AR65)/('DCF Seguela'!AR64+'DCF Yaramoko'!AV70),IF(AND('DCF Yaramoko'!AV70&gt;=0,'DCF Lindero'!AV66&gt;=0),('DCF Lindero'!AV66*'DCF Lindero'!AV67+'DCF Yaramoko'!AV70*'DCF Yaramoko'!AV71)/('DCF Yaramoko'!AV70+'DCF Lindero'!AV66),IF(AND('DCF Yaramoko'!AV70&gt;=0,'DCF San Jose'!AV84&gt;=0),('DCF San Jose'!AV84*'DCF San Jose'!AV86+'DCF Yaramoko'!AV70*'DCF Yaramoko'!AV71)/('DCF Yaramoko'!AV70+'DCF San Jose'!AV84),IF(AND('DCF Yaramoko'!AV70&gt;=0,'DCF Caylloma'!AV104&gt;=0),('DCF Caylloma'!AV104*'DCF Caylloma'!AV106+'DCF Yaramoko'!AV70*'DCF Yaramoko'!AV71)/('DCF Yaramoko'!AV70+'DCF Caylloma'!AV104),IF(AND('DCF Caylloma'!AV104&gt;=0,'DCF San Jose'!AV84&gt;=0),('DCF San Jose'!AV84*'DCF San Jose'!AV86+'DCF Caylloma'!AV104*'DCF Caylloma'!AV106)/('DCF Caylloma'!AV104+'DCF San Jose'!AV84),IF(AND('DCF Caylloma'!AV104&gt;=0,'DCF Lindero'!AV66&gt;=0),('DCF Lindero'!AV66*'DCF Lindero'!AV67+'DCF Caylloma'!AV104*'DCF Caylloma'!AV106)/('DCF Caylloma'!AV104+'DCF Lindero'!AV66),IF(AND('DCF Caylloma'!AV104&gt;=0,'DCF Seguela'!AR64&gt;=0),('DCF Seguela'!AR64*'DCF Seguela'!AR65+'DCF Caylloma'!AV104*'DCF Caylloma'!AV106)/('DCF Caylloma'!AV104+'DCF Seguela'!AR64),IF(AND('DCF San Jose'!AV84&gt;=0,'DCF Lindero'!AV66&gt;=0),('DCF Lindero'!AV66*'DCF Lindero'!AV67+'DCF San Jose'!AV84*'DCF San Jose'!AV86)/('DCF San Jose'!AV84+'DCF Lindero'!AV66),IF(AND('DCF San Jose'!AV84&gt;=0,'DCF Seguela'!AR64&gt;=0),('DCF Seguela'!AR64*'DCF Seguela'!AR65+'DCF San Jose'!AV84*'DCF San Jose'!AV86)/('DCF San Jose'!AV84+'DCF Seguela'!AR64),IF(AND('DCF Lindero'!AV66&gt;=0,'DCF Seguela'!AR64&gt;=0),('DCF Seguela'!AR64*'DCF Seguela'!AR65+'DCF Lindero'!AV66*'DCF Lindero'!AV67)/('DCF Lindero'!AV66+'DCF Seguela'!AR64),IF('DCF Seguela'!AR64&gt;=0,'DCF Seguela'!AR65,IF('DCF Yaramoko'!AU70&gt;=0,'DCF Yaramoko'!AU71,IF('DCF Lindero'!AV66&gt;=0,'DCF Lindero'!AV67,IF('DCF San Jose'!AV84&gt;=0,'DCF San Jose'!AV86,IF('DCF Caylloma'!AV104&gt;=0,'DCF Caylloma'!AV106,0))))))))))))))))))))))))))))))))</f>
        <v>0</v>
      </c>
      <c r="AW118" s="28">
        <f>IF(AND('DCF Caylloma'!AW104&lt;=0,'DCF San Jose'!AW84&lt;=0,'DCF Lindero'!AW66&lt;=0,'DCF Yaramoko'!AW70&lt;=0,'DCF Seguela'!AS64&lt;=0),0,IF(AND('DCF Caylloma'!AW104&gt;=0,'DCF San Jose'!AW84&gt;=0,'DCF Lindero'!AW66&gt;=0,'DCF Yaramoko'!AW70&gt;=0,'DCF Seguela'!AS64&gt;=0),('DCF Seguela'!AS64*'DCF Seguela'!AS65+'DCF Yaramoko'!AW70*'DCF Yaramoko'!AW71+'DCF Lindero'!AW66*'DCF Lindero'!AW67+'DCF San Jose'!AW84*'DCF San Jose'!AW86+'DCF Caylloma'!AW104*'DCF Caylloma'!AW106)/('DCF Caylloma'!AW104+'DCF San Jose'!AW84+'DCF Lindero'!AW66+'DCF Yaramoko'!AW70+'DCF Seguela'!AS64),IF(AND('DCF Caylloma'!AW104&gt;=0,'DCF San Jose'!AW84&gt;=0,'DCF Lindero'!AW66&gt;=0,'DCF Yaramoko'!AW70&gt;=0),('DCF Yaramoko'!AW70*'DCF Yaramoko'!AW71+'DCF Lindero'!AW66*'DCF Lindero'!AW67+'DCF San Jose'!AW84*'DCF San Jose'!AW86+'DCF Caylloma'!AW104*'DCF Caylloma'!AW106)/('DCF Caylloma'!AW104+'DCF San Jose'!AW84+'DCF Lindero'!AW66+'DCF Yaramoko'!AW70),IF(AND('DCF Caylloma'!AW104&gt;=0,'DCF San Jose'!AW84&gt;=0,'DCF Lindero'!AW66&gt;=0,'DCF Seguela'!AS64&gt;=0),('DCF Seguela'!AS64*'DCF Seguela'!AS65+'DCF Lindero'!AW66*'DCF Lindero'!AW67+'DCF San Jose'!AW84*'DCF San Jose'!AW86+'DCF Caylloma'!AW104*'DCF Caylloma'!AW106)/('DCF Caylloma'!AW104+'DCF San Jose'!AW84+'DCF Lindero'!AW66+'DCF Seguela'!AS64),IF(AND('DCF Seguela'!AS64&gt;=0,'DCF Yaramoko'!AW70&gt;=0,'DCF San Jose'!AW84&gt;=0,'DCF Caylloma'!AW104&gt;=0),('DCF Caylloma'!AW104*'DCF Caylloma'!AW106+'DCF San Jose'!AW84*'DCF San Jose'!AW86+'DCF Yaramoko'!AW70*'DCF Yaramoko'!AW71+'DCF Seguela'!AS64*'DCF Seguela'!AS65)/('DCF Seguela'!AS64+'DCF Yaramoko'!AW70+'DCF San Jose'!AW84+'DCF Caylloma'!AW104),IF(AND('DCF Caylloma'!AW104&gt;=0,'DCF Lindero'!AW66&gt;=0,'DCF Yaramoko'!AW70&gt;=0,'DCF Seguela'!AS64&gt;=0),('DCF Seguela'!AS64*'DCF Seguela'!AS65+'DCF Yaramoko'!AW70*'DCF Yaramoko'!AW71+'DCF Lindero'!AW66*'DCF Lindero'!AW67+'DCF Caylloma'!AW104*'DCF Caylloma'!AW106)/('DCF Caylloma'!AW104+'DCF Lindero'!AW66+'DCF Yaramoko'!AW70+'DCF Seguela'!AS64),IF(AND('DCF Seguela'!AS64&gt;=0,'DCF Yaramoko'!AW70&gt;=0,'DCF Lindero'!AW66&gt;=0,'DCF San Jose'!AW84&gt;=0),('DCF San Jose'!AW84*'DCF San Jose'!AW86+'DCF Lindero'!AW66*'DCF Lindero'!AW67+'DCF Yaramoko'!AW70*'DCF Yaramoko'!AW71+'DCF Seguela'!AS64*'DCF Seguela'!AS65)/('DCF Seguela'!AS64+'DCF Yaramoko'!AW70+'DCF Lindero'!AW66+'DCF San Jose'!AW84),IF(AND('DCF Lindero'!AW66&gt;=0,'DCF Yaramoko'!AW70&gt;=0,'DCF Seguela'!AS64&gt;=0),('DCF Seguela'!AS64*'DCF Seguela'!AS65+'DCF Yaramoko'!AW70*'DCF Yaramoko'!AW71+'DCF Lindero'!AW66*'DCF Lindero'!AW67)/('DCF Lindero'!AW66+'DCF Yaramoko'!AW70+'DCF Seguela'!AS64),IF(AND('DCF San Jose'!AW84&gt;=0,'DCF Yaramoko'!AW70&gt;=0,'DCF Seguela'!AS64&gt;=0),('DCF Seguela'!AS64*'DCF Seguela'!AS65+'DCF Yaramoko'!AW70*'DCF Yaramoko'!AW71+'DCF San Jose'!AW84*'DCF San Jose'!AW86)/('DCF San Jose'!AW84+'DCF Yaramoko'!AW70+'DCF Seguela'!AS64),IF(AND('DCF San Jose'!AW84&gt;=0,'DCF Lindero'!AW66&gt;=0,'DCF Seguela'!AS64&gt;=0),('DCF Seguela'!AS64*'DCF Seguela'!AS65+'DCF Lindero'!AW66*'DCF Lindero'!AW67+'DCF San Jose'!AW84*'DCF San Jose'!AW86)/('DCF San Jose'!AW84+'DCF Lindero'!AW66+'DCF Seguela'!AS64),IF(AND('DCF Yaramoko'!AW70&gt;=0,'DCF Lindero'!AW66&gt;=0,'DCF San Jose'!AW84&gt;=0),('DCF San Jose'!AW84*'DCF San Jose'!AW86+'DCF Lindero'!AW66*'DCF Lindero'!AW67+'DCF Yaramoko'!AW70*'DCF Yaramoko'!AW71)/('DCF Yaramoko'!AW70+'DCF Lindero'!AW66+'DCF San Jose'!AW84),IF(AND('DCF Caylloma'!AW104&gt;=0,'DCF Yaramoko'!AW70&gt;=0,'DCF Seguela'!AS64&gt;=0),('DCF Seguela'!AS64*'DCF Seguela'!AS65+'DCF Yaramoko'!AW70*'DCF Yaramoko'!AW71+'DCF Caylloma'!AW104*'DCF Caylloma'!AW106)/('DCF Caylloma'!AW104+'DCF Yaramoko'!AW70+'DCF Seguela'!AS64),IF(AND('DCF Caylloma'!AW104&gt;=0,'DCF Lindero'!AW66&gt;=0,'DCF Seguela'!AS64&gt;=0),('DCF Seguela'!AS64*'DCF Seguela'!AS65+'DCF Lindero'!AW66*'DCF Lindero'!AW67+'DCF Caylloma'!AW104*'DCF Caylloma'!AW106)/('DCF Caylloma'!AW104+'DCF Lindero'!AW66+'DCF Seguela'!AS64),IF(AND('DCF Caylloma'!AW104&gt;=0,'DCF Lindero'!AW66&gt;=0,'DCF Yaramoko'!AW70&gt;=0),('DCF Yaramoko'!AW70*'DCF Yaramoko'!AW71+'DCF Lindero'!AW66*'DCF Lindero'!AW67+'DCF Caylloma'!AW104*'DCF Caylloma'!AW106)/('DCF Caylloma'!AW104+'DCF Lindero'!AW66+'DCF Yaramoko'!AW70),IF(AND('DCF Seguela'!AS64&gt;=0,'DCF San Jose'!AW84&gt;=0,'DCF Caylloma'!AW104&gt;=0),('DCF Caylloma'!AW104*'DCF Caylloma'!AW106+'DCF San Jose'!AW84*'DCF San Jose'!AW86+'DCF Seguela'!AS64*'DCF Seguela'!AS65)/('DCF Seguela'!AS64+'DCF San Jose'!AW84+'DCF Caylloma'!AW104),IF(AND('DCF Caylloma'!AW104&gt;=0,'DCF San Jose'!AW84&gt;=0,'DCF Yaramoko'!AW70&gt;=0),('DCF Yaramoko'!AW70*'DCF Yaramoko'!AW71+'DCF San Jose'!AW84*'DCF San Jose'!AW86+'DCF Caylloma'!AW104*'DCF Caylloma'!AW106)/('DCF Caylloma'!AW104+'DCF San Jose'!AW84+'DCF Yaramoko'!AW70),IF(AND('DCF Lindero'!AW66&gt;=0,'DCF San Jose'!AW84&gt;=0,'DCF Caylloma'!AW104&gt;=0),('DCF Caylloma'!AW104*'DCF Caylloma'!AW106+'DCF San Jose'!AW84*'DCF San Jose'!AW86+'DCF Lindero'!AW66*'DCF Lindero'!AW67)/('DCF Lindero'!AW66+'DCF San Jose'!AW84+'DCF Caylloma'!AW104),IF(AND('DCF Seguela'!AS64&gt;=0,'DCF Yaramoko'!AW70&gt;=0),('DCF Yaramoko'!AW70*'DCF Yaramoko'!AW71+'DCF Seguela'!AS64*'DCF Seguela'!AS65)/('DCF Seguela'!AS64+'DCF Yaramoko'!AW70),IF(AND('DCF Yaramoko'!AW70&gt;=0,'DCF Lindero'!AW66&gt;=0),('DCF Lindero'!AW66*'DCF Lindero'!AW67+'DCF Yaramoko'!AW70*'DCF Yaramoko'!AW71)/('DCF Yaramoko'!AW70+'DCF Lindero'!AW66),IF(AND('DCF Yaramoko'!AW70&gt;=0,'DCF San Jose'!AW84&gt;=0),('DCF San Jose'!AW84*'DCF San Jose'!AW86+'DCF Yaramoko'!AW70*'DCF Yaramoko'!AW71)/('DCF Yaramoko'!AW70+'DCF San Jose'!AW84),IF(AND('DCF Yaramoko'!AW70&gt;=0,'DCF Caylloma'!AW104&gt;=0),('DCF Caylloma'!AW104*'DCF Caylloma'!AW106+'DCF Yaramoko'!AW70*'DCF Yaramoko'!AW71)/('DCF Yaramoko'!AW70+'DCF Caylloma'!AW104),IF(AND('DCF Caylloma'!AW104&gt;=0,'DCF San Jose'!AW84&gt;=0),('DCF San Jose'!AW84*'DCF San Jose'!AW86+'DCF Caylloma'!AW104*'DCF Caylloma'!AW106)/('DCF Caylloma'!AW104+'DCF San Jose'!AW84),IF(AND('DCF Caylloma'!AW104&gt;=0,'DCF Lindero'!AW66&gt;=0),('DCF Lindero'!AW66*'DCF Lindero'!AW67+'DCF Caylloma'!AW104*'DCF Caylloma'!AW106)/('DCF Caylloma'!AW104+'DCF Lindero'!AW66),IF(AND('DCF Caylloma'!AW104&gt;=0,'DCF Seguela'!AS64&gt;=0),('DCF Seguela'!AS64*'DCF Seguela'!AS65+'DCF Caylloma'!AW104*'DCF Caylloma'!AW106)/('DCF Caylloma'!AW104+'DCF Seguela'!AS64),IF(AND('DCF San Jose'!AW84&gt;=0,'DCF Lindero'!AW66&gt;=0),('DCF Lindero'!AW66*'DCF Lindero'!AW67+'DCF San Jose'!AW84*'DCF San Jose'!AW86)/('DCF San Jose'!AW84+'DCF Lindero'!AW66),IF(AND('DCF San Jose'!AW84&gt;=0,'DCF Seguela'!AS64&gt;=0),('DCF Seguela'!AS64*'DCF Seguela'!AS65+'DCF San Jose'!AW84*'DCF San Jose'!AW86)/('DCF San Jose'!AW84+'DCF Seguela'!AS64),IF(AND('DCF Lindero'!AW66&gt;=0,'DCF Seguela'!AS64&gt;=0),('DCF Seguela'!AS64*'DCF Seguela'!AS65+'DCF Lindero'!AW66*'DCF Lindero'!AW67)/('DCF Lindero'!AW66+'DCF Seguela'!AS64),IF('DCF Seguela'!AS64&gt;=0,'DCF Seguela'!AS65,IF('DCF Yaramoko'!AV70&gt;=0,'DCF Yaramoko'!AV71,IF('DCF Lindero'!AW66&gt;=0,'DCF Lindero'!AW67,IF('DCF San Jose'!AW84&gt;=0,'DCF San Jose'!AW86,IF('DCF Caylloma'!AW104&gt;=0,'DCF Caylloma'!AW106,0))))))))))))))))))))))))))))))))</f>
        <v>0</v>
      </c>
      <c r="AX118" s="13"/>
    </row>
    <row r="119" spans="2:50" x14ac:dyDescent="0.25">
      <c r="B119" t="s">
        <v>278</v>
      </c>
      <c r="C119" t="s">
        <v>93</v>
      </c>
      <c r="E119" s="6"/>
      <c r="F119" s="6"/>
      <c r="G119" s="6"/>
      <c r="H119" s="6"/>
      <c r="I119" s="6"/>
      <c r="J119" s="6"/>
      <c r="K119" s="15"/>
      <c r="L119" s="16">
        <f>IF(J117&lt;0,J119-J117,IF(J117-J120=0,J119-J117,IF(J117&gt;=J119,0)))+150393000</f>
        <v>150393000</v>
      </c>
      <c r="M119" s="16">
        <f>IF(L117&lt;0,L119-L117,IF(L117-L120=0,L119-L117,IF(L117&gt;=L119,0)))</f>
        <v>110939394.19914293</v>
      </c>
      <c r="N119" s="16">
        <f t="shared" ref="N119:AW119" si="107">IF(M117&lt;0,M119-M117,IF(M117-M120=0,M119-M117,IF(M117&gt;=M119,0)))</f>
        <v>76641579.925252914</v>
      </c>
      <c r="O119" s="16">
        <f t="shared" si="107"/>
        <v>49757122.72094626</v>
      </c>
      <c r="P119" s="16">
        <f t="shared" si="107"/>
        <v>25367260.424850754</v>
      </c>
      <c r="Q119" s="16">
        <f t="shared" si="107"/>
        <v>0</v>
      </c>
      <c r="R119" s="16">
        <f t="shared" si="107"/>
        <v>0</v>
      </c>
      <c r="S119" s="16">
        <f t="shared" si="107"/>
        <v>0</v>
      </c>
      <c r="T119" s="16">
        <f t="shared" si="107"/>
        <v>0</v>
      </c>
      <c r="U119" s="16">
        <f t="shared" si="107"/>
        <v>0</v>
      </c>
      <c r="V119" s="16">
        <f t="shared" si="107"/>
        <v>0</v>
      </c>
      <c r="W119" s="16">
        <f t="shared" si="107"/>
        <v>0</v>
      </c>
      <c r="X119" s="16">
        <f t="shared" si="107"/>
        <v>0</v>
      </c>
      <c r="Y119" s="16">
        <f t="shared" si="107"/>
        <v>0</v>
      </c>
      <c r="Z119" s="16">
        <f t="shared" si="107"/>
        <v>0</v>
      </c>
      <c r="AA119" s="16">
        <f t="shared" si="107"/>
        <v>0</v>
      </c>
      <c r="AB119" s="16">
        <f t="shared" si="107"/>
        <v>0</v>
      </c>
      <c r="AC119" s="16">
        <f t="shared" si="107"/>
        <v>0</v>
      </c>
      <c r="AD119" s="16">
        <f t="shared" si="107"/>
        <v>0</v>
      </c>
      <c r="AE119" s="16">
        <f t="shared" si="107"/>
        <v>2475765.065806279</v>
      </c>
      <c r="AF119" s="16">
        <f t="shared" si="107"/>
        <v>3024238.2008199468</v>
      </c>
      <c r="AG119" s="16">
        <f t="shared" si="107"/>
        <v>0</v>
      </c>
      <c r="AH119" s="16">
        <f t="shared" si="107"/>
        <v>8106205.0702475635</v>
      </c>
      <c r="AI119" s="16">
        <f t="shared" si="107"/>
        <v>8106205.0702475635</v>
      </c>
      <c r="AJ119" s="16">
        <f t="shared" si="107"/>
        <v>8106205.0702475635</v>
      </c>
      <c r="AK119" s="16">
        <f t="shared" si="107"/>
        <v>8106205.0702475635</v>
      </c>
      <c r="AL119" s="16">
        <f t="shared" si="107"/>
        <v>8106205.0702475635</v>
      </c>
      <c r="AM119" s="16">
        <f t="shared" si="107"/>
        <v>8106205.0702475635</v>
      </c>
      <c r="AN119" s="16">
        <f t="shared" si="107"/>
        <v>8106205.0702475635</v>
      </c>
      <c r="AO119" s="16">
        <f t="shared" si="107"/>
        <v>8106205.0702475635</v>
      </c>
      <c r="AP119" s="16">
        <f t="shared" si="107"/>
        <v>8106205.0702475635</v>
      </c>
      <c r="AQ119" s="16">
        <f t="shared" si="107"/>
        <v>8106205.0702475635</v>
      </c>
      <c r="AR119" s="16">
        <f t="shared" si="107"/>
        <v>8106205.0702475635</v>
      </c>
      <c r="AS119" s="16">
        <f t="shared" si="107"/>
        <v>8106205.0702475635</v>
      </c>
      <c r="AT119" s="16">
        <f t="shared" si="107"/>
        <v>8106205.0702475635</v>
      </c>
      <c r="AU119" s="16">
        <f t="shared" si="107"/>
        <v>8106205.0702475635</v>
      </c>
      <c r="AV119" s="16">
        <f t="shared" si="107"/>
        <v>8106205.0702475635</v>
      </c>
      <c r="AW119" s="16">
        <f t="shared" si="107"/>
        <v>8106205.0702475635</v>
      </c>
      <c r="AX119" s="13"/>
    </row>
    <row r="120" spans="2:50" x14ac:dyDescent="0.25">
      <c r="B120" s="3" t="s">
        <v>279</v>
      </c>
      <c r="C120" s="3" t="s">
        <v>93</v>
      </c>
      <c r="E120" s="67">
        <v>66305000</v>
      </c>
      <c r="F120" s="67">
        <v>33990000</v>
      </c>
      <c r="G120" s="67">
        <v>23796000</v>
      </c>
      <c r="H120" s="67">
        <v>21553000</v>
      </c>
      <c r="I120" s="67">
        <v>59399000</v>
      </c>
      <c r="J120" s="67">
        <v>26976000</v>
      </c>
      <c r="K120" s="15">
        <f t="shared" ref="K120" si="108">SUM(L120:AW120)</f>
        <v>847679131.02645814</v>
      </c>
      <c r="L120" s="15">
        <f>IF(L117&lt;0,L117,IF(L119&gt;L117,L117,IF(L117&gt;=L119,L117-(L117-L119)*L118)))</f>
        <v>39453605.800857067</v>
      </c>
      <c r="M120" s="15">
        <f t="shared" ref="M120:AW120" si="109">IF(M117&lt;0,M117,IF(M119&gt;M117,M117,IF(M117&gt;=M119,M117-(M117-M119)*M118)))</f>
        <v>34297814.273890026</v>
      </c>
      <c r="N120" s="15">
        <f t="shared" si="109"/>
        <v>26884457.204306655</v>
      </c>
      <c r="O120" s="15">
        <f t="shared" si="109"/>
        <v>24389862.296095505</v>
      </c>
      <c r="P120" s="15">
        <f t="shared" si="109"/>
        <v>77195523.594627529</v>
      </c>
      <c r="Q120" s="15">
        <f t="shared" si="109"/>
        <v>140203098.20617998</v>
      </c>
      <c r="R120" s="15">
        <f t="shared" si="109"/>
        <v>87357250.1133205</v>
      </c>
      <c r="S120" s="15">
        <f t="shared" si="109"/>
        <v>24716449.685817972</v>
      </c>
      <c r="T120" s="15">
        <f t="shared" si="109"/>
        <v>62250565.991871431</v>
      </c>
      <c r="U120" s="15">
        <f t="shared" si="109"/>
        <v>91801892.93816939</v>
      </c>
      <c r="V120" s="15">
        <f t="shared" si="109"/>
        <v>95741710.186411589</v>
      </c>
      <c r="W120" s="15">
        <f t="shared" si="109"/>
        <v>38575069.369644858</v>
      </c>
      <c r="X120" s="15">
        <f t="shared" si="109"/>
        <v>41167329.625657313</v>
      </c>
      <c r="Y120" s="15">
        <f t="shared" si="109"/>
        <v>15638373.300297052</v>
      </c>
      <c r="Z120" s="15">
        <f t="shared" si="109"/>
        <v>15358031.797168819</v>
      </c>
      <c r="AA120" s="15">
        <f t="shared" si="109"/>
        <v>17226874.363242246</v>
      </c>
      <c r="AB120" s="15">
        <f t="shared" si="109"/>
        <v>18716203.185055278</v>
      </c>
      <c r="AC120" s="15">
        <f t="shared" si="109"/>
        <v>2836688.0792076034</v>
      </c>
      <c r="AD120" s="15">
        <f t="shared" si="109"/>
        <v>-2475765.065806279</v>
      </c>
      <c r="AE120" s="15">
        <f t="shared" si="109"/>
        <v>-548473.13501366787</v>
      </c>
      <c r="AF120" s="15">
        <f t="shared" si="109"/>
        <v>4998774.2857046928</v>
      </c>
      <c r="AG120" s="15">
        <f t="shared" si="109"/>
        <v>-8106205.0702475635</v>
      </c>
      <c r="AH120" s="15">
        <f t="shared" si="109"/>
        <v>0</v>
      </c>
      <c r="AI120" s="15">
        <f t="shared" si="109"/>
        <v>0</v>
      </c>
      <c r="AJ120" s="15">
        <f t="shared" si="109"/>
        <v>0</v>
      </c>
      <c r="AK120" s="15">
        <f t="shared" si="109"/>
        <v>0</v>
      </c>
      <c r="AL120" s="15">
        <f t="shared" si="109"/>
        <v>0</v>
      </c>
      <c r="AM120" s="15">
        <f t="shared" si="109"/>
        <v>0</v>
      </c>
      <c r="AN120" s="15">
        <f t="shared" si="109"/>
        <v>0</v>
      </c>
      <c r="AO120" s="15">
        <f t="shared" si="109"/>
        <v>0</v>
      </c>
      <c r="AP120" s="15">
        <f t="shared" si="109"/>
        <v>0</v>
      </c>
      <c r="AQ120" s="15">
        <f t="shared" si="109"/>
        <v>0</v>
      </c>
      <c r="AR120" s="15">
        <f t="shared" si="109"/>
        <v>0</v>
      </c>
      <c r="AS120" s="15">
        <f t="shared" si="109"/>
        <v>0</v>
      </c>
      <c r="AT120" s="15">
        <f t="shared" si="109"/>
        <v>0</v>
      </c>
      <c r="AU120" s="15">
        <f t="shared" si="109"/>
        <v>0</v>
      </c>
      <c r="AV120" s="15">
        <f t="shared" si="109"/>
        <v>0</v>
      </c>
      <c r="AW120" s="15">
        <f t="shared" si="109"/>
        <v>0</v>
      </c>
      <c r="AX120" s="13"/>
    </row>
    <row r="121" spans="2:50" x14ac:dyDescent="0.25">
      <c r="K121" s="26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spans="2:50" ht="15.75" thickBot="1" x14ac:dyDescent="0.3">
      <c r="B122" s="14" t="s">
        <v>156</v>
      </c>
      <c r="K122" s="26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spans="2:50" x14ac:dyDescent="0.25">
      <c r="B123" t="s">
        <v>157</v>
      </c>
      <c r="C123" t="s">
        <v>93</v>
      </c>
      <c r="E123" s="6">
        <f>'DCF Caylloma'!E110+'DCF San Jose'!E90+'DCF Lindero'!E72+'DCF Yaramoko'!E75</f>
        <v>27974000</v>
      </c>
      <c r="F123" s="6">
        <f>'DCF Caylloma'!F110+'DCF San Jose'!F90+'DCF Lindero'!F72+'DCF Yaramoko'!F75</f>
        <v>23986000</v>
      </c>
      <c r="G123" s="6">
        <f>'DCF Caylloma'!G110+'DCF San Jose'!G90+'DCF Lindero'!G72+'DCF Yaramoko'!G75</f>
        <v>20409000</v>
      </c>
      <c r="H123" s="6">
        <f>'DCF Caylloma'!H110+'DCF San Jose'!H90+'DCF Lindero'!H72+'DCF Yaramoko'!H75</f>
        <v>16696000</v>
      </c>
      <c r="I123" s="6">
        <f>'DCF Caylloma'!I110+'DCF San Jose'!I90+'DCF Lindero'!I72+'DCF Yaramoko'!I75</f>
        <v>77159000</v>
      </c>
      <c r="J123" s="6">
        <f>'DCF Caylloma'!J110+'DCF San Jose'!J90+'DCF Lindero'!J72+'DCF Yaramoko'!J75</f>
        <v>18010000</v>
      </c>
      <c r="K123" s="15">
        <f t="shared" ref="K123:K127" si="110">SUM(L123:AW123)</f>
        <v>707505000</v>
      </c>
      <c r="L123" s="16">
        <f>'DCF Caylloma'!L110+'DCF San Jose'!L90+'DCF Lindero'!L72+'DCF Yaramoko'!L75+'DCF Seguela'!H70</f>
        <v>27530000</v>
      </c>
      <c r="M123" s="16">
        <f>'DCF Caylloma'!M110+'DCF San Jose'!M90+'DCF Lindero'!M72+'DCF Yaramoko'!M75+'DCF Seguela'!I70</f>
        <v>27530000</v>
      </c>
      <c r="N123" s="16">
        <f>'DCF Caylloma'!N110+'DCF San Jose'!N90+'DCF Lindero'!N72+'DCF Yaramoko'!N75+'DCF Seguela'!J70</f>
        <v>27530000</v>
      </c>
      <c r="O123" s="16">
        <f>'DCF Caylloma'!O110+'DCF San Jose'!O90+'DCF Lindero'!O72+'DCF Yaramoko'!O75+'DCF Seguela'!K70</f>
        <v>20653000</v>
      </c>
      <c r="P123" s="16">
        <f>'DCF Caylloma'!P110+'DCF San Jose'!P90+'DCF Lindero'!P72+'DCF Yaramoko'!P75+'DCF Seguela'!L70</f>
        <v>55783000</v>
      </c>
      <c r="Q123" s="16">
        <f>'DCF Caylloma'!Q110+'DCF San Jose'!Q90+'DCF Lindero'!Q72+'DCF Yaramoko'!Q75+'DCF Seguela'!M70</f>
        <v>61823000</v>
      </c>
      <c r="R123" s="16">
        <f>'DCF Caylloma'!R110+'DCF San Jose'!R90+'DCF Lindero'!R72+'DCF Yaramoko'!R75+'DCF Seguela'!N70</f>
        <v>81505000</v>
      </c>
      <c r="S123" s="16">
        <f>'DCF Caylloma'!S110+'DCF San Jose'!S90+'DCF Lindero'!S72+'DCF Yaramoko'!S75+'DCF Seguela'!O70</f>
        <v>50811000</v>
      </c>
      <c r="T123" s="16">
        <f>'DCF Caylloma'!T110+'DCF San Jose'!T90+'DCF Lindero'!T72+'DCF Yaramoko'!T75+'DCF Seguela'!P70</f>
        <v>51270000</v>
      </c>
      <c r="U123" s="16">
        <f>'DCF Caylloma'!U110+'DCF San Jose'!U90+'DCF Lindero'!U72+'DCF Yaramoko'!U75+'DCF Seguela'!Q70</f>
        <v>57760000</v>
      </c>
      <c r="V123" s="16">
        <f>'DCF Caylloma'!V110+'DCF San Jose'!V90+'DCF Lindero'!V72+'DCF Yaramoko'!V75+'DCF Seguela'!R70</f>
        <v>39940000</v>
      </c>
      <c r="W123" s="16">
        <f>'DCF Caylloma'!W110+'DCF San Jose'!W90+'DCF Lindero'!W72+'DCF Yaramoko'!W75+'DCF Seguela'!S70</f>
        <v>32130000</v>
      </c>
      <c r="X123" s="16">
        <f>'DCF Caylloma'!X110+'DCF San Jose'!X90+'DCF Lindero'!X72+'DCF Yaramoko'!X75+'DCF Seguela'!T70</f>
        <v>39390000</v>
      </c>
      <c r="Y123" s="16">
        <f>'DCF Caylloma'!Y110+'DCF San Jose'!Y90+'DCF Lindero'!Y72+'DCF Yaramoko'!Y75+'DCF Seguela'!U70</f>
        <v>26850000</v>
      </c>
      <c r="Z123" s="16">
        <f>'DCF Caylloma'!Z110+'DCF San Jose'!Z90+'DCF Lindero'!Z72+'DCF Yaramoko'!Z75+'DCF Seguela'!V70</f>
        <v>22000000</v>
      </c>
      <c r="AA123" s="16">
        <f>'DCF Caylloma'!AA110+'DCF San Jose'!AA90+'DCF Lindero'!AA72+'DCF Yaramoko'!AA75+'DCF Seguela'!W70</f>
        <v>21000000</v>
      </c>
      <c r="AB123" s="16">
        <f>'DCF Caylloma'!AB110+'DCF San Jose'!AB90+'DCF Lindero'!AB72+'DCF Yaramoko'!AB75+'DCF Seguela'!X70</f>
        <v>19000000</v>
      </c>
      <c r="AC123" s="16">
        <f>'DCF Caylloma'!AC110+'DCF San Jose'!AC90+'DCF Lindero'!AC72+'DCF Yaramoko'!AC75+'DCF Seguela'!Y70</f>
        <v>16000000</v>
      </c>
      <c r="AD123" s="16">
        <f>'DCF Caylloma'!AD110+'DCF San Jose'!AD90+'DCF Lindero'!AD72+'DCF Yaramoko'!AD75+'DCF Seguela'!Z70</f>
        <v>13000000</v>
      </c>
      <c r="AE123" s="16">
        <f>'DCF Caylloma'!AE110+'DCF San Jose'!AE90+'DCF Lindero'!AE72+'DCF Yaramoko'!AE75+'DCF Seguela'!AA70</f>
        <v>9000000</v>
      </c>
      <c r="AF123" s="16">
        <f>'DCF Caylloma'!AF110+'DCF San Jose'!AF90+'DCF Lindero'!AF72+'DCF Yaramoko'!AF75+'DCF Seguela'!AB70</f>
        <v>5000000</v>
      </c>
      <c r="AG123" s="16">
        <f>'DCF Caylloma'!AG110+'DCF San Jose'!AG90+'DCF Lindero'!AG72+'DCF Yaramoko'!AG75+'DCF Seguela'!AC70</f>
        <v>2000000</v>
      </c>
      <c r="AH123" s="16">
        <f>'DCF Caylloma'!AH110+'DCF San Jose'!AH90+'DCF Lindero'!AH72+'DCF Yaramoko'!AH75+'DCF Seguela'!AD70</f>
        <v>0</v>
      </c>
      <c r="AI123" s="16">
        <f>'DCF Caylloma'!AI110+'DCF San Jose'!AI90+'DCF Lindero'!AI72+'DCF Yaramoko'!AI75+'DCF Seguela'!AE70</f>
        <v>0</v>
      </c>
      <c r="AJ123" s="16">
        <f>'DCF Caylloma'!AJ110+'DCF San Jose'!AJ90+'DCF Lindero'!AJ72+'DCF Yaramoko'!AJ75+'DCF Seguela'!AF70</f>
        <v>0</v>
      </c>
      <c r="AK123" s="16">
        <f>'DCF Caylloma'!AK110+'DCF San Jose'!AK90+'DCF Lindero'!AK72+'DCF Yaramoko'!AK75+'DCF Seguela'!AG70</f>
        <v>0</v>
      </c>
      <c r="AL123" s="16">
        <f>'DCF Caylloma'!AL110+'DCF San Jose'!AL90+'DCF Lindero'!AL72+'DCF Yaramoko'!AL75+'DCF Seguela'!AH70</f>
        <v>0</v>
      </c>
      <c r="AM123" s="16">
        <f>'DCF Caylloma'!AM110+'DCF San Jose'!AM90+'DCF Lindero'!AM72+'DCF Yaramoko'!AM75+'DCF Seguela'!AI70</f>
        <v>0</v>
      </c>
      <c r="AN123" s="16">
        <f>'DCF Caylloma'!AN110+'DCF San Jose'!AN90+'DCF Lindero'!AN72+'DCF Yaramoko'!AN75+'DCF Seguela'!AJ70</f>
        <v>0</v>
      </c>
      <c r="AO123" s="16">
        <f>'DCF Caylloma'!AO110+'DCF San Jose'!AO90+'DCF Lindero'!AO72+'DCF Yaramoko'!AO75+'DCF Seguela'!AK70</f>
        <v>0</v>
      </c>
      <c r="AP123" s="16">
        <f>'DCF Caylloma'!AP110+'DCF San Jose'!AP90+'DCF Lindero'!AP72+'DCF Yaramoko'!AP75+'DCF Seguela'!AL70</f>
        <v>0</v>
      </c>
      <c r="AQ123" s="16">
        <f>'DCF Caylloma'!AQ110+'DCF San Jose'!AQ90+'DCF Lindero'!AQ72+'DCF Yaramoko'!AQ75+'DCF Seguela'!AM70</f>
        <v>0</v>
      </c>
      <c r="AR123" s="16">
        <f>'DCF Caylloma'!AR110+'DCF San Jose'!AR90+'DCF Lindero'!AR72+'DCF Yaramoko'!AR75+'DCF Seguela'!AN70</f>
        <v>0</v>
      </c>
      <c r="AS123" s="16">
        <f>'DCF Caylloma'!AS110+'DCF San Jose'!AS90+'DCF Lindero'!AS72+'DCF Yaramoko'!AS75+'DCF Seguela'!AO70</f>
        <v>0</v>
      </c>
      <c r="AT123" s="16">
        <f>'DCF Caylloma'!AT110+'DCF San Jose'!AT90+'DCF Lindero'!AT72+'DCF Yaramoko'!AT75+'DCF Seguela'!AP70</f>
        <v>0</v>
      </c>
      <c r="AU123" s="16">
        <f>'DCF Caylloma'!AU110+'DCF San Jose'!AU90+'DCF Lindero'!AU72+'DCF Yaramoko'!AU75+'DCF Seguela'!AQ70</f>
        <v>0</v>
      </c>
      <c r="AV123" s="16">
        <f>'DCF Caylloma'!AV110+'DCF San Jose'!AV90+'DCF Lindero'!AV72+'DCF Yaramoko'!AV75+'DCF Seguela'!AR70</f>
        <v>0</v>
      </c>
      <c r="AW123" s="16">
        <f>'DCF Caylloma'!AW110+'DCF San Jose'!AW90+'DCF Lindero'!AW72+'DCF Yaramoko'!AW75+'DCF Seguela'!AS70</f>
        <v>0</v>
      </c>
      <c r="AX123" s="13"/>
    </row>
    <row r="124" spans="2:50" x14ac:dyDescent="0.25">
      <c r="B124" t="s">
        <v>280</v>
      </c>
      <c r="E124">
        <v>1</v>
      </c>
      <c r="F124">
        <f>E124</f>
        <v>1</v>
      </c>
      <c r="G124">
        <f t="shared" ref="G124:J124" si="111">F124</f>
        <v>1</v>
      </c>
      <c r="H124">
        <f t="shared" si="111"/>
        <v>1</v>
      </c>
      <c r="I124">
        <f t="shared" si="111"/>
        <v>1</v>
      </c>
      <c r="J124">
        <f t="shared" si="111"/>
        <v>1</v>
      </c>
      <c r="K124" s="58">
        <f>AVERAGE(L124:AW124)</f>
        <v>1</v>
      </c>
      <c r="L124" s="13">
        <v>1</v>
      </c>
      <c r="M124" s="13">
        <f>L124</f>
        <v>1</v>
      </c>
      <c r="N124" s="13">
        <f t="shared" ref="N124:AW124" si="112">M124</f>
        <v>1</v>
      </c>
      <c r="O124" s="13">
        <f t="shared" si="112"/>
        <v>1</v>
      </c>
      <c r="P124" s="13">
        <f t="shared" si="112"/>
        <v>1</v>
      </c>
      <c r="Q124" s="13">
        <f t="shared" si="112"/>
        <v>1</v>
      </c>
      <c r="R124" s="13">
        <f t="shared" si="112"/>
        <v>1</v>
      </c>
      <c r="S124" s="13">
        <f t="shared" si="112"/>
        <v>1</v>
      </c>
      <c r="T124" s="13">
        <f t="shared" si="112"/>
        <v>1</v>
      </c>
      <c r="U124" s="13">
        <f t="shared" si="112"/>
        <v>1</v>
      </c>
      <c r="V124" s="13">
        <f t="shared" si="112"/>
        <v>1</v>
      </c>
      <c r="W124" s="13">
        <f t="shared" si="112"/>
        <v>1</v>
      </c>
      <c r="X124" s="13">
        <f t="shared" si="112"/>
        <v>1</v>
      </c>
      <c r="Y124" s="13">
        <f t="shared" si="112"/>
        <v>1</v>
      </c>
      <c r="Z124" s="13">
        <f t="shared" si="112"/>
        <v>1</v>
      </c>
      <c r="AA124" s="13">
        <f t="shared" si="112"/>
        <v>1</v>
      </c>
      <c r="AB124" s="13">
        <f t="shared" si="112"/>
        <v>1</v>
      </c>
      <c r="AC124" s="13">
        <f t="shared" si="112"/>
        <v>1</v>
      </c>
      <c r="AD124" s="13">
        <f t="shared" si="112"/>
        <v>1</v>
      </c>
      <c r="AE124" s="13">
        <f t="shared" si="112"/>
        <v>1</v>
      </c>
      <c r="AF124" s="13">
        <f t="shared" si="112"/>
        <v>1</v>
      </c>
      <c r="AG124" s="13">
        <f t="shared" si="112"/>
        <v>1</v>
      </c>
      <c r="AH124" s="13">
        <f t="shared" si="112"/>
        <v>1</v>
      </c>
      <c r="AI124" s="13">
        <f t="shared" si="112"/>
        <v>1</v>
      </c>
      <c r="AJ124" s="13">
        <f t="shared" si="112"/>
        <v>1</v>
      </c>
      <c r="AK124" s="13">
        <f t="shared" si="112"/>
        <v>1</v>
      </c>
      <c r="AL124" s="13">
        <f t="shared" si="112"/>
        <v>1</v>
      </c>
      <c r="AM124" s="13">
        <f t="shared" si="112"/>
        <v>1</v>
      </c>
      <c r="AN124" s="13">
        <f t="shared" si="112"/>
        <v>1</v>
      </c>
      <c r="AO124" s="13">
        <f t="shared" si="112"/>
        <v>1</v>
      </c>
      <c r="AP124" s="13">
        <f t="shared" si="112"/>
        <v>1</v>
      </c>
      <c r="AQ124" s="13">
        <f t="shared" si="112"/>
        <v>1</v>
      </c>
      <c r="AR124" s="13">
        <f t="shared" si="112"/>
        <v>1</v>
      </c>
      <c r="AS124" s="13">
        <f t="shared" si="112"/>
        <v>1</v>
      </c>
      <c r="AT124" s="13">
        <f t="shared" si="112"/>
        <v>1</v>
      </c>
      <c r="AU124" s="13">
        <f t="shared" si="112"/>
        <v>1</v>
      </c>
      <c r="AV124" s="13">
        <f t="shared" si="112"/>
        <v>1</v>
      </c>
      <c r="AW124" s="13">
        <f t="shared" si="112"/>
        <v>1</v>
      </c>
      <c r="AX124" s="13"/>
    </row>
    <row r="125" spans="2:50" x14ac:dyDescent="0.25">
      <c r="B125" t="s">
        <v>281</v>
      </c>
      <c r="C125" t="s">
        <v>93</v>
      </c>
      <c r="E125" s="6">
        <f>E123*E124</f>
        <v>27974000</v>
      </c>
      <c r="F125" s="6">
        <f t="shared" ref="F125:J125" si="113">F123*F124</f>
        <v>23986000</v>
      </c>
      <c r="G125" s="6">
        <f t="shared" si="113"/>
        <v>20409000</v>
      </c>
      <c r="H125" s="6">
        <f t="shared" si="113"/>
        <v>16696000</v>
      </c>
      <c r="I125" s="6">
        <f t="shared" si="113"/>
        <v>77159000</v>
      </c>
      <c r="J125" s="6">
        <f t="shared" si="113"/>
        <v>18010000</v>
      </c>
      <c r="K125" s="15">
        <f t="shared" si="110"/>
        <v>707505000</v>
      </c>
      <c r="L125" s="16">
        <f>L123*L124</f>
        <v>27530000</v>
      </c>
      <c r="M125" s="16">
        <f t="shared" ref="M125:AW125" si="114">M123*M124</f>
        <v>27530000</v>
      </c>
      <c r="N125" s="16">
        <f t="shared" si="114"/>
        <v>27530000</v>
      </c>
      <c r="O125" s="16">
        <f t="shared" si="114"/>
        <v>20653000</v>
      </c>
      <c r="P125" s="16">
        <f t="shared" si="114"/>
        <v>55783000</v>
      </c>
      <c r="Q125" s="16">
        <f t="shared" si="114"/>
        <v>61823000</v>
      </c>
      <c r="R125" s="16">
        <f t="shared" si="114"/>
        <v>81505000</v>
      </c>
      <c r="S125" s="16">
        <f t="shared" si="114"/>
        <v>50811000</v>
      </c>
      <c r="T125" s="16">
        <f t="shared" si="114"/>
        <v>51270000</v>
      </c>
      <c r="U125" s="16">
        <f t="shared" si="114"/>
        <v>57760000</v>
      </c>
      <c r="V125" s="16">
        <f t="shared" si="114"/>
        <v>39940000</v>
      </c>
      <c r="W125" s="16">
        <f t="shared" si="114"/>
        <v>32130000</v>
      </c>
      <c r="X125" s="16">
        <f t="shared" si="114"/>
        <v>39390000</v>
      </c>
      <c r="Y125" s="16">
        <f t="shared" si="114"/>
        <v>26850000</v>
      </c>
      <c r="Z125" s="16">
        <f t="shared" si="114"/>
        <v>22000000</v>
      </c>
      <c r="AA125" s="16">
        <f t="shared" si="114"/>
        <v>21000000</v>
      </c>
      <c r="AB125" s="16">
        <f t="shared" si="114"/>
        <v>19000000</v>
      </c>
      <c r="AC125" s="16">
        <f t="shared" si="114"/>
        <v>16000000</v>
      </c>
      <c r="AD125" s="16">
        <f t="shared" si="114"/>
        <v>13000000</v>
      </c>
      <c r="AE125" s="16">
        <f t="shared" si="114"/>
        <v>9000000</v>
      </c>
      <c r="AF125" s="16">
        <f t="shared" si="114"/>
        <v>5000000</v>
      </c>
      <c r="AG125" s="16">
        <f t="shared" si="114"/>
        <v>2000000</v>
      </c>
      <c r="AH125" s="16">
        <f t="shared" si="114"/>
        <v>0</v>
      </c>
      <c r="AI125" s="16">
        <f t="shared" si="114"/>
        <v>0</v>
      </c>
      <c r="AJ125" s="16">
        <f t="shared" si="114"/>
        <v>0</v>
      </c>
      <c r="AK125" s="16">
        <f t="shared" si="114"/>
        <v>0</v>
      </c>
      <c r="AL125" s="16">
        <f t="shared" si="114"/>
        <v>0</v>
      </c>
      <c r="AM125" s="16">
        <f t="shared" si="114"/>
        <v>0</v>
      </c>
      <c r="AN125" s="16">
        <f t="shared" si="114"/>
        <v>0</v>
      </c>
      <c r="AO125" s="16">
        <f t="shared" si="114"/>
        <v>0</v>
      </c>
      <c r="AP125" s="16">
        <f t="shared" si="114"/>
        <v>0</v>
      </c>
      <c r="AQ125" s="16">
        <f t="shared" si="114"/>
        <v>0</v>
      </c>
      <c r="AR125" s="16">
        <f t="shared" si="114"/>
        <v>0</v>
      </c>
      <c r="AS125" s="16">
        <f t="shared" si="114"/>
        <v>0</v>
      </c>
      <c r="AT125" s="16">
        <f t="shared" si="114"/>
        <v>0</v>
      </c>
      <c r="AU125" s="16">
        <f t="shared" si="114"/>
        <v>0</v>
      </c>
      <c r="AV125" s="16">
        <f t="shared" si="114"/>
        <v>0</v>
      </c>
      <c r="AW125" s="16">
        <f t="shared" si="114"/>
        <v>0</v>
      </c>
      <c r="AX125" s="13"/>
    </row>
    <row r="126" spans="2:50" x14ac:dyDescent="0.25">
      <c r="B126" t="s">
        <v>158</v>
      </c>
      <c r="C126" t="s">
        <v>93</v>
      </c>
      <c r="E126" s="6">
        <v>10100000</v>
      </c>
      <c r="F126" s="6">
        <v>8600000</v>
      </c>
      <c r="G126" s="6">
        <v>4800000</v>
      </c>
      <c r="H126" s="6">
        <v>4900000</v>
      </c>
      <c r="I126" s="6">
        <v>18900000</v>
      </c>
      <c r="J126" s="6">
        <v>2500000</v>
      </c>
      <c r="K126" s="15">
        <f t="shared" si="110"/>
        <v>93516238.09523809</v>
      </c>
      <c r="L126" s="16">
        <f>'DCF Caylloma'!L111+'DCF San Jose'!L91+'DCF Lindero'!M73+'DCF Yaramoko'!M76+8800000/4</f>
        <v>5571666.666666666</v>
      </c>
      <c r="M126" s="16">
        <f>'DCF Caylloma'!M111+'DCF San Jose'!M91+'DCF Lindero'!N73+'DCF Yaramoko'!N76+8800000/4</f>
        <v>5571666.666666666</v>
      </c>
      <c r="N126" s="16">
        <f>'DCF Caylloma'!N111+'DCF San Jose'!N91+'DCF Lindero'!O73+'DCF Yaramoko'!O76+8800000/4</f>
        <v>6890666.666666666</v>
      </c>
      <c r="O126" s="16">
        <f>'DCF Caylloma'!O111+'DCF San Jose'!O91+'DCF Lindero'!P73+'DCF Yaramoko'!P76</f>
        <v>8097428.5714285718</v>
      </c>
      <c r="P126" s="16">
        <f>'DCF Caylloma'!P111+'DCF San Jose'!P91+'DCF Lindero'!Q73+'DCF Yaramoko'!Q76</f>
        <v>10754904.761904761</v>
      </c>
      <c r="Q126" s="16">
        <f>'DCF Caylloma'!Q111+'DCF San Jose'!Q91+'DCF Lindero'!R73+'DCF Yaramoko'!R76</f>
        <v>11129904.761904761</v>
      </c>
      <c r="R126" s="16">
        <f>'DCF Caylloma'!R111+'DCF San Jose'!R91+'DCF Lindero'!S73+'DCF Yaramoko'!S76</f>
        <v>5000000</v>
      </c>
      <c r="S126" s="16">
        <f>'DCF Caylloma'!S111+'DCF San Jose'!S91+'DCF Lindero'!T73+'DCF Yaramoko'!T76</f>
        <v>3000000</v>
      </c>
      <c r="T126" s="16">
        <f>'DCF Caylloma'!T111+'DCF San Jose'!T91+'DCF Lindero'!U73+'DCF Yaramoko'!U76</f>
        <v>3000000</v>
      </c>
      <c r="U126" s="16">
        <f>'DCF Caylloma'!U111+'DCF San Jose'!U91+'DCF Lindero'!V73+'DCF Yaramoko'!V76</f>
        <v>3000000</v>
      </c>
      <c r="V126" s="16">
        <f>'DCF Caylloma'!V111+'DCF San Jose'!V91+'DCF Lindero'!W73+'DCF Yaramoko'!W76</f>
        <v>3000000</v>
      </c>
      <c r="W126" s="16">
        <f>'DCF Caylloma'!W111+'DCF San Jose'!W91+'DCF Lindero'!X73+'DCF Yaramoko'!X76</f>
        <v>3000000</v>
      </c>
      <c r="X126" s="16">
        <f>'DCF Caylloma'!X111+'DCF San Jose'!X91+'DCF Lindero'!Y73+'DCF Yaramoko'!Y76</f>
        <v>3000000</v>
      </c>
      <c r="Y126" s="16">
        <f>'DCF Caylloma'!Y111+'DCF San Jose'!Y91+'DCF Lindero'!Z73+'DCF Yaramoko'!Z76</f>
        <v>3000000</v>
      </c>
      <c r="Z126" s="16">
        <f>'DCF Caylloma'!Z111+'DCF San Jose'!Z91+'DCF Lindero'!AA73+'DCF Yaramoko'!AA76</f>
        <v>3000000</v>
      </c>
      <c r="AA126" s="16">
        <f>'DCF Caylloma'!AA111+'DCF San Jose'!AA91+'DCF Lindero'!AB73+'DCF Yaramoko'!AB76</f>
        <v>3000000</v>
      </c>
      <c r="AB126" s="16">
        <f>'DCF Caylloma'!AB111+'DCF San Jose'!AB91+'DCF Lindero'!AC73+'DCF Yaramoko'!AC76</f>
        <v>3000000</v>
      </c>
      <c r="AC126" s="16">
        <f>'DCF Caylloma'!AC111+'DCF San Jose'!AC91+'DCF Lindero'!AD73+'DCF Yaramoko'!AD76</f>
        <v>3000000</v>
      </c>
      <c r="AD126" s="16">
        <f>'DCF Caylloma'!AD111+'DCF San Jose'!AD91+'DCF Lindero'!AE73+'DCF Yaramoko'!AE76</f>
        <v>3000000</v>
      </c>
      <c r="AE126" s="16">
        <f>'DCF Caylloma'!AE111+'DCF San Jose'!AE91+'DCF Lindero'!AF73+'DCF Yaramoko'!AF76</f>
        <v>1500000</v>
      </c>
      <c r="AF126" s="16">
        <f>'DCF Caylloma'!AF111+'DCF San Jose'!AF91+'DCF Lindero'!AG73+'DCF Yaramoko'!AG76</f>
        <v>1500000</v>
      </c>
      <c r="AG126" s="16">
        <f>'DCF Caylloma'!AG111+'DCF San Jose'!AG91+'DCF Lindero'!AH73+'DCF Yaramoko'!AH76</f>
        <v>1500000</v>
      </c>
      <c r="AH126" s="16">
        <f>'DCF Caylloma'!AH111+'DCF San Jose'!AH91+'DCF Lindero'!AI73+'DCF Yaramoko'!AI76</f>
        <v>0</v>
      </c>
      <c r="AI126" s="16">
        <f>'DCF Caylloma'!AI111+'DCF San Jose'!AI91+'DCF Lindero'!AJ73+'DCF Yaramoko'!AJ76</f>
        <v>0</v>
      </c>
      <c r="AJ126" s="16">
        <f>'DCF Caylloma'!AJ111+'DCF San Jose'!AJ91+'DCF Lindero'!AK73+'DCF Yaramoko'!AK76</f>
        <v>0</v>
      </c>
      <c r="AK126" s="16">
        <f>'DCF Caylloma'!AK111+'DCF San Jose'!AK91+'DCF Lindero'!AL73+'DCF Yaramoko'!AL76</f>
        <v>0</v>
      </c>
      <c r="AL126" s="16">
        <f>'DCF Caylloma'!AL111+'DCF San Jose'!AL91+'DCF Lindero'!AM73+'DCF Yaramoko'!AM76</f>
        <v>0</v>
      </c>
      <c r="AM126" s="16">
        <f>'DCF Caylloma'!AM111+'DCF San Jose'!AM91+'DCF Lindero'!AN73+'DCF Yaramoko'!AN76</f>
        <v>0</v>
      </c>
      <c r="AN126" s="16">
        <f>'DCF Caylloma'!AN111+'DCF San Jose'!AN91+'DCF Lindero'!AO73+'DCF Yaramoko'!AO76</f>
        <v>0</v>
      </c>
      <c r="AO126" s="16">
        <f>'DCF Caylloma'!AO111+'DCF San Jose'!AO91+'DCF Lindero'!AP73+'DCF Yaramoko'!AP76</f>
        <v>0</v>
      </c>
      <c r="AP126" s="16">
        <f>'DCF Caylloma'!AP111+'DCF San Jose'!AP91+'DCF Lindero'!AQ73+'DCF Yaramoko'!AQ76</f>
        <v>0</v>
      </c>
      <c r="AQ126" s="16">
        <f>'DCF Caylloma'!AQ111+'DCF San Jose'!AQ91+'DCF Lindero'!AR73+'DCF Yaramoko'!AR76</f>
        <v>0</v>
      </c>
      <c r="AR126" s="16">
        <f>'DCF Caylloma'!AR111+'DCF San Jose'!AR91+'DCF Lindero'!AS73+'DCF Yaramoko'!AS76</f>
        <v>0</v>
      </c>
      <c r="AS126" s="16">
        <f>'DCF Caylloma'!AS111+'DCF San Jose'!AS91+'DCF Lindero'!AT73+'DCF Yaramoko'!AT76</f>
        <v>0</v>
      </c>
      <c r="AT126" s="16">
        <f>'DCF Caylloma'!AT111+'DCF San Jose'!AT91+'DCF Lindero'!AU73+'DCF Yaramoko'!AU76</f>
        <v>0</v>
      </c>
      <c r="AU126" s="16">
        <f>'DCF Caylloma'!AU111+'DCF San Jose'!AU91+'DCF Lindero'!AV73+'DCF Yaramoko'!AV76</f>
        <v>0</v>
      </c>
      <c r="AV126" s="16">
        <f>'DCF Caylloma'!AV111+'DCF San Jose'!AV91+'DCF Lindero'!AW73+'DCF Yaramoko'!AW76</f>
        <v>0</v>
      </c>
      <c r="AW126" s="16">
        <f>'DCF Caylloma'!AW111+'DCF San Jose'!AW91+'DCF Lindero'!AX73+'DCF Yaramoko'!AX76</f>
        <v>0</v>
      </c>
      <c r="AX126" s="13"/>
    </row>
    <row r="127" spans="2:50" x14ac:dyDescent="0.25">
      <c r="B127" t="s">
        <v>282</v>
      </c>
      <c r="C127" t="s">
        <v>93</v>
      </c>
      <c r="E127" s="6">
        <f>'DCF Lindero'!E71</f>
        <v>11400000</v>
      </c>
      <c r="F127" s="6">
        <f>'DCF Lindero'!F71</f>
        <v>80000000</v>
      </c>
      <c r="G127" s="6">
        <f>'DCF Lindero'!G71</f>
        <v>46800000</v>
      </c>
      <c r="H127" s="6">
        <f>'DCF Lindero'!H71</f>
        <v>188300000</v>
      </c>
      <c r="I127" s="6">
        <f>'DCF Lindero'!I71+'DCF Seguela'!E69</f>
        <v>34200000</v>
      </c>
      <c r="J127" s="6">
        <f>'DCF Lindero'!J71+'DCF Seguela'!F69</f>
        <v>34400000</v>
      </c>
      <c r="K127" s="15">
        <f t="shared" si="110"/>
        <v>104900000</v>
      </c>
      <c r="L127" s="16">
        <f>'DCF Seguela'!H69</f>
        <v>30000000</v>
      </c>
      <c r="M127" s="16">
        <f>'DCF Seguela'!I69</f>
        <v>30000000</v>
      </c>
      <c r="N127" s="16">
        <f>'DCF Seguela'!J69</f>
        <v>19850000</v>
      </c>
      <c r="O127" s="16">
        <f>'DCF Seguela'!K69</f>
        <v>19850000</v>
      </c>
      <c r="P127" s="16">
        <f>'DCF Seguela'!L69</f>
        <v>5200000</v>
      </c>
      <c r="Q127" s="16">
        <f>'DCF Seguela'!M69</f>
        <v>0</v>
      </c>
      <c r="R127" s="16">
        <f>'DCF Seguela'!N69</f>
        <v>0</v>
      </c>
      <c r="S127" s="16">
        <f>'DCF Seguela'!O69</f>
        <v>0</v>
      </c>
      <c r="T127" s="16">
        <f>'DCF Seguela'!P69</f>
        <v>0</v>
      </c>
      <c r="U127" s="16">
        <f>'DCF Seguela'!Q69</f>
        <v>0</v>
      </c>
      <c r="V127" s="16">
        <f>'DCF Seguela'!R69</f>
        <v>0</v>
      </c>
      <c r="W127" s="16">
        <f>'DCF Seguela'!S69</f>
        <v>0</v>
      </c>
      <c r="X127" s="16">
        <f>'DCF Seguela'!T69</f>
        <v>0</v>
      </c>
      <c r="Y127" s="16">
        <f>'DCF Seguela'!U69</f>
        <v>0</v>
      </c>
      <c r="Z127" s="16">
        <f>'DCF Seguela'!V69</f>
        <v>0</v>
      </c>
      <c r="AA127" s="16">
        <f>'DCF Seguela'!W69</f>
        <v>0</v>
      </c>
      <c r="AB127" s="16">
        <f>'DCF Seguela'!X69</f>
        <v>0</v>
      </c>
      <c r="AC127" s="16">
        <f>'DCF Seguela'!Y69</f>
        <v>0</v>
      </c>
      <c r="AD127" s="16">
        <f>'DCF Seguela'!Z69</f>
        <v>0</v>
      </c>
      <c r="AE127" s="16">
        <f>'DCF Seguela'!AA69</f>
        <v>0</v>
      </c>
      <c r="AF127" s="16">
        <f>'DCF Seguela'!AB69</f>
        <v>0</v>
      </c>
      <c r="AG127" s="16">
        <f>'DCF Seguela'!AC69</f>
        <v>0</v>
      </c>
      <c r="AH127" s="16">
        <f>'DCF Seguela'!AD69</f>
        <v>0</v>
      </c>
      <c r="AI127" s="16">
        <f>'DCF Seguela'!AE69</f>
        <v>0</v>
      </c>
      <c r="AJ127" s="16">
        <f>'DCF Seguela'!AF69</f>
        <v>0</v>
      </c>
      <c r="AK127" s="16">
        <f>'DCF Seguela'!AG69</f>
        <v>0</v>
      </c>
      <c r="AL127" s="16">
        <f>'DCF Seguela'!AH69</f>
        <v>0</v>
      </c>
      <c r="AM127" s="16">
        <f>'DCF Seguela'!AI69</f>
        <v>0</v>
      </c>
      <c r="AN127" s="16">
        <f>'DCF Seguela'!AJ69</f>
        <v>0</v>
      </c>
      <c r="AO127" s="16">
        <f>'DCF Seguela'!AK69</f>
        <v>0</v>
      </c>
      <c r="AP127" s="16">
        <f>'DCF Seguela'!AL69</f>
        <v>0</v>
      </c>
      <c r="AQ127" s="16">
        <f>'DCF Seguela'!AM69</f>
        <v>0</v>
      </c>
      <c r="AR127" s="16">
        <f>'DCF Seguela'!AN69</f>
        <v>0</v>
      </c>
      <c r="AS127" s="16">
        <f>'DCF Seguela'!AO69</f>
        <v>0</v>
      </c>
      <c r="AT127" s="16">
        <f>'DCF Seguela'!AP69</f>
        <v>0</v>
      </c>
      <c r="AU127" s="16">
        <f>'DCF Seguela'!AQ69</f>
        <v>0</v>
      </c>
      <c r="AV127" s="16">
        <f>'DCF Seguela'!AR69</f>
        <v>0</v>
      </c>
      <c r="AW127" s="16">
        <f>'DCF Seguela'!AS69</f>
        <v>0</v>
      </c>
      <c r="AX127" s="13"/>
    </row>
    <row r="128" spans="2:50" x14ac:dyDescent="0.25">
      <c r="B128" t="s">
        <v>283</v>
      </c>
      <c r="C128" t="s">
        <v>93</v>
      </c>
      <c r="K128" s="26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spans="2:50" x14ac:dyDescent="0.25">
      <c r="K129" s="26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spans="2:50" ht="15.75" thickBot="1" x14ac:dyDescent="0.3">
      <c r="B130" s="14" t="s">
        <v>284</v>
      </c>
      <c r="K130" s="26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spans="2:50" x14ac:dyDescent="0.25">
      <c r="B131" t="s">
        <v>284</v>
      </c>
      <c r="C131" t="s">
        <v>93</v>
      </c>
      <c r="E131" s="6">
        <f>E108-SUM(E106:E107)+SUM(E115:E116)+SUM(E125:E127)</f>
        <v>193295000</v>
      </c>
      <c r="F131" s="6">
        <f t="shared" ref="F131:AW131" si="115">F108-SUM(F106:F107)+SUM(F115:F116)+SUM(F125:F127)</f>
        <v>266407000</v>
      </c>
      <c r="G131" s="6">
        <f t="shared" si="115"/>
        <v>246820000</v>
      </c>
      <c r="H131" s="6">
        <f t="shared" si="115"/>
        <v>373256000</v>
      </c>
      <c r="I131" s="6">
        <f t="shared" si="115"/>
        <v>461067000</v>
      </c>
      <c r="J131" s="6">
        <f t="shared" si="115"/>
        <v>155854000</v>
      </c>
      <c r="K131" s="15">
        <f t="shared" ref="K131" si="116">SUM(L131:AW131)</f>
        <v>5844918079.1555996</v>
      </c>
      <c r="L131" s="16">
        <f t="shared" si="115"/>
        <v>172698989.0092108</v>
      </c>
      <c r="M131" s="16">
        <f t="shared" si="115"/>
        <v>172735791.31559196</v>
      </c>
      <c r="N131" s="16">
        <f t="shared" si="115"/>
        <v>160911913.40758422</v>
      </c>
      <c r="O131" s="16">
        <f t="shared" si="115"/>
        <v>154536160.46912318</v>
      </c>
      <c r="P131" s="16">
        <f t="shared" si="115"/>
        <v>388302320.30779606</v>
      </c>
      <c r="Q131" s="16">
        <f t="shared" si="115"/>
        <v>567007913.90556538</v>
      </c>
      <c r="R131" s="16">
        <f t="shared" si="115"/>
        <v>527650952.55227661</v>
      </c>
      <c r="S131" s="16">
        <f t="shared" si="115"/>
        <v>473223775.59440309</v>
      </c>
      <c r="T131" s="16">
        <f t="shared" si="115"/>
        <v>346441305.37373644</v>
      </c>
      <c r="U131" s="16">
        <f t="shared" si="115"/>
        <v>337424031.89161766</v>
      </c>
      <c r="V131" s="16">
        <f t="shared" si="115"/>
        <v>341361028.5608567</v>
      </c>
      <c r="W131" s="16">
        <f t="shared" si="115"/>
        <v>307777063.73491842</v>
      </c>
      <c r="X131" s="16">
        <f t="shared" si="115"/>
        <v>301851310.68359077</v>
      </c>
      <c r="Y131" s="16">
        <f t="shared" si="115"/>
        <v>269916006.61238825</v>
      </c>
      <c r="Z131" s="16">
        <f t="shared" si="115"/>
        <v>212768994.83887282</v>
      </c>
      <c r="AA131" s="16">
        <f t="shared" si="115"/>
        <v>212141986.92672256</v>
      </c>
      <c r="AB131" s="16">
        <f t="shared" si="115"/>
        <v>210247129.32672256</v>
      </c>
      <c r="AC131" s="16">
        <f t="shared" si="115"/>
        <v>203115668.65309921</v>
      </c>
      <c r="AD131" s="16">
        <f t="shared" si="115"/>
        <v>198232001.86056951</v>
      </c>
      <c r="AE131" s="16">
        <f t="shared" si="115"/>
        <v>171904334.71309194</v>
      </c>
      <c r="AF131" s="16">
        <f t="shared" si="115"/>
        <v>85215737.135633439</v>
      </c>
      <c r="AG131" s="16">
        <f t="shared" si="115"/>
        <v>29453662.282227349</v>
      </c>
      <c r="AH131" s="16">
        <f t="shared" si="115"/>
        <v>0</v>
      </c>
      <c r="AI131" s="16">
        <f t="shared" si="115"/>
        <v>0</v>
      </c>
      <c r="AJ131" s="16">
        <f t="shared" si="115"/>
        <v>0</v>
      </c>
      <c r="AK131" s="16">
        <f t="shared" si="115"/>
        <v>0</v>
      </c>
      <c r="AL131" s="16">
        <f t="shared" si="115"/>
        <v>0</v>
      </c>
      <c r="AM131" s="16">
        <f t="shared" si="115"/>
        <v>0</v>
      </c>
      <c r="AN131" s="16">
        <f t="shared" si="115"/>
        <v>0</v>
      </c>
      <c r="AO131" s="16">
        <f t="shared" si="115"/>
        <v>0</v>
      </c>
      <c r="AP131" s="16">
        <f t="shared" si="115"/>
        <v>0</v>
      </c>
      <c r="AQ131" s="16">
        <f t="shared" si="115"/>
        <v>0</v>
      </c>
      <c r="AR131" s="16">
        <f t="shared" si="115"/>
        <v>0</v>
      </c>
      <c r="AS131" s="16">
        <f t="shared" si="115"/>
        <v>0</v>
      </c>
      <c r="AT131" s="16">
        <f t="shared" si="115"/>
        <v>0</v>
      </c>
      <c r="AU131" s="16">
        <f t="shared" si="115"/>
        <v>0</v>
      </c>
      <c r="AV131" s="16">
        <f t="shared" si="115"/>
        <v>0</v>
      </c>
      <c r="AW131" s="16">
        <f t="shared" si="115"/>
        <v>0</v>
      </c>
      <c r="AX131" s="13"/>
    </row>
    <row r="132" spans="2:50" x14ac:dyDescent="0.25">
      <c r="B132" t="s">
        <v>160</v>
      </c>
      <c r="C132" t="s">
        <v>43</v>
      </c>
      <c r="E132" s="11">
        <f>E131/(E65+E66*E23/E22+E67*E24/E22+E68*E25/E22)</f>
        <v>11.944325851227012</v>
      </c>
      <c r="F132" s="11">
        <f t="shared" ref="F132:J132" si="117">F131/(F65+F66*F23/F22+F67*F24/F22+F68*F25/F22)</f>
        <v>15.622509992127878</v>
      </c>
      <c r="G132" s="11">
        <f t="shared" si="117"/>
        <v>14.686794284826373</v>
      </c>
      <c r="H132" s="11">
        <f t="shared" si="117"/>
        <v>25.807563298115507</v>
      </c>
      <c r="I132" s="11">
        <f t="shared" si="117"/>
        <v>18.4527990514115</v>
      </c>
      <c r="J132" s="11">
        <f t="shared" si="117"/>
        <v>19.792786103381523</v>
      </c>
      <c r="K132" s="56">
        <f>AVERAGE(L132:AW132)</f>
        <v>21.180945927287709</v>
      </c>
      <c r="L132" s="24">
        <f>IFERROR(L131/(L65+L66*L23/L22+L67*L24/L22+L68*L25/L22),"")</f>
        <v>20.692041082601776</v>
      </c>
      <c r="M132" s="24">
        <f t="shared" ref="M132:AW132" si="118">IFERROR(M131/(M65+M66*M23/M22+M67*M24/M22+M68*M25/M22),"")</f>
        <v>21.301997885328809</v>
      </c>
      <c r="N132" s="24">
        <f t="shared" si="118"/>
        <v>22.057827290381415</v>
      </c>
      <c r="O132" s="24">
        <f t="shared" si="118"/>
        <v>23.348590647466906</v>
      </c>
      <c r="P132" s="24">
        <f t="shared" si="118"/>
        <v>19.200403457500293</v>
      </c>
      <c r="Q132" s="24">
        <f t="shared" si="118"/>
        <v>16.889961613554686</v>
      </c>
      <c r="R132" s="24">
        <f t="shared" si="118"/>
        <v>16.891921553660147</v>
      </c>
      <c r="S132" s="24">
        <f t="shared" si="118"/>
        <v>18.560102291524657</v>
      </c>
      <c r="T132" s="24">
        <f t="shared" si="118"/>
        <v>17.462438686649818</v>
      </c>
      <c r="U132" s="24">
        <f t="shared" si="118"/>
        <v>19.082808585149998</v>
      </c>
      <c r="V132" s="24">
        <f t="shared" si="118"/>
        <v>18.178408303614844</v>
      </c>
      <c r="W132" s="24">
        <f t="shared" si="118"/>
        <v>20.24692553608141</v>
      </c>
      <c r="X132" s="24">
        <f t="shared" si="118"/>
        <v>20.441170788348039</v>
      </c>
      <c r="Y132" s="24">
        <f t="shared" si="118"/>
        <v>21.642385370760472</v>
      </c>
      <c r="Z132" s="24">
        <f t="shared" si="118"/>
        <v>22.110902349754937</v>
      </c>
      <c r="AA132" s="24">
        <f t="shared" si="118"/>
        <v>21.874696423626407</v>
      </c>
      <c r="AB132" s="24">
        <f t="shared" si="118"/>
        <v>21.679311081165565</v>
      </c>
      <c r="AC132" s="24">
        <f t="shared" si="118"/>
        <v>24.08310384230256</v>
      </c>
      <c r="AD132" s="24">
        <f t="shared" si="118"/>
        <v>24.676943478044347</v>
      </c>
      <c r="AE132" s="24">
        <f t="shared" si="118"/>
        <v>24.159536563109171</v>
      </c>
      <c r="AF132" s="24">
        <f t="shared" si="118"/>
        <v>22.33604936976834</v>
      </c>
      <c r="AG132" s="24">
        <f t="shared" si="118"/>
        <v>29.063284199935026</v>
      </c>
      <c r="AH132" s="24" t="str">
        <f t="shared" si="118"/>
        <v/>
      </c>
      <c r="AI132" s="24" t="str">
        <f t="shared" si="118"/>
        <v/>
      </c>
      <c r="AJ132" s="24" t="str">
        <f t="shared" si="118"/>
        <v/>
      </c>
      <c r="AK132" s="24" t="str">
        <f t="shared" si="118"/>
        <v/>
      </c>
      <c r="AL132" s="24" t="str">
        <f t="shared" si="118"/>
        <v/>
      </c>
      <c r="AM132" s="24" t="str">
        <f t="shared" si="118"/>
        <v/>
      </c>
      <c r="AN132" s="24" t="str">
        <f t="shared" si="118"/>
        <v/>
      </c>
      <c r="AO132" s="24" t="str">
        <f t="shared" si="118"/>
        <v/>
      </c>
      <c r="AP132" s="24" t="str">
        <f t="shared" si="118"/>
        <v/>
      </c>
      <c r="AQ132" s="24" t="str">
        <f t="shared" si="118"/>
        <v/>
      </c>
      <c r="AR132" s="24" t="str">
        <f t="shared" si="118"/>
        <v/>
      </c>
      <c r="AS132" s="24" t="str">
        <f t="shared" si="118"/>
        <v/>
      </c>
      <c r="AT132" s="24" t="str">
        <f t="shared" si="118"/>
        <v/>
      </c>
      <c r="AU132" s="24" t="str">
        <f t="shared" si="118"/>
        <v/>
      </c>
      <c r="AV132" s="24" t="str">
        <f t="shared" si="118"/>
        <v/>
      </c>
      <c r="AW132" s="24" t="str">
        <f t="shared" si="118"/>
        <v/>
      </c>
      <c r="AX132" s="13"/>
    </row>
    <row r="133" spans="2:50" x14ac:dyDescent="0.25">
      <c r="B133" t="s">
        <v>287</v>
      </c>
      <c r="C133" t="s">
        <v>43</v>
      </c>
      <c r="E133" s="11">
        <f>(E131-SUM(E72:E74))/E65</f>
        <v>6.7219392661808781</v>
      </c>
      <c r="F133" s="11">
        <f t="shared" ref="F133:J133" si="119">(F131-SUM(F72:F74))/F65</f>
        <v>15.496759472813171</v>
      </c>
      <c r="G133" s="11">
        <f t="shared" si="119"/>
        <v>13.203964265781334</v>
      </c>
      <c r="H133" s="11">
        <f t="shared" si="119"/>
        <v>30.88970163829066</v>
      </c>
      <c r="I133" s="11">
        <f t="shared" si="119"/>
        <v>1.4014671957610538</v>
      </c>
      <c r="J133" s="11">
        <f t="shared" si="119"/>
        <v>3.0266125560709072</v>
      </c>
      <c r="K133" s="56">
        <f t="shared" ref="K133:K137" si="120">AVERAGE(L133:AW133)</f>
        <v>-17.438828590093177</v>
      </c>
      <c r="L133" s="24">
        <f>IFERROR((L131-SUM(L72:L74))/L65,"")</f>
        <v>15.270436937979886</v>
      </c>
      <c r="M133" s="24">
        <f t="shared" ref="M133:AW133" si="121">IFERROR((M131-SUM(M72:M74))/M65,"")</f>
        <v>18.388637269549022</v>
      </c>
      <c r="N133" s="24">
        <f t="shared" si="121"/>
        <v>18.614608560470224</v>
      </c>
      <c r="O133" s="24">
        <f t="shared" si="121"/>
        <v>18.098122750931687</v>
      </c>
      <c r="P133" s="24">
        <f t="shared" si="121"/>
        <v>0.76124698031107241</v>
      </c>
      <c r="Q133" s="24">
        <f t="shared" si="121"/>
        <v>-19.849799272722404</v>
      </c>
      <c r="R133" s="24">
        <f t="shared" si="121"/>
        <v>-78.100649911604279</v>
      </c>
      <c r="S133" s="24">
        <f t="shared" si="121"/>
        <v>-128.86288607017084</v>
      </c>
      <c r="T133" s="24">
        <f t="shared" si="121"/>
        <v>-114.32934471957937</v>
      </c>
      <c r="U133" s="24">
        <f t="shared" si="121"/>
        <v>-58.663530380699441</v>
      </c>
      <c r="V133" s="24">
        <f t="shared" si="121"/>
        <v>-89.612554038793633</v>
      </c>
      <c r="W133" s="24">
        <f t="shared" si="121"/>
        <v>-43.530632355880542</v>
      </c>
      <c r="X133" s="24">
        <f t="shared" si="121"/>
        <v>-38.851863440990577</v>
      </c>
      <c r="Y133" s="24">
        <f t="shared" si="121"/>
        <v>-14.609475906099085</v>
      </c>
      <c r="Z133" s="24">
        <f t="shared" si="121"/>
        <v>5.8787157717264593</v>
      </c>
      <c r="AA133" s="24">
        <f t="shared" si="121"/>
        <v>4.6780385033420488</v>
      </c>
      <c r="AB133" s="24">
        <f t="shared" si="121"/>
        <v>3.4075656326368549</v>
      </c>
      <c r="AC133" s="24">
        <f t="shared" si="121"/>
        <v>19.829271698601087</v>
      </c>
      <c r="AD133" s="24">
        <f t="shared" si="121"/>
        <v>23.259998065009029</v>
      </c>
      <c r="AE133" s="24">
        <f t="shared" si="121"/>
        <v>20.990355481329605</v>
      </c>
      <c r="AF133" s="24">
        <f t="shared" si="121"/>
        <v>18.18558727148697</v>
      </c>
      <c r="AG133" s="24">
        <f t="shared" si="121"/>
        <v>35.393922191116317</v>
      </c>
      <c r="AH133" s="24" t="str">
        <f t="shared" si="121"/>
        <v/>
      </c>
      <c r="AI133" s="24" t="str">
        <f t="shared" si="121"/>
        <v/>
      </c>
      <c r="AJ133" s="24" t="str">
        <f t="shared" si="121"/>
        <v/>
      </c>
      <c r="AK133" s="24" t="str">
        <f t="shared" si="121"/>
        <v/>
      </c>
      <c r="AL133" s="24" t="str">
        <f t="shared" si="121"/>
        <v/>
      </c>
      <c r="AM133" s="24" t="str">
        <f t="shared" si="121"/>
        <v/>
      </c>
      <c r="AN133" s="24" t="str">
        <f t="shared" si="121"/>
        <v/>
      </c>
      <c r="AO133" s="24" t="str">
        <f t="shared" si="121"/>
        <v/>
      </c>
      <c r="AP133" s="24" t="str">
        <f t="shared" si="121"/>
        <v/>
      </c>
      <c r="AQ133" s="24" t="str">
        <f t="shared" si="121"/>
        <v/>
      </c>
      <c r="AR133" s="24" t="str">
        <f t="shared" si="121"/>
        <v/>
      </c>
      <c r="AS133" s="24" t="str">
        <f t="shared" si="121"/>
        <v/>
      </c>
      <c r="AT133" s="24" t="str">
        <f t="shared" si="121"/>
        <v/>
      </c>
      <c r="AU133" s="24" t="str">
        <f t="shared" si="121"/>
        <v/>
      </c>
      <c r="AV133" s="24" t="str">
        <f t="shared" si="121"/>
        <v/>
      </c>
      <c r="AW133" s="24" t="str">
        <f t="shared" si="121"/>
        <v/>
      </c>
      <c r="AX133" s="13"/>
    </row>
    <row r="134" spans="2:50" x14ac:dyDescent="0.25">
      <c r="B134" t="s">
        <v>285</v>
      </c>
      <c r="C134" t="s">
        <v>43</v>
      </c>
      <c r="E134" s="11">
        <f>(E131*E71/E75)/E65</f>
        <v>11.942016613731591</v>
      </c>
      <c r="F134" s="11">
        <f t="shared" ref="F134:J134" si="122">(F131*F71/F75)/F65</f>
        <v>15.621040749106015</v>
      </c>
      <c r="G134" s="11">
        <f t="shared" si="122"/>
        <v>14.688241095620002</v>
      </c>
      <c r="H134" s="11">
        <f t="shared" si="122"/>
        <v>25.79313725122493</v>
      </c>
      <c r="I134" s="11">
        <f t="shared" si="122"/>
        <v>18.456682121456975</v>
      </c>
      <c r="J134" s="11">
        <f t="shared" si="122"/>
        <v>19.791838406315289</v>
      </c>
      <c r="K134" s="56">
        <f t="shared" si="120"/>
        <v>21.180945927287709</v>
      </c>
      <c r="L134" s="24">
        <f>IFERROR((L131*L71/L75)/L65,"")</f>
        <v>20.692041082601776</v>
      </c>
      <c r="M134" s="24">
        <f t="shared" ref="M134:AW134" si="123">IFERROR((M131*M71/M75)/M65,"")</f>
        <v>21.301997885328806</v>
      </c>
      <c r="N134" s="24">
        <f t="shared" si="123"/>
        <v>22.057827290381415</v>
      </c>
      <c r="O134" s="24">
        <f t="shared" si="123"/>
        <v>23.348590647466906</v>
      </c>
      <c r="P134" s="24">
        <f t="shared" si="123"/>
        <v>19.200403457500297</v>
      </c>
      <c r="Q134" s="24">
        <f t="shared" si="123"/>
        <v>16.889961613554682</v>
      </c>
      <c r="R134" s="24">
        <f t="shared" si="123"/>
        <v>16.891921553660147</v>
      </c>
      <c r="S134" s="24">
        <f t="shared" si="123"/>
        <v>18.560102291524657</v>
      </c>
      <c r="T134" s="24">
        <f t="shared" si="123"/>
        <v>17.462438686649818</v>
      </c>
      <c r="U134" s="24">
        <f t="shared" si="123"/>
        <v>19.082808585149994</v>
      </c>
      <c r="V134" s="24">
        <f t="shared" si="123"/>
        <v>18.178408303614848</v>
      </c>
      <c r="W134" s="24">
        <f t="shared" si="123"/>
        <v>20.246925536081413</v>
      </c>
      <c r="X134" s="24">
        <f t="shared" si="123"/>
        <v>20.441170788348039</v>
      </c>
      <c r="Y134" s="24">
        <f t="shared" si="123"/>
        <v>21.642385370760472</v>
      </c>
      <c r="Z134" s="24">
        <f t="shared" si="123"/>
        <v>22.110902349754937</v>
      </c>
      <c r="AA134" s="24">
        <f t="shared" si="123"/>
        <v>21.874696423626411</v>
      </c>
      <c r="AB134" s="24">
        <f t="shared" si="123"/>
        <v>21.679311081165569</v>
      </c>
      <c r="AC134" s="24">
        <f t="shared" si="123"/>
        <v>24.083103842302556</v>
      </c>
      <c r="AD134" s="24">
        <f t="shared" si="123"/>
        <v>24.676943478044354</v>
      </c>
      <c r="AE134" s="24">
        <f t="shared" si="123"/>
        <v>24.159536563109175</v>
      </c>
      <c r="AF134" s="24">
        <f t="shared" si="123"/>
        <v>22.336049369768343</v>
      </c>
      <c r="AG134" s="24">
        <f t="shared" si="123"/>
        <v>29.06328419993503</v>
      </c>
      <c r="AH134" s="24" t="str">
        <f t="shared" si="123"/>
        <v/>
      </c>
      <c r="AI134" s="24" t="str">
        <f t="shared" si="123"/>
        <v/>
      </c>
      <c r="AJ134" s="24" t="str">
        <f t="shared" si="123"/>
        <v/>
      </c>
      <c r="AK134" s="24" t="str">
        <f t="shared" si="123"/>
        <v/>
      </c>
      <c r="AL134" s="24" t="str">
        <f t="shared" si="123"/>
        <v/>
      </c>
      <c r="AM134" s="24" t="str">
        <f t="shared" si="123"/>
        <v/>
      </c>
      <c r="AN134" s="24" t="str">
        <f t="shared" si="123"/>
        <v/>
      </c>
      <c r="AO134" s="24" t="str">
        <f t="shared" si="123"/>
        <v/>
      </c>
      <c r="AP134" s="24" t="str">
        <f t="shared" si="123"/>
        <v/>
      </c>
      <c r="AQ134" s="24" t="str">
        <f t="shared" si="123"/>
        <v/>
      </c>
      <c r="AR134" s="24" t="str">
        <f t="shared" si="123"/>
        <v/>
      </c>
      <c r="AS134" s="24" t="str">
        <f t="shared" si="123"/>
        <v/>
      </c>
      <c r="AT134" s="24" t="str">
        <f t="shared" si="123"/>
        <v/>
      </c>
      <c r="AU134" s="24" t="str">
        <f t="shared" si="123"/>
        <v/>
      </c>
      <c r="AV134" s="24" t="str">
        <f t="shared" si="123"/>
        <v/>
      </c>
      <c r="AW134" s="24" t="str">
        <f t="shared" si="123"/>
        <v/>
      </c>
      <c r="AX134" s="13"/>
    </row>
    <row r="135" spans="2:50" x14ac:dyDescent="0.25">
      <c r="B135" t="s">
        <v>286</v>
      </c>
      <c r="C135" t="s">
        <v>43</v>
      </c>
      <c r="E135" s="6">
        <f>(E131*E72/E75)/E66</f>
        <v>881.27053269399494</v>
      </c>
      <c r="F135" s="6">
        <f t="shared" ref="F135:J135" si="124">(F131*F72/F75)/F66</f>
        <v>1263.6088121912496</v>
      </c>
      <c r="G135" s="6">
        <f t="shared" si="124"/>
        <v>1262.7560336920183</v>
      </c>
      <c r="H135" s="6">
        <f t="shared" si="124"/>
        <v>2201.8859666773301</v>
      </c>
      <c r="I135" s="6">
        <f t="shared" si="124"/>
        <v>1311.9324772721018</v>
      </c>
      <c r="J135" s="6">
        <f t="shared" si="124"/>
        <v>1542.2851110610313</v>
      </c>
      <c r="K135" s="15">
        <f t="shared" si="120"/>
        <v>1518.7008497298609</v>
      </c>
      <c r="L135" s="16">
        <f>IFERROR((L131*L72/L75)/L66,"")</f>
        <v>1758.8234920211505</v>
      </c>
      <c r="M135" s="16">
        <f t="shared" ref="M135:AW135" si="125">IFERROR((M131*M72/M75)/M66,"")</f>
        <v>1791.3043676299226</v>
      </c>
      <c r="N135" s="16">
        <f t="shared" si="125"/>
        <v>1726.2647444646325</v>
      </c>
      <c r="O135" s="16">
        <f t="shared" si="125"/>
        <v>1634.4013453226835</v>
      </c>
      <c r="P135" s="16">
        <f t="shared" si="125"/>
        <v>1344.0282420250205</v>
      </c>
      <c r="Q135" s="16">
        <f t="shared" si="125"/>
        <v>1182.297312948828</v>
      </c>
      <c r="R135" s="16">
        <f t="shared" si="125"/>
        <v>1182.4345087562106</v>
      </c>
      <c r="S135" s="16">
        <f t="shared" si="125"/>
        <v>1299.2071604067262</v>
      </c>
      <c r="T135" s="16">
        <f t="shared" si="125"/>
        <v>1222.370708065487</v>
      </c>
      <c r="U135" s="16">
        <f t="shared" si="125"/>
        <v>1335.7966009605</v>
      </c>
      <c r="V135" s="16">
        <f t="shared" si="125"/>
        <v>1272.4885812530392</v>
      </c>
      <c r="W135" s="16">
        <f t="shared" si="125"/>
        <v>1417.2847875256984</v>
      </c>
      <c r="X135" s="16">
        <f t="shared" si="125"/>
        <v>1430.8819551843628</v>
      </c>
      <c r="Y135" s="16">
        <f t="shared" si="125"/>
        <v>1514.966975953233</v>
      </c>
      <c r="Z135" s="16">
        <f t="shared" si="125"/>
        <v>1547.7631644828457</v>
      </c>
      <c r="AA135" s="16">
        <f t="shared" si="125"/>
        <v>1531.2287496538486</v>
      </c>
      <c r="AB135" s="16">
        <f t="shared" si="125"/>
        <v>1517.5517756815896</v>
      </c>
      <c r="AC135" s="16">
        <f t="shared" si="125"/>
        <v>1685.817268961179</v>
      </c>
      <c r="AD135" s="16">
        <f t="shared" si="125"/>
        <v>1727.3860434631047</v>
      </c>
      <c r="AE135" s="16">
        <f t="shared" si="125"/>
        <v>1691.167559417642</v>
      </c>
      <c r="AF135" s="16">
        <f t="shared" si="125"/>
        <v>1563.523455883784</v>
      </c>
      <c r="AG135" s="16">
        <f t="shared" si="125"/>
        <v>2034.4298939954524</v>
      </c>
      <c r="AH135" s="16" t="str">
        <f t="shared" si="125"/>
        <v/>
      </c>
      <c r="AI135" s="16" t="str">
        <f t="shared" si="125"/>
        <v/>
      </c>
      <c r="AJ135" s="16" t="str">
        <f t="shared" si="125"/>
        <v/>
      </c>
      <c r="AK135" s="16" t="str">
        <f t="shared" si="125"/>
        <v/>
      </c>
      <c r="AL135" s="16" t="str">
        <f t="shared" si="125"/>
        <v/>
      </c>
      <c r="AM135" s="16" t="str">
        <f t="shared" si="125"/>
        <v/>
      </c>
      <c r="AN135" s="16" t="str">
        <f t="shared" si="125"/>
        <v/>
      </c>
      <c r="AO135" s="16" t="str">
        <f t="shared" si="125"/>
        <v/>
      </c>
      <c r="AP135" s="16" t="str">
        <f t="shared" si="125"/>
        <v/>
      </c>
      <c r="AQ135" s="16" t="str">
        <f t="shared" si="125"/>
        <v/>
      </c>
      <c r="AR135" s="16" t="str">
        <f t="shared" si="125"/>
        <v/>
      </c>
      <c r="AS135" s="16" t="str">
        <f t="shared" si="125"/>
        <v/>
      </c>
      <c r="AT135" s="16" t="str">
        <f t="shared" si="125"/>
        <v/>
      </c>
      <c r="AU135" s="16" t="str">
        <f t="shared" si="125"/>
        <v/>
      </c>
      <c r="AV135" s="16" t="str">
        <f t="shared" si="125"/>
        <v/>
      </c>
      <c r="AW135" s="16" t="str">
        <f t="shared" si="125"/>
        <v/>
      </c>
      <c r="AX135" s="13"/>
    </row>
    <row r="136" spans="2:50" x14ac:dyDescent="0.25">
      <c r="B136" t="s">
        <v>288</v>
      </c>
      <c r="C136" t="s">
        <v>49</v>
      </c>
      <c r="E136" s="11">
        <f>(E131*E73/E75)/E67</f>
        <v>0.73614483637923189</v>
      </c>
      <c r="F136" s="11">
        <f t="shared" ref="F136:J136" si="126">(F131*F73/F75)/F67</f>
        <v>1.0124752462176547</v>
      </c>
      <c r="G136" s="11">
        <f t="shared" si="126"/>
        <v>0.82491600190935865</v>
      </c>
      <c r="H136" s="11">
        <f t="shared" si="126"/>
        <v>1.0108700049862689</v>
      </c>
      <c r="I136" s="11">
        <f t="shared" si="126"/>
        <v>0.73346195250884794</v>
      </c>
      <c r="J136" s="11">
        <f t="shared" si="126"/>
        <v>0.86740995343124205</v>
      </c>
      <c r="K136" s="56">
        <f t="shared" si="120"/>
        <v>0.77716089478276151</v>
      </c>
      <c r="L136" s="24">
        <f>IFERROR((L131*L73/L75)/L67,"")</f>
        <v>0.89351995583962207</v>
      </c>
      <c r="M136" s="24">
        <f t="shared" ref="M136:AW136" si="127">IFERROR((M131*M73/M75)/M67,"")</f>
        <v>0.87144536803617856</v>
      </c>
      <c r="N136" s="24">
        <f t="shared" si="127"/>
        <v>0.86313237223231642</v>
      </c>
      <c r="O136" s="24">
        <f t="shared" si="127"/>
        <v>0.84054926330880875</v>
      </c>
      <c r="P136" s="24">
        <f t="shared" si="127"/>
        <v>0.69121452447001064</v>
      </c>
      <c r="Q136" s="24">
        <f t="shared" si="127"/>
        <v>0.60803861808796877</v>
      </c>
      <c r="R136" s="24">
        <f t="shared" si="127"/>
        <v>0.60810917593176539</v>
      </c>
      <c r="S136" s="24">
        <f t="shared" si="127"/>
        <v>0.66816368249488767</v>
      </c>
      <c r="T136" s="24">
        <f t="shared" si="127"/>
        <v>0.62864779271939331</v>
      </c>
      <c r="U136" s="24">
        <f t="shared" si="127"/>
        <v>0.68698110906539989</v>
      </c>
      <c r="V136" s="24">
        <f t="shared" si="127"/>
        <v>0.65442269893013438</v>
      </c>
      <c r="W136" s="24">
        <f t="shared" si="127"/>
        <v>0.72888931929893075</v>
      </c>
      <c r="X136" s="24">
        <f t="shared" si="127"/>
        <v>0.73588214838052934</v>
      </c>
      <c r="Y136" s="24">
        <f t="shared" si="127"/>
        <v>0.77912587334737693</v>
      </c>
      <c r="Z136" s="24">
        <f t="shared" si="127"/>
        <v>0.79599248459117777</v>
      </c>
      <c r="AA136" s="24">
        <f t="shared" si="127"/>
        <v>0.7874890712505509</v>
      </c>
      <c r="AB136" s="24">
        <f t="shared" si="127"/>
        <v>0.78045519892196047</v>
      </c>
      <c r="AC136" s="24">
        <f t="shared" si="127"/>
        <v>0.86699173832289211</v>
      </c>
      <c r="AD136" s="24">
        <f t="shared" si="127"/>
        <v>0.88836996520959666</v>
      </c>
      <c r="AE136" s="24">
        <f t="shared" si="127"/>
        <v>0.86974331627193024</v>
      </c>
      <c r="AF136" s="24">
        <f t="shared" si="127"/>
        <v>0.80409777731166043</v>
      </c>
      <c r="AG136" s="24">
        <f t="shared" si="127"/>
        <v>1.0462782311976613</v>
      </c>
      <c r="AH136" s="24" t="str">
        <f t="shared" si="127"/>
        <v/>
      </c>
      <c r="AI136" s="24" t="str">
        <f t="shared" si="127"/>
        <v/>
      </c>
      <c r="AJ136" s="24" t="str">
        <f t="shared" si="127"/>
        <v/>
      </c>
      <c r="AK136" s="24" t="str">
        <f t="shared" si="127"/>
        <v/>
      </c>
      <c r="AL136" s="24" t="str">
        <f t="shared" si="127"/>
        <v/>
      </c>
      <c r="AM136" s="24" t="str">
        <f t="shared" si="127"/>
        <v/>
      </c>
      <c r="AN136" s="24" t="str">
        <f t="shared" si="127"/>
        <v/>
      </c>
      <c r="AO136" s="24" t="str">
        <f t="shared" si="127"/>
        <v/>
      </c>
      <c r="AP136" s="24" t="str">
        <f t="shared" si="127"/>
        <v/>
      </c>
      <c r="AQ136" s="24" t="str">
        <f t="shared" si="127"/>
        <v/>
      </c>
      <c r="AR136" s="24" t="str">
        <f t="shared" si="127"/>
        <v/>
      </c>
      <c r="AS136" s="24" t="str">
        <f t="shared" si="127"/>
        <v/>
      </c>
      <c r="AT136" s="24" t="str">
        <f t="shared" si="127"/>
        <v/>
      </c>
      <c r="AU136" s="24" t="str">
        <f t="shared" si="127"/>
        <v/>
      </c>
      <c r="AV136" s="24" t="str">
        <f t="shared" si="127"/>
        <v/>
      </c>
      <c r="AW136" s="24" t="str">
        <f t="shared" si="127"/>
        <v/>
      </c>
      <c r="AX136" s="13"/>
    </row>
    <row r="137" spans="2:50" x14ac:dyDescent="0.25">
      <c r="B137" t="s">
        <v>289</v>
      </c>
      <c r="C137" t="s">
        <v>49</v>
      </c>
      <c r="E137" s="11">
        <f>(E131*E74/E75)/E68</f>
        <v>0.92543922287674885</v>
      </c>
      <c r="F137" s="11">
        <f t="shared" ref="F137:J137" si="128">(F131*F74/F75)/F68</f>
        <v>1.3102620833404943</v>
      </c>
      <c r="G137" s="11">
        <f t="shared" si="128"/>
        <v>1.0424762661491895</v>
      </c>
      <c r="H137" s="11">
        <f t="shared" si="128"/>
        <v>1.2544531387179001</v>
      </c>
      <c r="I137" s="11">
        <f t="shared" si="128"/>
        <v>0.99750825541203347</v>
      </c>
      <c r="J137" s="11">
        <f t="shared" si="128"/>
        <v>1.3829460578290556</v>
      </c>
      <c r="K137" s="56">
        <f t="shared" si="120"/>
        <v>0.99484519391563186</v>
      </c>
      <c r="L137" s="24">
        <f>IFERROR((L131*L74/L75)/L68,"")</f>
        <v>1.598930447291955</v>
      </c>
      <c r="M137" s="24">
        <f t="shared" ref="M137:AW137" si="129">IFERROR((M131*M74/M75)/M68,"")</f>
        <v>1.4039953151693985</v>
      </c>
      <c r="N137" s="24">
        <f t="shared" si="129"/>
        <v>1.1987949614337727</v>
      </c>
      <c r="O137" s="24">
        <f t="shared" si="129"/>
        <v>1.0273379884885443</v>
      </c>
      <c r="P137" s="24">
        <f t="shared" si="129"/>
        <v>0.84481775213001298</v>
      </c>
      <c r="Q137" s="24">
        <f t="shared" si="129"/>
        <v>0.74315831099640628</v>
      </c>
      <c r="R137" s="24">
        <f t="shared" si="129"/>
        <v>0.74324454836104659</v>
      </c>
      <c r="S137" s="24">
        <f t="shared" si="129"/>
        <v>0.81664450082708517</v>
      </c>
      <c r="T137" s="24">
        <f t="shared" si="129"/>
        <v>0.76834730221259195</v>
      </c>
      <c r="U137" s="24">
        <f t="shared" si="129"/>
        <v>0.83964357774659992</v>
      </c>
      <c r="V137" s="24">
        <f t="shared" si="129"/>
        <v>0.79984996535905328</v>
      </c>
      <c r="W137" s="24">
        <f t="shared" si="129"/>
        <v>0.89086472358758217</v>
      </c>
      <c r="X137" s="24">
        <f t="shared" si="129"/>
        <v>0.89941151468731384</v>
      </c>
      <c r="Y137" s="24">
        <f t="shared" si="129"/>
        <v>0.95226495631346064</v>
      </c>
      <c r="Z137" s="24">
        <f t="shared" si="129"/>
        <v>0.97287970338921737</v>
      </c>
      <c r="AA137" s="24">
        <f t="shared" si="129"/>
        <v>0.96248664263956218</v>
      </c>
      <c r="AB137" s="24">
        <f t="shared" si="129"/>
        <v>0.95388968757128523</v>
      </c>
      <c r="AC137" s="24">
        <f t="shared" si="129"/>
        <v>1.0596565690613124</v>
      </c>
      <c r="AD137" s="24">
        <f t="shared" si="129"/>
        <v>1.0857855130339515</v>
      </c>
      <c r="AE137" s="24">
        <f t="shared" si="129"/>
        <v>1.0630196087768038</v>
      </c>
      <c r="AF137" s="24">
        <f t="shared" si="129"/>
        <v>0.98278617226980713</v>
      </c>
      <c r="AG137" s="24">
        <f t="shared" si="129"/>
        <v>1.2787845047971413</v>
      </c>
      <c r="AH137" s="24" t="str">
        <f t="shared" si="129"/>
        <v/>
      </c>
      <c r="AI137" s="24" t="str">
        <f t="shared" si="129"/>
        <v/>
      </c>
      <c r="AJ137" s="24" t="str">
        <f t="shared" si="129"/>
        <v/>
      </c>
      <c r="AK137" s="24" t="str">
        <f t="shared" si="129"/>
        <v/>
      </c>
      <c r="AL137" s="24" t="str">
        <f t="shared" si="129"/>
        <v/>
      </c>
      <c r="AM137" s="24" t="str">
        <f t="shared" si="129"/>
        <v/>
      </c>
      <c r="AN137" s="24" t="str">
        <f t="shared" si="129"/>
        <v/>
      </c>
      <c r="AO137" s="24" t="str">
        <f t="shared" si="129"/>
        <v/>
      </c>
      <c r="AP137" s="24" t="str">
        <f t="shared" si="129"/>
        <v/>
      </c>
      <c r="AQ137" s="24" t="str">
        <f t="shared" si="129"/>
        <v/>
      </c>
      <c r="AR137" s="24" t="str">
        <f t="shared" si="129"/>
        <v/>
      </c>
      <c r="AS137" s="24" t="str">
        <f t="shared" si="129"/>
        <v/>
      </c>
      <c r="AT137" s="24" t="str">
        <f t="shared" si="129"/>
        <v/>
      </c>
      <c r="AU137" s="24" t="str">
        <f t="shared" si="129"/>
        <v/>
      </c>
      <c r="AV137" s="24" t="str">
        <f t="shared" si="129"/>
        <v/>
      </c>
      <c r="AW137" s="24" t="str">
        <f t="shared" si="129"/>
        <v/>
      </c>
      <c r="AX137" s="13"/>
    </row>
    <row r="138" spans="2:50" x14ac:dyDescent="0.25">
      <c r="K138" s="26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spans="2:50" ht="15.75" thickBot="1" x14ac:dyDescent="0.3">
      <c r="B139" s="14" t="s">
        <v>162</v>
      </c>
      <c r="K139" s="26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spans="2:50" x14ac:dyDescent="0.25">
      <c r="B140" t="s">
        <v>162</v>
      </c>
      <c r="C140" t="s">
        <v>93</v>
      </c>
      <c r="E140" s="6">
        <f>E120+E107-SUM(E125:E128)</f>
        <v>59353000</v>
      </c>
      <c r="F140" s="6">
        <f t="shared" ref="F140:J140" si="130">F120+F107-SUM(F125:F128)</f>
        <v>-33822000</v>
      </c>
      <c r="G140" s="6">
        <f t="shared" si="130"/>
        <v>-2210000</v>
      </c>
      <c r="H140" s="6">
        <f t="shared" si="130"/>
        <v>-142935000</v>
      </c>
      <c r="I140" s="6">
        <f t="shared" si="130"/>
        <v>51412000</v>
      </c>
      <c r="J140" s="6">
        <f t="shared" si="130"/>
        <v>10571000</v>
      </c>
      <c r="K140" s="15">
        <f t="shared" ref="K140:K141" si="131">SUM(L140:AW140)</f>
        <v>1086601537.4425585</v>
      </c>
      <c r="L140" s="16">
        <f>L120+L107-SUM(L125:L128)</f>
        <v>7377275.299886398</v>
      </c>
      <c r="M140" s="16">
        <f t="shared" ref="M140:AW140" si="132">M120+M107-SUM(M125:M128)</f>
        <v>2221483.7729193643</v>
      </c>
      <c r="N140" s="16">
        <f t="shared" si="132"/>
        <v>3639126.703335993</v>
      </c>
      <c r="O140" s="16">
        <f t="shared" si="132"/>
        <v>7740769.8903629407</v>
      </c>
      <c r="P140" s="16">
        <f t="shared" si="132"/>
        <v>84613918.681277558</v>
      </c>
      <c r="Q140" s="16">
        <f t="shared" si="132"/>
        <v>197820193.4442752</v>
      </c>
      <c r="R140" s="16">
        <f t="shared" si="132"/>
        <v>201272250.11332047</v>
      </c>
      <c r="S140" s="16">
        <f t="shared" si="132"/>
        <v>141025449.68581796</v>
      </c>
      <c r="T140" s="16">
        <f t="shared" si="132"/>
        <v>116100565.99187142</v>
      </c>
      <c r="U140" s="16">
        <f t="shared" si="132"/>
        <v>62161892.93816939</v>
      </c>
      <c r="V140" s="16">
        <f t="shared" si="132"/>
        <v>83921710.186411589</v>
      </c>
      <c r="W140" s="16">
        <f t="shared" si="132"/>
        <v>49565069.36964485</v>
      </c>
      <c r="X140" s="16">
        <f t="shared" si="132"/>
        <v>43897329.62565732</v>
      </c>
      <c r="Y140" s="16">
        <f t="shared" si="132"/>
        <v>28908373.300297052</v>
      </c>
      <c r="Z140" s="16">
        <f t="shared" si="132"/>
        <v>15178031.797168821</v>
      </c>
      <c r="AA140" s="16">
        <f t="shared" si="132"/>
        <v>16746874.363242246</v>
      </c>
      <c r="AB140" s="16">
        <f t="shared" si="132"/>
        <v>17906203.185055278</v>
      </c>
      <c r="AC140" s="16">
        <f t="shared" si="132"/>
        <v>2336688.0792076029</v>
      </c>
      <c r="AD140" s="16">
        <f t="shared" si="132"/>
        <v>-1275765.065806279</v>
      </c>
      <c r="AE140" s="16">
        <f t="shared" si="132"/>
        <v>2551526.8649863321</v>
      </c>
      <c r="AF140" s="16">
        <f t="shared" si="132"/>
        <v>7498774.2857046928</v>
      </c>
      <c r="AG140" s="16">
        <f t="shared" si="132"/>
        <v>-4606205.0702475635</v>
      </c>
      <c r="AH140" s="16">
        <f t="shared" si="132"/>
        <v>0</v>
      </c>
      <c r="AI140" s="16">
        <f t="shared" si="132"/>
        <v>0</v>
      </c>
      <c r="AJ140" s="16">
        <f t="shared" si="132"/>
        <v>0</v>
      </c>
      <c r="AK140" s="16">
        <f t="shared" si="132"/>
        <v>0</v>
      </c>
      <c r="AL140" s="16">
        <f t="shared" si="132"/>
        <v>0</v>
      </c>
      <c r="AM140" s="16">
        <f t="shared" si="132"/>
        <v>0</v>
      </c>
      <c r="AN140" s="16">
        <f t="shared" si="132"/>
        <v>0</v>
      </c>
      <c r="AO140" s="16">
        <f t="shared" si="132"/>
        <v>0</v>
      </c>
      <c r="AP140" s="16">
        <f t="shared" si="132"/>
        <v>0</v>
      </c>
      <c r="AQ140" s="16">
        <f t="shared" si="132"/>
        <v>0</v>
      </c>
      <c r="AR140" s="16">
        <f t="shared" si="132"/>
        <v>0</v>
      </c>
      <c r="AS140" s="16">
        <f t="shared" si="132"/>
        <v>0</v>
      </c>
      <c r="AT140" s="16">
        <f t="shared" si="132"/>
        <v>0</v>
      </c>
      <c r="AU140" s="16">
        <f t="shared" si="132"/>
        <v>0</v>
      </c>
      <c r="AV140" s="16">
        <f t="shared" si="132"/>
        <v>0</v>
      </c>
      <c r="AW140" s="16">
        <f t="shared" si="132"/>
        <v>0</v>
      </c>
      <c r="AX140" s="13"/>
    </row>
    <row r="141" spans="2:50" x14ac:dyDescent="0.25">
      <c r="B141" s="3" t="s">
        <v>163</v>
      </c>
      <c r="C141" s="3" t="s">
        <v>93</v>
      </c>
      <c r="K141" s="15">
        <f t="shared" si="131"/>
        <v>759107837.07684231</v>
      </c>
      <c r="L141" s="15">
        <f>L140</f>
        <v>7377275.299886398</v>
      </c>
      <c r="M141" s="15">
        <f>M140/(1+$C$17)^(0.25)</f>
        <v>2174908.1204192056</v>
      </c>
      <c r="N141" s="15">
        <f>N140/(1+$C$17)^(0.5)</f>
        <v>3488130.4287464288</v>
      </c>
      <c r="O141" s="15">
        <f>O140/(1+$C$17)^(0.75)</f>
        <v>7264027.2724723099</v>
      </c>
      <c r="P141" s="15">
        <f>P140/(1+$C$17)^(1)</f>
        <v>77737914.769016117</v>
      </c>
      <c r="Q141" s="15">
        <f>Q140/(1+$C$17)^(2)</f>
        <v>166975510.01394457</v>
      </c>
      <c r="R141" s="15">
        <f>R140/(1+$C$17)^(3)</f>
        <v>156083550.81584829</v>
      </c>
      <c r="S141" s="15">
        <f>S140/(1+$C$17)^(4)</f>
        <v>100475877.1182725</v>
      </c>
      <c r="T141" s="15">
        <f>T140/(1+$C$17)^(5)</f>
        <v>75995823.957643837</v>
      </c>
      <c r="U141" s="15">
        <f>U140/(1+$C$17)^(6)</f>
        <v>37382703.00018581</v>
      </c>
      <c r="V141" s="15">
        <f>V140/(1+$C$17)^(7)</f>
        <v>46367307.011414744</v>
      </c>
      <c r="W141" s="15">
        <f>W140/(1+$C$17)^(8)</f>
        <v>25159635.449710578</v>
      </c>
      <c r="X141" s="15">
        <f>X140/(1+$C$17)^(9)</f>
        <v>20471883.711572319</v>
      </c>
      <c r="Y141" s="15">
        <f>Y140/(1+$C$17)^(10)</f>
        <v>12386095.848870927</v>
      </c>
      <c r="Z141" s="15">
        <f>Z140/(1+$C$17)^(11)</f>
        <v>5974716.7187007284</v>
      </c>
      <c r="AA141" s="15">
        <f>AA140/(1+$C$17)^(12)</f>
        <v>6056569.4399569901</v>
      </c>
      <c r="AB141" s="15">
        <f>AB140/(1+$C$17)^(13)</f>
        <v>5949596.6656833077</v>
      </c>
      <c r="AC141" s="15">
        <f>AC140/(1+$C$17)^(14)</f>
        <v>713305.93588359654</v>
      </c>
      <c r="AD141" s="15">
        <f>AD140/(1+$C$17)^(15)</f>
        <v>-357797.15175715525</v>
      </c>
      <c r="AE141" s="15">
        <f>AE140/(1+$C$17)^(16)</f>
        <v>657441.92708883469</v>
      </c>
      <c r="AF141" s="15">
        <f>AF140/(1+$C$17)^(17)</f>
        <v>1775164.5286448775</v>
      </c>
      <c r="AG141" s="15">
        <f>AG140/(1+$C$17)^(18)</f>
        <v>-1001803.8053630905</v>
      </c>
      <c r="AH141" s="15">
        <f>AH140/(1+$C$17)^(19)</f>
        <v>0</v>
      </c>
      <c r="AI141" s="15">
        <f>AI140/(1+$C$17)^(20)</f>
        <v>0</v>
      </c>
      <c r="AJ141" s="15">
        <f>AJ140/(1+$C$17)^(21)</f>
        <v>0</v>
      </c>
      <c r="AK141" s="15">
        <f>AK140/(1+$C$17)^(22)</f>
        <v>0</v>
      </c>
      <c r="AL141" s="15">
        <f>AL140/(1+$C$17)^(23)</f>
        <v>0</v>
      </c>
      <c r="AM141" s="15">
        <f>AM140/(1+$C$17)^(24)</f>
        <v>0</v>
      </c>
      <c r="AN141" s="15">
        <f>AN140/(1+$C$17)^(25)</f>
        <v>0</v>
      </c>
      <c r="AO141" s="15">
        <f>AO140/(1+$C$17)^(26)</f>
        <v>0</v>
      </c>
      <c r="AP141" s="15">
        <f>AP140/(1+$C$17)^(27)</f>
        <v>0</v>
      </c>
      <c r="AQ141" s="15">
        <f>AQ140/(1+$C$17)^(28)</f>
        <v>0</v>
      </c>
      <c r="AR141" s="15">
        <f>AR140/(1+$C$17)^(29)</f>
        <v>0</v>
      </c>
      <c r="AS141" s="15">
        <f>AS140/(1+$C$17)^(30)</f>
        <v>0</v>
      </c>
      <c r="AT141" s="15">
        <f>AT140/(1+$C$17)^(31)</f>
        <v>0</v>
      </c>
      <c r="AU141" s="15">
        <f>AU140/(1+$C$17)^(32)</f>
        <v>0</v>
      </c>
      <c r="AV141" s="15">
        <f>AV140/(1+$C$17)^(33)</f>
        <v>0</v>
      </c>
      <c r="AW141" s="15">
        <f>AW140/(1+$C$17)^(34)</f>
        <v>0</v>
      </c>
      <c r="AX141" s="13"/>
    </row>
    <row r="142" spans="2:50" x14ac:dyDescent="0.25">
      <c r="B142" t="s">
        <v>223</v>
      </c>
      <c r="C142" t="s">
        <v>93</v>
      </c>
      <c r="K142" s="15">
        <f>K141-('DCF Yaramoko'!K82+'DCF Seguela'!G76)*10%</f>
        <v>703528162.30173278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</sheetData>
  <pageMargins left="0.7" right="0.7" top="0.75" bottom="0.75" header="0.3" footer="0.3"/>
  <pageSetup orientation="portrait" r:id="rId1"/>
  <ignoredErrors>
    <ignoredError sqref="D15 I15 Y33:AW33 U33 H33 M119 O141 K34 K75 K89:K91 K100 K108 K127 K131 K140 K124:K125" formula="1"/>
    <ignoredError sqref="E131 F131:J131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6EAE-AFB7-421A-8520-9AA59E3C1FCB}">
  <dimension ref="A1:AO117"/>
  <sheetViews>
    <sheetView showGridLines="0" topLeftCell="A84" zoomScale="71" zoomScaleNormal="71" workbookViewId="0">
      <selection activeCell="F100" sqref="F100"/>
    </sheetView>
  </sheetViews>
  <sheetFormatPr defaultRowHeight="15" x14ac:dyDescent="0.25"/>
  <cols>
    <col min="1" max="1" width="10.42578125" customWidth="1"/>
    <col min="2" max="2" width="39.85546875" bestFit="1" customWidth="1"/>
    <col min="5" max="5" width="12.140625" customWidth="1"/>
    <col min="6" max="6" width="13.28515625" bestFit="1" customWidth="1"/>
    <col min="7" max="7" width="15.28515625" bestFit="1" customWidth="1"/>
    <col min="8" max="8" width="14.5703125" bestFit="1" customWidth="1"/>
    <col min="9" max="9" width="13.42578125" bestFit="1" customWidth="1"/>
    <col min="10" max="10" width="12.85546875" bestFit="1" customWidth="1"/>
    <col min="11" max="11" width="18.5703125" bestFit="1" customWidth="1"/>
    <col min="12" max="12" width="17.7109375" bestFit="1" customWidth="1"/>
    <col min="13" max="13" width="18.28515625" bestFit="1" customWidth="1"/>
    <col min="14" max="14" width="17.85546875" bestFit="1" customWidth="1"/>
    <col min="15" max="15" width="14.5703125" bestFit="1" customWidth="1"/>
    <col min="16" max="16" width="18.5703125" bestFit="1" customWidth="1"/>
    <col min="17" max="17" width="13.28515625" bestFit="1" customWidth="1"/>
    <col min="18" max="18" width="15.28515625" bestFit="1" customWidth="1"/>
    <col min="19" max="19" width="14.5703125" bestFit="1" customWidth="1"/>
    <col min="20" max="20" width="13.42578125" bestFit="1" customWidth="1"/>
    <col min="21" max="21" width="12.85546875" bestFit="1" customWidth="1"/>
    <col min="22" max="22" width="14.5703125" bestFit="1" customWidth="1"/>
    <col min="23" max="23" width="18.5703125" bestFit="1" customWidth="1"/>
    <col min="24" max="24" width="17.7109375" bestFit="1" customWidth="1"/>
    <col min="25" max="25" width="17.85546875" bestFit="1" customWidth="1"/>
    <col min="26" max="26" width="10.85546875" bestFit="1" customWidth="1"/>
    <col min="27" max="27" width="12.7109375" bestFit="1" customWidth="1"/>
    <col min="28" max="28" width="10.85546875" bestFit="1" customWidth="1"/>
    <col min="29" max="29" width="16" bestFit="1" customWidth="1"/>
    <col min="30" max="30" width="15.28515625" bestFit="1" customWidth="1"/>
    <col min="31" max="31" width="14.140625" bestFit="1" customWidth="1"/>
    <col min="32" max="32" width="13.5703125" bestFit="1" customWidth="1"/>
    <col min="33" max="33" width="19.5703125" bestFit="1" customWidth="1"/>
    <col min="34" max="34" width="18.5703125" bestFit="1" customWidth="1"/>
    <col min="35" max="35" width="17.7109375" bestFit="1" customWidth="1"/>
    <col min="36" max="36" width="18.7109375" bestFit="1" customWidth="1"/>
  </cols>
  <sheetData>
    <row r="1" spans="1:41" ht="23.25" x14ac:dyDescent="0.3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25">
      <c r="A2" s="3" t="s">
        <v>9</v>
      </c>
    </row>
    <row r="3" spans="1:41" x14ac:dyDescent="0.25">
      <c r="A3" t="s">
        <v>10</v>
      </c>
    </row>
    <row r="4" spans="1:41" x14ac:dyDescent="0.25">
      <c r="A4" t="s">
        <v>0</v>
      </c>
      <c r="C4" s="3" t="s">
        <v>1</v>
      </c>
      <c r="D4" s="4">
        <f>WACC!C23</f>
        <v>8.8451097931970868E-2</v>
      </c>
    </row>
    <row r="5" spans="1:41" x14ac:dyDescent="0.25">
      <c r="J5" s="3"/>
      <c r="K5" s="3"/>
    </row>
    <row r="6" spans="1:41" x14ac:dyDescent="0.25">
      <c r="B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50</v>
      </c>
      <c r="J6" s="3" t="s">
        <v>51</v>
      </c>
      <c r="K6" s="3" t="s">
        <v>7</v>
      </c>
      <c r="L6" s="3" t="s">
        <v>8</v>
      </c>
      <c r="M6" s="3" t="s">
        <v>52</v>
      </c>
      <c r="N6" s="3" t="s">
        <v>53</v>
      </c>
      <c r="P6" s="3" t="s">
        <v>3</v>
      </c>
      <c r="Q6" s="3" t="s">
        <v>4</v>
      </c>
      <c r="R6" s="3" t="s">
        <v>5</v>
      </c>
      <c r="S6" s="3" t="s">
        <v>6</v>
      </c>
      <c r="T6" s="3" t="s">
        <v>50</v>
      </c>
      <c r="U6" s="3" t="s">
        <v>51</v>
      </c>
      <c r="V6" s="3" t="s">
        <v>7</v>
      </c>
      <c r="W6" s="3" t="s">
        <v>8</v>
      </c>
      <c r="X6" s="3" t="s">
        <v>52</v>
      </c>
      <c r="Y6" s="3" t="s">
        <v>53</v>
      </c>
      <c r="Z6" s="3"/>
      <c r="AA6" s="3" t="s">
        <v>3</v>
      </c>
      <c r="AB6" s="3" t="s">
        <v>4</v>
      </c>
      <c r="AC6" s="3" t="s">
        <v>5</v>
      </c>
      <c r="AD6" s="3" t="s">
        <v>6</v>
      </c>
      <c r="AE6" s="3" t="s">
        <v>50</v>
      </c>
      <c r="AF6" s="3" t="s">
        <v>51</v>
      </c>
      <c r="AG6" s="3" t="s">
        <v>7</v>
      </c>
      <c r="AH6" s="3" t="s">
        <v>8</v>
      </c>
      <c r="AI6" s="3" t="s">
        <v>52</v>
      </c>
      <c r="AJ6" s="3" t="s">
        <v>53</v>
      </c>
    </row>
    <row r="7" spans="1:41" x14ac:dyDescent="0.25">
      <c r="B7" t="s">
        <v>11</v>
      </c>
      <c r="C7" s="5">
        <v>1</v>
      </c>
      <c r="E7" t="s">
        <v>12</v>
      </c>
      <c r="F7" s="6">
        <f>234000-132574</f>
        <v>101426</v>
      </c>
      <c r="G7">
        <v>101</v>
      </c>
      <c r="H7" s="11">
        <v>0.3</v>
      </c>
      <c r="I7" s="19">
        <v>2.3800000000000002E-2</v>
      </c>
      <c r="J7" s="19">
        <v>2.9600000000000001E-2</v>
      </c>
      <c r="K7" s="6">
        <f>$F$7*G7/Auxiliary!$C$4</f>
        <v>329353.08376843581</v>
      </c>
      <c r="L7" s="6">
        <f>$F$7*H7/Auxiliary!$C$4</f>
        <v>978.27648644089845</v>
      </c>
      <c r="M7" s="6">
        <f>F7*I7*Auxiliary!$C$6</f>
        <v>5321824.0817756569</v>
      </c>
      <c r="N7" s="6">
        <f>F7*J7*Auxiliary!$C$6</f>
        <v>6618739.1941411523</v>
      </c>
      <c r="P7" s="6" t="s">
        <v>13</v>
      </c>
      <c r="Q7" s="6">
        <v>724000</v>
      </c>
      <c r="R7" s="6">
        <v>97</v>
      </c>
      <c r="S7">
        <v>0.34</v>
      </c>
      <c r="T7" s="22">
        <v>1.7899999999999999E-2</v>
      </c>
      <c r="U7" s="22">
        <v>3.2399999999999998E-2</v>
      </c>
      <c r="V7" s="6">
        <f>Q7*R7/Auxiliary!$C$4</f>
        <v>2257882.6300216056</v>
      </c>
      <c r="W7" s="6">
        <f>Q7*S7/Auxiliary!$C$4</f>
        <v>7914.2277753334647</v>
      </c>
      <c r="X7" s="6">
        <f>Q7*T7*Auxiliary!$C$6</f>
        <v>28571027.306151997</v>
      </c>
      <c r="Y7" s="6">
        <f>Q7*U7*Auxiliary!$C$6</f>
        <v>51715155.570911996</v>
      </c>
      <c r="AA7" t="s">
        <v>14</v>
      </c>
      <c r="AB7" s="6">
        <v>3809000</v>
      </c>
      <c r="AC7" s="6">
        <v>116</v>
      </c>
      <c r="AD7">
        <v>0.59</v>
      </c>
      <c r="AE7" s="22">
        <v>2.0299999999999999E-2</v>
      </c>
      <c r="AF7" s="22">
        <v>3.5000000000000003E-2</v>
      </c>
      <c r="AG7" s="6">
        <f>AB7*AC7/Auxiliary!$C$4</f>
        <v>14205614.466868863</v>
      </c>
      <c r="AH7" s="6">
        <f>AB7*AD7/Auxiliary!$C$4</f>
        <v>72252.694271143351</v>
      </c>
      <c r="AI7" s="6">
        <f>AB7*AE7*Auxiliary!C6</f>
        <v>170467373.459474</v>
      </c>
      <c r="AJ7" s="6">
        <f>AB7*AF7*Auxiliary!C6</f>
        <v>293909264.58530003</v>
      </c>
    </row>
    <row r="8" spans="1:41" x14ac:dyDescent="0.25">
      <c r="B8" t="s">
        <v>15</v>
      </c>
      <c r="C8" s="5">
        <v>1</v>
      </c>
      <c r="E8" t="s">
        <v>16</v>
      </c>
      <c r="F8" s="7">
        <f>2933000</f>
        <v>2933000</v>
      </c>
      <c r="G8" s="8">
        <v>83</v>
      </c>
      <c r="H8" s="8">
        <v>0.19</v>
      </c>
      <c r="I8" s="20">
        <v>2.5499999999999998E-2</v>
      </c>
      <c r="J8" s="20">
        <v>3.7600000000000001E-2</v>
      </c>
      <c r="K8" s="7">
        <f>$F$8*G8/Auxiliary!$C$4</f>
        <v>7826745.5939202271</v>
      </c>
      <c r="L8" s="7">
        <f>$F$8*H8/Auxiliary!$C$4</f>
        <v>17916.646540299316</v>
      </c>
      <c r="M8" s="7">
        <f>F8*I8*Auxiliary!$C$6</f>
        <v>164887032.68373001</v>
      </c>
      <c r="N8" s="7">
        <f>F8*J8*Auxiliary!$C$6</f>
        <v>243127546.23169601</v>
      </c>
      <c r="P8" t="s">
        <v>17</v>
      </c>
      <c r="Q8" s="7">
        <v>1994000</v>
      </c>
      <c r="R8" s="7">
        <v>82</v>
      </c>
      <c r="S8" s="9">
        <v>0.24</v>
      </c>
      <c r="T8" s="23">
        <v>1.61E-2</v>
      </c>
      <c r="U8" s="23">
        <v>3.09E-2</v>
      </c>
      <c r="V8" s="7">
        <f>Q8*R8/Auxiliary!$C$4</f>
        <v>5256904.2699432243</v>
      </c>
      <c r="W8" s="7">
        <f>Q8*S8/Auxiliary!$C$4</f>
        <v>15386.061277882607</v>
      </c>
      <c r="X8" s="7">
        <f>Q8*T8*Auxiliary!$C$6</f>
        <v>70775881.818907991</v>
      </c>
      <c r="Y8" s="7">
        <f>Q8*U8*Auxiliary!$C$6</f>
        <v>135836940.88225201</v>
      </c>
    </row>
    <row r="9" spans="1:41" x14ac:dyDescent="0.25">
      <c r="B9" t="s">
        <v>18</v>
      </c>
      <c r="C9" s="5">
        <v>1</v>
      </c>
      <c r="E9" t="s">
        <v>19</v>
      </c>
      <c r="F9" s="6">
        <f>SUM(F7:F8)</f>
        <v>3034426</v>
      </c>
      <c r="G9" s="10">
        <f>(G7*F7+G8*F8)/F9</f>
        <v>83.601651844533365</v>
      </c>
      <c r="H9" s="11">
        <f>(F7*H7+F8*H8)/F9</f>
        <v>0.19367676127214836</v>
      </c>
      <c r="I9" s="19">
        <f>(F7*I7+F8*I8)/F9</f>
        <v>2.5443177325794073E-2</v>
      </c>
      <c r="J9" s="19">
        <f>(F7*J7+F8*J8)/F9</f>
        <v>3.7332599180207392E-2</v>
      </c>
      <c r="K9" s="6">
        <f>SUM(K7:K8)</f>
        <v>8156098.6776886629</v>
      </c>
      <c r="L9" s="6">
        <f>SUM(L7:L8)</f>
        <v>18894.923026740216</v>
      </c>
      <c r="M9" s="6">
        <f t="shared" ref="M9:N9" si="0">SUM(M7:M8)</f>
        <v>170208856.76550567</v>
      </c>
      <c r="N9" s="6">
        <f t="shared" si="0"/>
        <v>249746285.42583716</v>
      </c>
      <c r="P9" t="s">
        <v>19</v>
      </c>
      <c r="Q9" s="6">
        <f>SUM(Q7:Q8)</f>
        <v>2718000</v>
      </c>
      <c r="R9" s="10">
        <f>(R7*Q7+R8*Q8)/Q9</f>
        <v>85.995584988962477</v>
      </c>
      <c r="S9" s="11">
        <f>(S7*Q7+S8*Q8)/Q9</f>
        <v>0.26663723325974981</v>
      </c>
      <c r="T9" s="19">
        <f>($Q$7*T7+$Q$8*T8)/$Q$9</f>
        <v>1.6579470198675495E-2</v>
      </c>
      <c r="U9" s="19">
        <f>($Q$7*U7+$Q$8*U8)/$Q$9</f>
        <v>3.1299558498896249E-2</v>
      </c>
      <c r="V9" s="6">
        <f>SUM(V7:V8)</f>
        <v>7514786.8999648299</v>
      </c>
      <c r="W9" s="6">
        <f>SUM(W7:W8)</f>
        <v>23300.289053216071</v>
      </c>
      <c r="X9" s="6">
        <f t="shared" ref="X9:Y9" si="1">SUM(X7:X8)</f>
        <v>99346909.125059992</v>
      </c>
      <c r="Y9" s="6">
        <f t="shared" si="1"/>
        <v>187552096.45316401</v>
      </c>
    </row>
    <row r="11" spans="1:41" x14ac:dyDescent="0.25">
      <c r="B11" s="12" t="s">
        <v>20</v>
      </c>
      <c r="C11" s="12" t="s">
        <v>21</v>
      </c>
      <c r="D11" s="12"/>
      <c r="E11" s="12" t="s">
        <v>22</v>
      </c>
      <c r="F11" s="12" t="s">
        <v>23</v>
      </c>
      <c r="G11" s="12" t="s">
        <v>24</v>
      </c>
      <c r="H11" s="12" t="s">
        <v>25</v>
      </c>
      <c r="I11" s="12" t="s">
        <v>26</v>
      </c>
      <c r="J11" s="12" t="s">
        <v>27</v>
      </c>
      <c r="K11" s="12" t="s">
        <v>28</v>
      </c>
      <c r="L11" s="12" t="s">
        <v>29</v>
      </c>
      <c r="M11" s="12" t="s">
        <v>30</v>
      </c>
      <c r="N11" s="12" t="s">
        <v>31</v>
      </c>
      <c r="O11" s="12" t="s">
        <v>32</v>
      </c>
      <c r="P11" s="12" t="s">
        <v>33</v>
      </c>
      <c r="Q11" s="12" t="s">
        <v>34</v>
      </c>
      <c r="R11" s="12" t="s">
        <v>35</v>
      </c>
      <c r="S11" s="12" t="s">
        <v>36</v>
      </c>
      <c r="T11" s="12" t="s">
        <v>37</v>
      </c>
      <c r="U11" s="12" t="s">
        <v>38</v>
      </c>
      <c r="V11" s="12" t="s">
        <v>39</v>
      </c>
      <c r="W11" s="12" t="s">
        <v>40</v>
      </c>
      <c r="X11" s="12" t="s">
        <v>41</v>
      </c>
      <c r="Y11" s="12" t="s">
        <v>54</v>
      </c>
      <c r="Z11" s="12" t="s">
        <v>55</v>
      </c>
      <c r="AA11" s="12" t="s">
        <v>71</v>
      </c>
      <c r="AB11" s="12" t="s">
        <v>72</v>
      </c>
      <c r="AC11" s="12" t="s">
        <v>73</v>
      </c>
      <c r="AD11" s="12" t="s">
        <v>74</v>
      </c>
      <c r="AE11" s="12" t="s">
        <v>75</v>
      </c>
      <c r="AF11" s="12" t="s">
        <v>76</v>
      </c>
      <c r="AG11" s="12" t="s">
        <v>77</v>
      </c>
      <c r="AH11" s="12" t="s">
        <v>78</v>
      </c>
      <c r="AI11" s="12" t="s">
        <v>79</v>
      </c>
      <c r="AJ11" s="12" t="s">
        <v>80</v>
      </c>
      <c r="AK11" s="12" t="s">
        <v>81</v>
      </c>
      <c r="AL11" s="12" t="s">
        <v>180</v>
      </c>
      <c r="AM11" s="12" t="s">
        <v>181</v>
      </c>
      <c r="AN11" s="12"/>
      <c r="AO11" s="12"/>
    </row>
    <row r="12" spans="1:41" x14ac:dyDescent="0.25"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41" ht="15.75" thickBot="1" x14ac:dyDescent="0.3">
      <c r="B13" s="14" t="s">
        <v>42</v>
      </c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41" x14ac:dyDescent="0.25">
      <c r="B14" t="s">
        <v>83</v>
      </c>
      <c r="C14" t="s">
        <v>43</v>
      </c>
      <c r="E14" s="11">
        <v>17.059999999999999</v>
      </c>
      <c r="F14">
        <v>15.71</v>
      </c>
      <c r="G14">
        <v>16.23</v>
      </c>
      <c r="H14" s="11">
        <v>20.63</v>
      </c>
      <c r="I14">
        <v>25.25</v>
      </c>
      <c r="J14">
        <v>23.78</v>
      </c>
      <c r="K14" s="25">
        <f t="shared" ref="K14" si="2">AVERAGE(L14:Y14)</f>
        <v>24.428571428571427</v>
      </c>
      <c r="L14" s="41">
        <f>'Central sheet'!L22</f>
        <v>22</v>
      </c>
      <c r="M14" s="41">
        <f>'Central sheet'!M22</f>
        <v>22</v>
      </c>
      <c r="N14" s="41">
        <f>'Central sheet'!N22</f>
        <v>23</v>
      </c>
      <c r="O14" s="41">
        <f>'Central sheet'!O22</f>
        <v>25</v>
      </c>
      <c r="P14" s="41">
        <f>'Central sheet'!P22</f>
        <v>25</v>
      </c>
      <c r="Q14" s="41">
        <f>'Central sheet'!Q22</f>
        <v>25</v>
      </c>
      <c r="R14" s="41">
        <f>'Central sheet'!R22</f>
        <v>25</v>
      </c>
      <c r="S14" s="41">
        <f>'Central sheet'!S22</f>
        <v>25</v>
      </c>
      <c r="T14" s="41">
        <f>'Central sheet'!T22</f>
        <v>25</v>
      </c>
      <c r="U14" s="41">
        <f>'Central sheet'!U22</f>
        <v>25</v>
      </c>
      <c r="V14" s="41">
        <f>'Central sheet'!V22</f>
        <v>25</v>
      </c>
      <c r="W14" s="41">
        <f>'Central sheet'!W22</f>
        <v>25</v>
      </c>
      <c r="X14" s="41">
        <f>'Central sheet'!X22</f>
        <v>25</v>
      </c>
      <c r="Y14" s="41">
        <f>'Central sheet'!Y22</f>
        <v>25</v>
      </c>
      <c r="Z14" s="41">
        <f>'Central sheet'!Z22</f>
        <v>25</v>
      </c>
      <c r="AA14" s="41">
        <f>'Central sheet'!AA22</f>
        <v>25</v>
      </c>
      <c r="AB14" s="41">
        <f>'Central sheet'!AB22</f>
        <v>25</v>
      </c>
      <c r="AC14" s="41">
        <f>'Central sheet'!AC22</f>
        <v>25</v>
      </c>
      <c r="AD14" s="41">
        <f>'Central sheet'!AD22</f>
        <v>25</v>
      </c>
      <c r="AE14" s="41">
        <f>'Central sheet'!AE22</f>
        <v>25</v>
      </c>
      <c r="AF14" s="41">
        <f>'Central sheet'!AF22</f>
        <v>25</v>
      </c>
      <c r="AG14" s="41">
        <f>'Central sheet'!AG22</f>
        <v>25</v>
      </c>
      <c r="AH14" s="41">
        <f>'Central sheet'!AH22</f>
        <v>25</v>
      </c>
      <c r="AI14" s="41">
        <f>'Central sheet'!AI22</f>
        <v>25</v>
      </c>
      <c r="AJ14" s="41">
        <f>'Central sheet'!AJ22</f>
        <v>25</v>
      </c>
      <c r="AK14" s="41">
        <f>'Central sheet'!AK22</f>
        <v>25</v>
      </c>
      <c r="AL14" s="41">
        <f>'Central sheet'!AL22</f>
        <v>25</v>
      </c>
      <c r="AM14" s="13"/>
    </row>
    <row r="15" spans="1:41" x14ac:dyDescent="0.25">
      <c r="B15" t="s">
        <v>188</v>
      </c>
      <c r="C15" t="s">
        <v>43</v>
      </c>
      <c r="E15" s="6"/>
      <c r="F15" s="6"/>
      <c r="G15" s="6"/>
      <c r="H15" s="6">
        <v>1861</v>
      </c>
      <c r="I15" s="6">
        <v>1792</v>
      </c>
      <c r="J15" s="6">
        <v>1828</v>
      </c>
      <c r="K15" s="15">
        <f>AVERAGE(L15:Y15)</f>
        <v>1769.2857142857142</v>
      </c>
      <c r="L15" s="16">
        <f>'Central sheet'!L23</f>
        <v>1870</v>
      </c>
      <c r="M15" s="16">
        <f>'Central sheet'!M23</f>
        <v>1850</v>
      </c>
      <c r="N15" s="16">
        <f>'Central sheet'!N23</f>
        <v>1800</v>
      </c>
      <c r="O15" s="16">
        <f>'Central sheet'!O23</f>
        <v>1750</v>
      </c>
      <c r="P15" s="16">
        <f>'Central sheet'!P23</f>
        <v>1750</v>
      </c>
      <c r="Q15" s="16">
        <f>'Central sheet'!Q23</f>
        <v>1750</v>
      </c>
      <c r="R15" s="16">
        <f>'Central sheet'!R23</f>
        <v>1750</v>
      </c>
      <c r="S15" s="16">
        <f>'Central sheet'!S23</f>
        <v>1750</v>
      </c>
      <c r="T15" s="16">
        <f>'Central sheet'!T23</f>
        <v>1750</v>
      </c>
      <c r="U15" s="16">
        <f>'Central sheet'!U23</f>
        <v>1750</v>
      </c>
      <c r="V15" s="16">
        <f>'Central sheet'!V23</f>
        <v>1750</v>
      </c>
      <c r="W15" s="16">
        <f>'Central sheet'!W23</f>
        <v>1750</v>
      </c>
      <c r="X15" s="16">
        <f>'Central sheet'!X23</f>
        <v>1750</v>
      </c>
      <c r="Y15" s="16">
        <f>'Central sheet'!Y23</f>
        <v>1750</v>
      </c>
      <c r="Z15" s="16">
        <f>'Central sheet'!Z23</f>
        <v>1750</v>
      </c>
      <c r="AA15" s="16">
        <f>'Central sheet'!AA23</f>
        <v>1750</v>
      </c>
      <c r="AB15" s="16">
        <f>'Central sheet'!AB23</f>
        <v>1750</v>
      </c>
      <c r="AC15" s="16">
        <f>'Central sheet'!AC23</f>
        <v>1750</v>
      </c>
      <c r="AD15" s="16">
        <f>'Central sheet'!AD23</f>
        <v>1750</v>
      </c>
      <c r="AE15" s="16">
        <f>'Central sheet'!AE23</f>
        <v>1750</v>
      </c>
      <c r="AF15" s="16">
        <f>'Central sheet'!AF23</f>
        <v>1750</v>
      </c>
      <c r="AG15" s="16">
        <f>'Central sheet'!AG23</f>
        <v>1750</v>
      </c>
      <c r="AH15" s="16">
        <f>'Central sheet'!AH23</f>
        <v>1750</v>
      </c>
      <c r="AI15" s="16">
        <f>'Central sheet'!AI23</f>
        <v>1750</v>
      </c>
      <c r="AJ15" s="16">
        <f>'Central sheet'!AJ23</f>
        <v>1750</v>
      </c>
      <c r="AK15" s="16">
        <f>'Central sheet'!AK23</f>
        <v>1750</v>
      </c>
      <c r="AL15" s="16">
        <f>'Central sheet'!AL23</f>
        <v>1750</v>
      </c>
      <c r="AM15" s="13"/>
    </row>
    <row r="16" spans="1:41" x14ac:dyDescent="0.25">
      <c r="B16" t="s">
        <v>189</v>
      </c>
      <c r="C16" t="s">
        <v>49</v>
      </c>
      <c r="E16">
        <v>1.05</v>
      </c>
      <c r="F16">
        <v>1.02</v>
      </c>
      <c r="G16">
        <v>0.91</v>
      </c>
      <c r="H16">
        <v>0.83</v>
      </c>
      <c r="I16" s="11">
        <v>1</v>
      </c>
      <c r="J16">
        <v>1.06</v>
      </c>
      <c r="K16" s="25">
        <f t="shared" ref="K16:K17" si="3">AVERAGE(L16:Y16)</f>
        <v>0.90357142857142869</v>
      </c>
      <c r="L16" s="24">
        <f>'Central sheet'!L24</f>
        <v>0.95</v>
      </c>
      <c r="M16" s="24">
        <f>'Central sheet'!M24</f>
        <v>0.9</v>
      </c>
      <c r="N16" s="24">
        <f>'Central sheet'!N24</f>
        <v>0.9</v>
      </c>
      <c r="O16" s="24">
        <f>'Central sheet'!O24</f>
        <v>0.9</v>
      </c>
      <c r="P16" s="24">
        <f>'Central sheet'!P24</f>
        <v>0.9</v>
      </c>
      <c r="Q16" s="24">
        <f>'Central sheet'!Q24</f>
        <v>0.9</v>
      </c>
      <c r="R16" s="24">
        <f>'Central sheet'!R24</f>
        <v>0.9</v>
      </c>
      <c r="S16" s="24">
        <f>'Central sheet'!S24</f>
        <v>0.9</v>
      </c>
      <c r="T16" s="24">
        <f>'Central sheet'!T24</f>
        <v>0.9</v>
      </c>
      <c r="U16" s="24">
        <f>'Central sheet'!U24</f>
        <v>0.9</v>
      </c>
      <c r="V16" s="24">
        <f>'Central sheet'!V24</f>
        <v>0.9</v>
      </c>
      <c r="W16" s="24">
        <f>'Central sheet'!W24</f>
        <v>0.9</v>
      </c>
      <c r="X16" s="24">
        <f>'Central sheet'!X24</f>
        <v>0.9</v>
      </c>
      <c r="Y16" s="24">
        <f>'Central sheet'!Y24</f>
        <v>0.9</v>
      </c>
      <c r="Z16" s="24">
        <f>'Central sheet'!Z24</f>
        <v>0.9</v>
      </c>
      <c r="AA16" s="24">
        <f>'Central sheet'!AA24</f>
        <v>0.9</v>
      </c>
      <c r="AB16" s="24">
        <f>'Central sheet'!AB24</f>
        <v>0.9</v>
      </c>
      <c r="AC16" s="24">
        <f>'Central sheet'!AC24</f>
        <v>0.9</v>
      </c>
      <c r="AD16" s="24">
        <f>'Central sheet'!AD24</f>
        <v>0.9</v>
      </c>
      <c r="AE16" s="24">
        <f>'Central sheet'!AE24</f>
        <v>0.9</v>
      </c>
      <c r="AF16" s="24">
        <f>'Central sheet'!AF24</f>
        <v>0.9</v>
      </c>
      <c r="AG16" s="24">
        <f>'Central sheet'!AG24</f>
        <v>0.9</v>
      </c>
      <c r="AH16" s="24">
        <f>'Central sheet'!AH24</f>
        <v>0.9</v>
      </c>
      <c r="AI16" s="24">
        <f>'Central sheet'!AI24</f>
        <v>0.9</v>
      </c>
      <c r="AJ16" s="24">
        <f>'Central sheet'!AJ24</f>
        <v>0.9</v>
      </c>
      <c r="AK16" s="24">
        <f>'Central sheet'!AK24</f>
        <v>0.9</v>
      </c>
      <c r="AL16" s="24">
        <f>'Central sheet'!AL24</f>
        <v>0.9</v>
      </c>
      <c r="AM16" s="13"/>
    </row>
    <row r="17" spans="2:39" x14ac:dyDescent="0.25">
      <c r="B17" t="s">
        <v>190</v>
      </c>
      <c r="C17" t="s">
        <v>49</v>
      </c>
      <c r="E17">
        <v>1.32</v>
      </c>
      <c r="F17">
        <v>1.32</v>
      </c>
      <c r="G17">
        <v>1.1499999999999999</v>
      </c>
      <c r="H17">
        <v>1.03</v>
      </c>
      <c r="I17">
        <v>1.36</v>
      </c>
      <c r="J17">
        <v>1.69</v>
      </c>
      <c r="K17" s="25">
        <f t="shared" si="3"/>
        <v>1.1785714285714284</v>
      </c>
      <c r="L17" s="24">
        <f>'Central sheet'!L25</f>
        <v>1.7</v>
      </c>
      <c r="M17" s="24">
        <f>'Central sheet'!M25</f>
        <v>1.45</v>
      </c>
      <c r="N17" s="24">
        <f>'Central sheet'!N25</f>
        <v>1.25</v>
      </c>
      <c r="O17" s="24">
        <f>'Central sheet'!O25</f>
        <v>1.1000000000000001</v>
      </c>
      <c r="P17" s="24">
        <f>'Central sheet'!P25</f>
        <v>1.1000000000000001</v>
      </c>
      <c r="Q17" s="24">
        <f>'Central sheet'!Q25</f>
        <v>1.1000000000000001</v>
      </c>
      <c r="R17" s="24">
        <f>'Central sheet'!R25</f>
        <v>1.1000000000000001</v>
      </c>
      <c r="S17" s="24">
        <f>'Central sheet'!S25</f>
        <v>1.1000000000000001</v>
      </c>
      <c r="T17" s="24">
        <f>'Central sheet'!T25</f>
        <v>1.1000000000000001</v>
      </c>
      <c r="U17" s="24">
        <f>'Central sheet'!U25</f>
        <v>1.1000000000000001</v>
      </c>
      <c r="V17" s="24">
        <f>'Central sheet'!V25</f>
        <v>1.1000000000000001</v>
      </c>
      <c r="W17" s="24">
        <f>'Central sheet'!W25</f>
        <v>1.1000000000000001</v>
      </c>
      <c r="X17" s="24">
        <f>'Central sheet'!X25</f>
        <v>1.1000000000000001</v>
      </c>
      <c r="Y17" s="24">
        <f>'Central sheet'!Y25</f>
        <v>1.1000000000000001</v>
      </c>
      <c r="Z17" s="24">
        <f>'Central sheet'!Z25</f>
        <v>1.1000000000000001</v>
      </c>
      <c r="AA17" s="24">
        <f>'Central sheet'!AA25</f>
        <v>1.1000000000000001</v>
      </c>
      <c r="AB17" s="24">
        <f>'Central sheet'!AB25</f>
        <v>1.1000000000000001</v>
      </c>
      <c r="AC17" s="24">
        <f>'Central sheet'!AC25</f>
        <v>1.1000000000000001</v>
      </c>
      <c r="AD17" s="24">
        <f>'Central sheet'!AD25</f>
        <v>1.1000000000000001</v>
      </c>
      <c r="AE17" s="24">
        <f>'Central sheet'!AE25</f>
        <v>1.1000000000000001</v>
      </c>
      <c r="AF17" s="24">
        <f>'Central sheet'!AF25</f>
        <v>1.1000000000000001</v>
      </c>
      <c r="AG17" s="24">
        <f>'Central sheet'!AG25</f>
        <v>1.1000000000000001</v>
      </c>
      <c r="AH17" s="24">
        <f>'Central sheet'!AH25</f>
        <v>1.1000000000000001</v>
      </c>
      <c r="AI17" s="24">
        <f>'Central sheet'!AI25</f>
        <v>1.1000000000000001</v>
      </c>
      <c r="AJ17" s="24">
        <f>'Central sheet'!AJ25</f>
        <v>1.1000000000000001</v>
      </c>
      <c r="AK17" s="24">
        <f>'Central sheet'!AK25</f>
        <v>1.1000000000000001</v>
      </c>
      <c r="AL17" s="24">
        <f>'Central sheet'!AL25</f>
        <v>1.1000000000000001</v>
      </c>
      <c r="AM17" s="13"/>
    </row>
    <row r="18" spans="2:39" x14ac:dyDescent="0.25"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2:39" ht="15.75" thickBot="1" x14ac:dyDescent="0.3">
      <c r="B19" s="14" t="s">
        <v>56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2:39" x14ac:dyDescent="0.25">
      <c r="B20" t="s">
        <v>12</v>
      </c>
      <c r="C20" t="s">
        <v>57</v>
      </c>
      <c r="J20" s="6">
        <v>234000</v>
      </c>
      <c r="K20" s="15">
        <f>F7</f>
        <v>101426</v>
      </c>
      <c r="L20" s="16">
        <f>J20-J32</f>
        <v>101426</v>
      </c>
      <c r="M20" s="13">
        <f>IF(L20-L31*91&gt;=0,L20-L31*91,0)</f>
        <v>0</v>
      </c>
      <c r="N20" s="16">
        <f>IF(M20-M31*92&gt;=0,M20-M31*92,0)</f>
        <v>0</v>
      </c>
      <c r="O20" s="16">
        <f>IF(N20-N31*92&gt;=0,N20-N31*92,0)</f>
        <v>0</v>
      </c>
      <c r="P20" s="16">
        <f>IF(O20-O31*90&gt;=0,O20-O31*90,0)</f>
        <v>0</v>
      </c>
      <c r="Q20" s="16">
        <f>IF(P20-P31*275&gt;=0,P20-P31*275,0)</f>
        <v>0</v>
      </c>
      <c r="R20" s="16">
        <f>IF(Q20-Q31*366&gt;=0,Q20-Q31*366,0)</f>
        <v>0</v>
      </c>
      <c r="S20" s="16">
        <f>IF(R20-R31*365&gt;=0,R20-R31*365,0)</f>
        <v>0</v>
      </c>
      <c r="T20" s="16">
        <f t="shared" ref="T20:U20" si="4">IF(S20-S31*365&gt;=0,S20-S31*365,0)</f>
        <v>0</v>
      </c>
      <c r="U20" s="16">
        <f t="shared" si="4"/>
        <v>0</v>
      </c>
      <c r="V20" s="16">
        <f>IF(U20-U31*366&gt;=0,U20-U31*366,0)</f>
        <v>0</v>
      </c>
      <c r="W20" s="16">
        <f>IF(V20-V31*365&gt;=0,V20-V31*365,0)</f>
        <v>0</v>
      </c>
      <c r="X20" s="16">
        <f t="shared" ref="X20:AI20" si="5">IF(W20-W31*365&gt;=0,W20-W31*365,0)</f>
        <v>0</v>
      </c>
      <c r="Y20" s="16">
        <f t="shared" si="5"/>
        <v>0</v>
      </c>
      <c r="Z20" s="16">
        <f>IF(Y20-Y31*366&gt;=0,Y20-Y31*366,0)</f>
        <v>0</v>
      </c>
      <c r="AA20" s="16">
        <f t="shared" si="5"/>
        <v>0</v>
      </c>
      <c r="AB20" s="16">
        <f t="shared" si="5"/>
        <v>0</v>
      </c>
      <c r="AC20" s="16">
        <f t="shared" si="5"/>
        <v>0</v>
      </c>
      <c r="AD20" s="16">
        <f>IF(AC20-AC31*366&gt;=0,AC20-AC31*366,0)</f>
        <v>0</v>
      </c>
      <c r="AE20" s="16">
        <f t="shared" si="5"/>
        <v>0</v>
      </c>
      <c r="AF20" s="16">
        <f>IF(AE20-AE31*365&gt;=0,AE20-AE31*365,0)</f>
        <v>0</v>
      </c>
      <c r="AG20" s="16">
        <f t="shared" si="5"/>
        <v>0</v>
      </c>
      <c r="AH20" s="16">
        <f>IF(AG20-AG31*366&gt;=0,AG20-AG31*366,0)</f>
        <v>0</v>
      </c>
      <c r="AI20" s="16">
        <f t="shared" si="5"/>
        <v>0</v>
      </c>
      <c r="AJ20" s="16">
        <f>IF(AI20-AI31*365&gt;=0,AI20-AI31*365,0)</f>
        <v>0</v>
      </c>
      <c r="AK20" s="16">
        <f t="shared" ref="AK20" si="6">IF(AJ20-AJ31*365&gt;=0,AJ20-AJ31*365,0)</f>
        <v>0</v>
      </c>
      <c r="AL20" s="16">
        <f>IF(AK20-AK31*366&gt;=0,AK20-AK31*366,0)</f>
        <v>0</v>
      </c>
      <c r="AM20" s="13"/>
    </row>
    <row r="21" spans="2:39" x14ac:dyDescent="0.25">
      <c r="B21" t="s">
        <v>16</v>
      </c>
      <c r="C21" t="s">
        <v>57</v>
      </c>
      <c r="J21" s="6">
        <f>F8</f>
        <v>2933000</v>
      </c>
      <c r="K21" s="15">
        <f>F8</f>
        <v>2933000</v>
      </c>
      <c r="L21" s="16">
        <f>J21</f>
        <v>2933000</v>
      </c>
      <c r="M21" s="16">
        <f>IF(L20-L31*91&gt;=0,L21,IF(L21+L20-L31*91&gt;=0,L21+L20-L31*91,0))</f>
        <v>2901284</v>
      </c>
      <c r="N21" s="16">
        <f>IF(M20-M31*92&gt;=0,M21,IF(M21+M20-M31*92&gt;=0,M21+M20-M31*92,0))</f>
        <v>2768142</v>
      </c>
      <c r="O21" s="16">
        <f>IF(N20-N31*92&gt;=0,N21,IF(N21+N20-N31*92&gt;=0,N21+N20-N31*92,0))</f>
        <v>2635000</v>
      </c>
      <c r="P21" s="16">
        <f>IF(O20-O31*90&gt;=0,O21,IF(O21+O20-O31*90&gt;=0,O21+O20-O31*90,0))</f>
        <v>2504237.9047458642</v>
      </c>
      <c r="Q21" s="16">
        <f>IF(P20-P31*275&gt;=0,P21,IF(P21+P20-P31*275&gt;=0,P21+P20-P31*275,0))</f>
        <v>2104687.058136005</v>
      </c>
      <c r="R21" s="16">
        <f>IF(Q20-Q31*366&gt;=0,Q21,IF(Q21+Q20-Q31*366&gt;=0,Q21+Q20-Q31*366,0))</f>
        <v>1572921.2041025194</v>
      </c>
      <c r="S21" s="16">
        <f>IF(R20-R31*365&gt;=0,R21,IF(R21+R20-R31*365&gt;=0,R21+R20-R31*365,0))</f>
        <v>1042608.2622385243</v>
      </c>
      <c r="T21" s="16">
        <f>IF(S20-S31*365&gt;=0,S21,IF(S21+S20-S31*365&gt;=0,S21+S20-S31*365,0))</f>
        <v>512295.32037452911</v>
      </c>
      <c r="U21" s="16">
        <f>IF(T20-T31*365&gt;=0,T21,IF(T21+T20-T31*365&gt;=0,T21+T20-T31*365,0))</f>
        <v>0</v>
      </c>
      <c r="V21" s="16">
        <f>IF(U20-U31*366&gt;=0,U21,IF(U21+U20-U31*366&gt;=0,U21+U20-U31*366,0))</f>
        <v>0</v>
      </c>
      <c r="W21" s="16">
        <f>IF(V20-V31*365&gt;=0,V21,IF(V21+V20-V31*365&gt;=0,V21+V20-V31*365,0))</f>
        <v>0</v>
      </c>
      <c r="X21" s="16">
        <f t="shared" ref="X21:AI21" si="7">IF(W20-W31*365&gt;=0,W21,IF(W21+W20-W31*365&gt;=0,W21+W20-W31*365,0))</f>
        <v>0</v>
      </c>
      <c r="Y21" s="16">
        <f t="shared" si="7"/>
        <v>0</v>
      </c>
      <c r="Z21" s="16">
        <f>IF(Y20-Y31*366&gt;=0,Y21,IF(Y21+Y20-Y31*366&gt;=0,Y21+Y20-Y31*366,0))</f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>IF(AC20-AC31*366&gt;=0,AC21,IF(AC21+AC20-AC31*366&gt;=0,AC21+AC20-AC31*366,0))</f>
        <v>0</v>
      </c>
      <c r="AE21" s="16">
        <f t="shared" si="7"/>
        <v>0</v>
      </c>
      <c r="AF21" s="16">
        <f>IF(AE20-AE31*365&gt;=0,AE21,IF(AE21+AE20-AE31*365&gt;=0,AE21+AE20-AE31*365,0))</f>
        <v>0</v>
      </c>
      <c r="AG21" s="16">
        <f t="shared" si="7"/>
        <v>0</v>
      </c>
      <c r="AH21" s="16">
        <f>IF(AG20-AG31*366&gt;=0,AG21,IF(AG21+AG20-AG31*366&gt;=0,AG21+AG20-AG31*366,0))</f>
        <v>0</v>
      </c>
      <c r="AI21" s="16">
        <f t="shared" si="7"/>
        <v>0</v>
      </c>
      <c r="AJ21" s="16">
        <f>IF(AI20-AI31*365&gt;=0,AI21,IF(AI21+AI20-AI31*365&gt;=0,AI21+AI20-AI31*365,0))</f>
        <v>0</v>
      </c>
      <c r="AK21" s="16">
        <f t="shared" ref="AK21" si="8">IF(AJ20-AJ31*365&gt;=0,AJ21,IF(AJ21+AJ20-AJ31*365&gt;=0,AJ21+AJ20-AJ31*365,0))</f>
        <v>0</v>
      </c>
      <c r="AL21" s="16">
        <f>IF(AK20-AK31*366&gt;=0,AK21,IF(AK21+AK20-AK31*366&gt;=0,AK21+AK20-AK31*366,0))</f>
        <v>0</v>
      </c>
      <c r="AM21" s="13"/>
    </row>
    <row r="22" spans="2:39" x14ac:dyDescent="0.25">
      <c r="J22" s="6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2:39" ht="15.75" thickBot="1" x14ac:dyDescent="0.3">
      <c r="B23" s="14" t="s">
        <v>58</v>
      </c>
      <c r="J23" s="6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2:39" x14ac:dyDescent="0.25">
      <c r="B24" t="s">
        <v>13</v>
      </c>
      <c r="C24" t="s">
        <v>57</v>
      </c>
      <c r="J24" s="6">
        <f>C7*Q7</f>
        <v>724000</v>
      </c>
      <c r="K24" s="15">
        <f>J24</f>
        <v>724000</v>
      </c>
      <c r="L24" s="16">
        <f>J24</f>
        <v>724000</v>
      </c>
      <c r="M24" s="16">
        <f>IF(SUM(L20:L21)-L31*91&gt;=0,L24,IF(SUM(L20:L21)+L24-L31*91&gt;=0,SUM(L20:L21)+L24-L31*91,0))</f>
        <v>724000</v>
      </c>
      <c r="N24" s="16">
        <f>IF(SUM(M20:M21)-M31*92&gt;=0,M24,IF(SUM(M20:M21)+M24-M31*92&gt;=0,SUM(M20:M21)+M24-M31*92,0))</f>
        <v>724000</v>
      </c>
      <c r="O24" s="16">
        <f>IF(SUM(N20:N21)-N31*92&gt;=0,N24,IF(SUM(N20:N21)+N24-N31*92&gt;=0,SUM(N20:N21)+N24-N31*92,0))</f>
        <v>724000</v>
      </c>
      <c r="P24" s="16">
        <f>IF(SUM(O20:O21)-O31*90&gt;=0,O24,IF(SUM(O20:O21)+O24-O31*90&gt;=0,SUM(O20:O21)+O24-O31*90,0))</f>
        <v>724000</v>
      </c>
      <c r="Q24" s="16">
        <f>IF(SUM(P20:P21)-P31*275&gt;=0,P24,IF(SUM(P20:P21)+P24-P31*275&gt;=0,SUM(P20:P21)+P24-P31*275,0))</f>
        <v>724000</v>
      </c>
      <c r="R24" s="16">
        <f>IF(SUM(Q20:Q21)-Q31*366&gt;=0,Q24,IF(SUM(Q20:Q21)+Q24-Q31*366&gt;=0,SUM(Q20:Q21)+Q24-Q31*366,0))</f>
        <v>724000</v>
      </c>
      <c r="S24" s="16">
        <f>IF(SUM(R20:R21)-R31*365&gt;=0,R24,IF(SUM(R20:R21)+R24-R31*365&gt;=0,SUM(R20:R21)+R24-R31*365,0))</f>
        <v>724000</v>
      </c>
      <c r="T24" s="16">
        <f>IF(SUM(S20:S21)-S31*365&gt;=0,S24,IF(SUM(S20:S21)+S24-S31*365&gt;=0,SUM(S20:S21)+S24-S31*365,0))</f>
        <v>724000</v>
      </c>
      <c r="U24" s="16">
        <f>IF(SUM(T20:T21)-T31*365&gt;=0,T24,IF(SUM(T20:T21)+T24-T31*365&gt;=0,SUM(T20:T21)+T24-T31*365,0))</f>
        <v>705982.37851053395</v>
      </c>
      <c r="V24" s="16">
        <f>IF(SUM(U20:U21)-U31*366&gt;=0,U24,IF(SUM(U20:U21)+U24-U31*366&gt;=0,SUM(U20:U21)+U24-U31*366,0))</f>
        <v>174216.52447704843</v>
      </c>
      <c r="W24" s="16">
        <f>IF(SUM(V20:V21)-V31*365&gt;=0,V24,IF(SUM(V20:V21)+V24-V31*365&gt;=0,SUM(V20:V21)+V24-V31*365,0))</f>
        <v>0</v>
      </c>
      <c r="X24" s="16">
        <f t="shared" ref="X24:AE24" si="9">IF(SUM(W20:W21)-W31*365&gt;=0,W24,IF(SUM(W20:W21)+W24-W31*365&gt;=0,SUM(W20:W21)+W24-W31*365,0))</f>
        <v>0</v>
      </c>
      <c r="Y24" s="16">
        <f t="shared" si="9"/>
        <v>0</v>
      </c>
      <c r="Z24" s="16">
        <f>IF(SUM(Y20:Y21)-Y31*366&gt;=0,Y24,IF(SUM(Y20:Y21)+Y24-Y31*366&gt;=0,SUM(Y20:Y21)+Y24-Y31*366,0))</f>
        <v>0</v>
      </c>
      <c r="AA24" s="16">
        <f t="shared" si="9"/>
        <v>0</v>
      </c>
      <c r="AB24" s="16">
        <f t="shared" si="9"/>
        <v>0</v>
      </c>
      <c r="AC24" s="16">
        <f t="shared" si="9"/>
        <v>0</v>
      </c>
      <c r="AD24" s="16">
        <f>IF(SUM(AC20:AC21)-AC31*366&gt;=0,AC24,IF(SUM(AC20:AC21)+AC24-AC31*366&gt;=0,SUM(AC20:AC21)+AC24-AC31*366,0))</f>
        <v>0</v>
      </c>
      <c r="AE24" s="16">
        <f t="shared" si="9"/>
        <v>0</v>
      </c>
      <c r="AF24" s="16">
        <f t="shared" ref="AF24:AI24" si="10">IF(SUM(AE20:AE21)-AE31*365&gt;=0,AE24,IF(SUM(AE20:AE21)+AE24-AE31*365&gt;=0,SUM(AE20:AE21)+AE24-AE31*365,0))</f>
        <v>0</v>
      </c>
      <c r="AG24" s="16">
        <f t="shared" si="10"/>
        <v>0</v>
      </c>
      <c r="AH24" s="16">
        <f>IF(SUM(AG20:AG21)-AG31*366&gt;=0,AG24,IF(SUM(AG20:AG21)+AG24-AG31*366&gt;=0,SUM(AG20:AG21)+AG24-AG31*366,0))</f>
        <v>0</v>
      </c>
      <c r="AI24" s="16">
        <f t="shared" si="10"/>
        <v>0</v>
      </c>
      <c r="AJ24" s="16">
        <f t="shared" ref="AJ24" si="11">IF(SUM(AI20:AI21)-AI31*365&gt;=0,AI24,IF(SUM(AI20:AI21)+AI24-AI31*365&gt;=0,SUM(AI20:AI21)+AI24-AI31*365,0))</f>
        <v>0</v>
      </c>
      <c r="AK24" s="16">
        <f t="shared" ref="AK24" si="12">IF(SUM(AJ20:AJ21)-AJ31*365&gt;=0,AJ24,IF(SUM(AJ20:AJ21)+AJ24-AJ31*365&gt;=0,SUM(AJ20:AJ21)+AJ24-AJ31*365,0))</f>
        <v>0</v>
      </c>
      <c r="AL24" s="16">
        <f>IF(SUM(AK20:AK21)-AK31*366&gt;=0,AK24,IF(SUM(AK20:AK21)+AK24-AK31*366&gt;=0,SUM(AK20:AK21)+AK24-AK31*366,0))</f>
        <v>0</v>
      </c>
      <c r="AM24" s="13"/>
    </row>
    <row r="25" spans="2:39" x14ac:dyDescent="0.25">
      <c r="B25" t="s">
        <v>17</v>
      </c>
      <c r="C25" t="s">
        <v>57</v>
      </c>
      <c r="J25" s="6">
        <f>C8*Q8</f>
        <v>1994000</v>
      </c>
      <c r="K25" s="15">
        <f>J25</f>
        <v>1994000</v>
      </c>
      <c r="L25" s="16">
        <f>J25</f>
        <v>1994000</v>
      </c>
      <c r="M25" s="16">
        <f>IF(SUM(L20:L21)+L24-L31*91&gt;=0,L25,IF(SUM(L20:L21)+SUM(L24:L25)-L31*91&gt;=0,SUM(L20:L21)+SUM(L24:L25)-L31*91,0))</f>
        <v>1994000</v>
      </c>
      <c r="N25" s="16">
        <f>IF(SUM(M20:M21)+M24-M31*92&gt;=0,M25,IF(SUM(M20:M21)+SUM(M24:M25)-M31*92&gt;=0,SUM(M20:M21)+SUM(M24:M25)-M31*92,0))</f>
        <v>1994000</v>
      </c>
      <c r="O25" s="16">
        <f>IF(SUM(N20:N21)+N24-N31*92&gt;=0,N25,IF(SUM(N20:N21)+SUM(N24:N25)-N31*92&gt;=0,SUM(N20:N21)+SUM(N24:N25)-N31*92,0))</f>
        <v>1994000</v>
      </c>
      <c r="P25" s="16">
        <f>IF(SUM(O20:O21)+O24-O31*90&gt;=0,O25,IF(SUM(O20:O21)+SUM(O24:O25)-O31*90&gt;=0,SUM(O20:O21)+SUM(O24:O25)-O31*90,0))</f>
        <v>1994000</v>
      </c>
      <c r="Q25" s="16">
        <f>IF(SUM(P20:P21)+P24-P31*275&gt;=0,P25,IF(SUM(P20:P21)+SUM(P24:P25)-P31*275&gt;=0,SUM(P20:P21)+SUM(P24:P25)-P31*275,0))</f>
        <v>1994000</v>
      </c>
      <c r="R25" s="16">
        <f>IF(SUM(Q20:Q21)+Q24-Q31*366&gt;=0,Q25,IF(SUM(Q20:Q21)+SUM(Q24:Q25)-Q31*366&gt;=0,SUM(Q20:Q21)+SUM(Q24:Q25)-Q31*366,0))</f>
        <v>1994000</v>
      </c>
      <c r="S25" s="16">
        <f>IF(SUM(R20:R21)+R24-R31*365&gt;=0,R25,IF(SUM(R20:R21)+SUM(R24:R25)-R31*365&gt;=0,SUM(R20:R21)+SUM(R24:R25)-R31*365,0))</f>
        <v>1994000</v>
      </c>
      <c r="T25" s="16">
        <f>IF(SUM(S20:S21)+S24-S31*365&gt;=0,S25,IF(SUM(S20:S21)+SUM(S24:S25)-S31*365&gt;=0,SUM(S20:S21)+SUM(S24:S25)-S31*365,0))</f>
        <v>1994000</v>
      </c>
      <c r="U25" s="16">
        <f>IF(SUM(T20:T21)+T24-T31*365&gt;=0,T25,IF(SUM(T20:T21)+SUM(T24:T25)-T31*365&gt;=0,SUM(T20:T21)+SUM(T24:T25)-T31*365,0))</f>
        <v>1994000</v>
      </c>
      <c r="V25" s="16">
        <f>IF(SUM(U20:U21)+U24-U31*366&gt;=0,U25,IF(SUM(U20:U21)+SUM(U24:U25)-U31*366&gt;=0,SUM(U20:U21)+SUM(U24:U25)-U31*366,0))</f>
        <v>1994000</v>
      </c>
      <c r="W25" s="16">
        <f>IF(SUM(V20:V21)+V24-V31*365&gt;=0,V25,IF(SUM(V20:V21)+SUM(V24:V25)-V31*365&gt;=0,SUM(V20:V21)+SUM(V24:V25)-V31*365,0))</f>
        <v>1637903.5826130533</v>
      </c>
      <c r="X25" s="16">
        <f t="shared" ref="X25:AE25" si="13">IF(SUM(W20:W21)+W24-W31*365&gt;=0,W25,IF(SUM(W20:W21)+SUM(W24:W25)-W31*365&gt;=0,SUM(W20:W21)+SUM(W24:W25)-W31*365,0))</f>
        <v>1107590.6407490582</v>
      </c>
      <c r="Y25" s="16">
        <f t="shared" si="13"/>
        <v>577277.69888506306</v>
      </c>
      <c r="Z25" s="16">
        <f>IF(SUM(Y20:Y21)+Y24-Y31*366&gt;=0,Y25,IF(SUM(Y20:Y21)+SUM(Y24:Y25)-Y31*366&gt;=0,SUM(Y20:Y21)+SUM(Y24:Y25)-Y31*366,0))</f>
        <v>45511.844851577538</v>
      </c>
      <c r="AA25" s="16">
        <f t="shared" si="13"/>
        <v>0</v>
      </c>
      <c r="AB25" s="16">
        <f t="shared" si="13"/>
        <v>0</v>
      </c>
      <c r="AC25" s="16">
        <f t="shared" si="13"/>
        <v>0</v>
      </c>
      <c r="AD25" s="16">
        <f>IF(SUM(AC20:AC21)+AC24-AC31*366&gt;=0,AC25,IF(SUM(AC20:AC21)+SUM(AC24:AC25)-AC31*366&gt;=0,SUM(AC20:AC21)+SUM(AC24:AC25)-AC31*366,0))</f>
        <v>0</v>
      </c>
      <c r="AE25" s="16">
        <f t="shared" si="13"/>
        <v>0</v>
      </c>
      <c r="AF25" s="16">
        <f t="shared" ref="AF25:AI25" si="14">IF(SUM(AE20:AE21)+AE24-AE31*365&gt;=0,AE25,IF(SUM(AE20:AE21)+SUM(AE24:AE25)-AE31*365&gt;=0,SUM(AE20:AE21)+SUM(AE24:AE25)-AE31*365,0))</f>
        <v>0</v>
      </c>
      <c r="AG25" s="16">
        <f t="shared" si="14"/>
        <v>0</v>
      </c>
      <c r="AH25" s="16">
        <f>IF(SUM(AG20:AG21)+AG24-AG31*366&gt;=0,AG25,IF(SUM(AG20:AG21)+SUM(AG24:AG25)-AG31*366&gt;=0,SUM(AG20:AG21)+SUM(AG24:AG25)-AG31*366,0))</f>
        <v>0</v>
      </c>
      <c r="AI25" s="16">
        <f t="shared" si="14"/>
        <v>0</v>
      </c>
      <c r="AJ25" s="16">
        <f t="shared" ref="AJ25" si="15">IF(SUM(AI20:AI21)+AI24-AI31*365&gt;=0,AI25,IF(SUM(AI20:AI21)+SUM(AI24:AI25)-AI31*365&gt;=0,SUM(AI20:AI21)+SUM(AI24:AI25)-AI31*365,0))</f>
        <v>0</v>
      </c>
      <c r="AK25" s="16">
        <f t="shared" ref="AK25" si="16">IF(SUM(AJ20:AJ21)+AJ24-AJ31*365&gt;=0,AJ25,IF(SUM(AJ20:AJ21)+SUM(AJ24:AJ25)-AJ31*365&gt;=0,SUM(AJ20:AJ21)+SUM(AJ24:AJ25)-AJ31*365,0))</f>
        <v>0</v>
      </c>
      <c r="AL25" s="16">
        <f>IF(SUM(AK20:AK21)+AK24-AK31*366&gt;=0,AK25,IF(SUM(AK20:AK21)+SUM(AK24:AK25)-AK31*366&gt;=0,SUM(AK20:AK21)+SUM(AK24:AK25)-AK31*366,0))</f>
        <v>0</v>
      </c>
      <c r="AM25" s="13"/>
    </row>
    <row r="26" spans="2:39" x14ac:dyDescent="0.25">
      <c r="J26" s="6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2:39" ht="15.75" thickBot="1" x14ac:dyDescent="0.3">
      <c r="B27" s="14" t="s">
        <v>59</v>
      </c>
      <c r="J27" s="6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2:39" x14ac:dyDescent="0.25">
      <c r="B28" t="s">
        <v>60</v>
      </c>
      <c r="C28" t="s">
        <v>57</v>
      </c>
      <c r="J28" s="6">
        <f>C9*AB7</f>
        <v>3809000</v>
      </c>
      <c r="K28" s="15">
        <f>J28</f>
        <v>3809000</v>
      </c>
      <c r="L28" s="16">
        <f>J28</f>
        <v>3809000</v>
      </c>
      <c r="M28" s="16">
        <f>IF(SUM(L20:L21)+SUM(L24:L25)-L31*91&gt;=0,L28,IF(SUM(L20:L21)+SUM(L24:L25)+L28-L31*91&gt;=0,SUM(L20:L21)+SUM(L24:L25)+L28-L31*91,0))</f>
        <v>3809000</v>
      </c>
      <c r="N28" s="16">
        <f>IF(SUM(M20:M21)+SUM(M24:M25)-M31*92&gt;=0,M28,IF(SUM(M20:M21)+SUM(M24:M25)+M28-M31*92&gt;=0,SUM(M20:M21)+SUM(M24:M25)+M28-M31*92,0))</f>
        <v>3809000</v>
      </c>
      <c r="O28" s="16">
        <f>IF(SUM(N20:N21)+SUM(N24:N25)-N31*92&gt;=0,N28,IF(SUM(N20:N21)+SUM(N24:N25)+N28-N31*92&gt;=0,SUM(N20:N21)+SUM(N24:N25)+N28-N31*92,0))</f>
        <v>3809000</v>
      </c>
      <c r="P28" s="16">
        <f>IF(SUM(O20:O21)+SUM(O24:O25)-O31*90&gt;=0,O28,IF(SUM(O20:O21)+SUM(O24:O25)+O28-O31*90&gt;=0,SUM(O20:O21)+SUM(O24:O25)+O28-O31*90,0))</f>
        <v>3809000</v>
      </c>
      <c r="Q28" s="16">
        <f>IF(SUM(P20:P21)+SUM(P24:P25)-P31*275&gt;=0,P28,IF(SUM(P20:P21)+SUM(P24:P25)+P28-P31*275&gt;=0,SUM(P20:P21)+SUM(P24:P25)+P28-P31*275,0))</f>
        <v>3809000</v>
      </c>
      <c r="R28" s="16">
        <f>IF(SUM(Q20:Q21)+SUM(Q24:Q25)-Q31*366&gt;=0,Q28,IF(SUM(Q20:Q21)+SUM(Q24:Q25)+Q28-Q31*366&gt;=0,SUM(Q20:Q21)+SUM(Q24:Q25)+Q28-Q31*366,0))</f>
        <v>3809000</v>
      </c>
      <c r="S28" s="16">
        <f>IF(SUM(R20:R21)+SUM(R24:R25)-R31*365&gt;=0,R28,IF(SUM(R20:R21)+SUM(R24:R25)+R28-R31*365&gt;=0,SUM(R20:R21)+SUM(R24:R25)+R28-R31*365,0))</f>
        <v>3809000</v>
      </c>
      <c r="T28" s="16">
        <f>IF(SUM(S20:S21)+SUM(S24:S25)-S31*365&gt;=0,S28,IF(SUM(S20:S21)+SUM(S24:S25)+S28-S31*365&gt;=0,SUM(S20:S21)+SUM(S24:S25)+S28-S31*365,0))</f>
        <v>3809000</v>
      </c>
      <c r="U28" s="16">
        <f>IF(SUM(T20:T21)+SUM(T24:T25)-T31*365&gt;=0,T28,IF(SUM(T20:T21)+SUM(T24:T25)+T28-T31*365&gt;=0,SUM(T20:T21)+SUM(T24:T25)+T28-T31*365,0))</f>
        <v>3809000</v>
      </c>
      <c r="V28" s="16">
        <f>IF(SUM(U20:U21)+SUM(U24:U25)-U31*366&gt;=0,U28,IF(SUM(U20:U21)+SUM(U24:U25)+U28-U31*366&gt;=0,SUM(U20:U21)+SUM(U24:U25)+U28-U31*366,0))</f>
        <v>3809000</v>
      </c>
      <c r="W28" s="16">
        <f>IF(SUM(V20:V21)+SUM(V24:V25)-V31*365&gt;=0,V28,IF(SUM(V20:V21)+SUM(V24:V25)+V28-V31*365&gt;=0,SUM(V20:V21)+SUM(V24:V25)+V28-V31*365,0))</f>
        <v>3809000</v>
      </c>
      <c r="X28" s="16">
        <f t="shared" ref="X28:AJ28" si="17">IF(SUM(W20:W21)+SUM(W24:W25)-W31*365&gt;=0,W28,IF(SUM(W20:W21)+SUM(W24:W25)+W28-W31*365&gt;=0,SUM(W20:W21)+SUM(W24:W25)+W28-W31*365,0))</f>
        <v>3809000</v>
      </c>
      <c r="Y28" s="16">
        <f t="shared" si="17"/>
        <v>3809000</v>
      </c>
      <c r="Z28" s="16">
        <f>IF(SUM(Y20:Y21)+SUM(Y24:Y25)-Y31*366&gt;=0,Y28,IF(SUM(Y20:Y21)+SUM(Y24:Y25)+Y28-Y31*366&gt;=0,SUM(Y20:Y21)+SUM(Y24:Y25)+Y28-Y31*366,0))</f>
        <v>3809000</v>
      </c>
      <c r="AA28" s="16">
        <f t="shared" si="17"/>
        <v>3324198.9029875826</v>
      </c>
      <c r="AB28" s="16">
        <f t="shared" si="17"/>
        <v>2793885.9611235876</v>
      </c>
      <c r="AC28" s="16">
        <f t="shared" si="17"/>
        <v>2263573.0192595925</v>
      </c>
      <c r="AD28" s="16">
        <f>IF(SUM(AC20:AC21)+SUM(AC24:AC25)-AC31*366&gt;=0,AC28,IF(SUM(AC20:AC21)+SUM(AC24:AC25)+AC28-AC31*366&gt;=0,SUM(AC20:AC21)+SUM(AC24:AC25)+AC28-AC31*366,0))</f>
        <v>1731807.165226107</v>
      </c>
      <c r="AE28" s="16">
        <f t="shared" si="17"/>
        <v>1201494.223362112</v>
      </c>
      <c r="AF28" s="16">
        <f t="shared" si="17"/>
        <v>671181.28149811679</v>
      </c>
      <c r="AG28" s="16">
        <f t="shared" si="17"/>
        <v>140868.33963412163</v>
      </c>
      <c r="AH28" s="16">
        <f>IF(SUM(AG20:AG21)+SUM(AG24:AG25)-AG31*366&gt;=0,AG28,IF(SUM(AG20:AG21)+SUM(AG24:AG25)+AG28-AG31*366&gt;=0,SUM(AG20:AG21)+SUM(AG24:AG25)+AG28-AG31*366,0))</f>
        <v>0</v>
      </c>
      <c r="AI28" s="16">
        <f t="shared" si="17"/>
        <v>0</v>
      </c>
      <c r="AJ28" s="16">
        <f t="shared" si="17"/>
        <v>0</v>
      </c>
      <c r="AK28" s="16">
        <f t="shared" ref="AK28" si="18">IF(SUM(AJ20:AJ21)+SUM(AJ24:AJ25)-AJ31*365&gt;=0,AJ28,IF(SUM(AJ20:AJ21)+SUM(AJ24:AJ25)+AJ28-AJ31*365&gt;=0,SUM(AJ20:AJ21)+SUM(AJ24:AJ25)+AJ28-AJ31*365,0))</f>
        <v>0</v>
      </c>
      <c r="AL28" s="16">
        <f>IF(SUM(AK20:AK21)+SUM(AK24:AK25)-AK31*366&gt;=0,AK28,IF(SUM(AK20:AK21)+SUM(AK24:AK25)+AK28-AK31*366&gt;=0,SUM(AK20:AK21)+SUM(AK24:AK25)+AK28-AK31*366,0))</f>
        <v>0</v>
      </c>
      <c r="AM28" s="13"/>
    </row>
    <row r="29" spans="2:39" x14ac:dyDescent="0.25"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39" ht="15.75" thickBot="1" x14ac:dyDescent="0.3">
      <c r="B30" s="14" t="s">
        <v>61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2:39" x14ac:dyDescent="0.25">
      <c r="B31" t="s">
        <v>62</v>
      </c>
      <c r="C31" t="s">
        <v>63</v>
      </c>
      <c r="E31" s="6">
        <f>E32/365</f>
        <v>1451.2438356164384</v>
      </c>
      <c r="F31" s="6">
        <f t="shared" ref="F31:I31" si="19">F32/365</f>
        <v>1465.131506849315</v>
      </c>
      <c r="G31" s="6">
        <f t="shared" si="19"/>
        <v>1455.6356164383562</v>
      </c>
      <c r="H31" s="6">
        <f>H32/366</f>
        <v>1393.5710382513662</v>
      </c>
      <c r="I31" s="6">
        <f t="shared" si="19"/>
        <v>1478.8465753424657</v>
      </c>
      <c r="J31" s="6">
        <f>J32/90</f>
        <v>1473.0444444444445</v>
      </c>
      <c r="K31" s="15">
        <f>AVERAGE(L31:AM31)</f>
        <v>1452.866010119121</v>
      </c>
      <c r="L31" s="16">
        <f>L32/91</f>
        <v>1463.098901098901</v>
      </c>
      <c r="M31" s="16">
        <f>M32/92</f>
        <v>1447.195652173913</v>
      </c>
      <c r="N31" s="16">
        <f t="shared" ref="N31" si="20">N32/92</f>
        <v>1447.195652173913</v>
      </c>
      <c r="O31" s="16">
        <f>AVERAGE($E$31:$J$31)</f>
        <v>1452.9121694903977</v>
      </c>
      <c r="P31" s="16">
        <f t="shared" ref="P31:AL31" si="21">AVERAGE($E$31:$J$31)</f>
        <v>1452.9121694903977</v>
      </c>
      <c r="Q31" s="16">
        <f t="shared" si="21"/>
        <v>1452.9121694903977</v>
      </c>
      <c r="R31" s="16">
        <f t="shared" si="21"/>
        <v>1452.9121694903977</v>
      </c>
      <c r="S31" s="16">
        <f t="shared" si="21"/>
        <v>1452.9121694903977</v>
      </c>
      <c r="T31" s="16">
        <f t="shared" si="21"/>
        <v>1452.9121694903977</v>
      </c>
      <c r="U31" s="16">
        <f t="shared" si="21"/>
        <v>1452.9121694903977</v>
      </c>
      <c r="V31" s="16">
        <f t="shared" si="21"/>
        <v>1452.9121694903977</v>
      </c>
      <c r="W31" s="16">
        <f t="shared" si="21"/>
        <v>1452.9121694903977</v>
      </c>
      <c r="X31" s="16">
        <f t="shared" si="21"/>
        <v>1452.9121694903977</v>
      </c>
      <c r="Y31" s="16">
        <f t="shared" si="21"/>
        <v>1452.9121694903977</v>
      </c>
      <c r="Z31" s="16">
        <f t="shared" si="21"/>
        <v>1452.9121694903977</v>
      </c>
      <c r="AA31" s="16">
        <f t="shared" si="21"/>
        <v>1452.9121694903977</v>
      </c>
      <c r="AB31" s="16">
        <f t="shared" si="21"/>
        <v>1452.9121694903977</v>
      </c>
      <c r="AC31" s="16">
        <f t="shared" si="21"/>
        <v>1452.9121694903977</v>
      </c>
      <c r="AD31" s="16">
        <f t="shared" si="21"/>
        <v>1452.9121694903977</v>
      </c>
      <c r="AE31" s="16">
        <f t="shared" si="21"/>
        <v>1452.9121694903977</v>
      </c>
      <c r="AF31" s="16">
        <f t="shared" si="21"/>
        <v>1452.9121694903977</v>
      </c>
      <c r="AG31" s="16">
        <f t="shared" si="21"/>
        <v>1452.9121694903977</v>
      </c>
      <c r="AH31" s="16">
        <f t="shared" si="21"/>
        <v>1452.9121694903977</v>
      </c>
      <c r="AI31" s="16">
        <f t="shared" si="21"/>
        <v>1452.9121694903977</v>
      </c>
      <c r="AJ31" s="16">
        <f t="shared" si="21"/>
        <v>1452.9121694903977</v>
      </c>
      <c r="AK31" s="16">
        <f t="shared" si="21"/>
        <v>1452.9121694903977</v>
      </c>
      <c r="AL31" s="16">
        <f t="shared" si="21"/>
        <v>1452.9121694903977</v>
      </c>
      <c r="AM31" s="13"/>
    </row>
    <row r="32" spans="2:39" x14ac:dyDescent="0.25">
      <c r="B32" t="s">
        <v>64</v>
      </c>
      <c r="C32" t="s">
        <v>57</v>
      </c>
      <c r="E32" s="6">
        <v>529704</v>
      </c>
      <c r="F32" s="6">
        <v>534773</v>
      </c>
      <c r="G32" s="6">
        <v>531307</v>
      </c>
      <c r="H32" s="6">
        <v>510047</v>
      </c>
      <c r="I32" s="6">
        <v>539779</v>
      </c>
      <c r="J32" s="6">
        <v>132574</v>
      </c>
      <c r="K32" s="15">
        <f>SUM(L32:AM32)</f>
        <v>9561426</v>
      </c>
      <c r="L32" s="16">
        <f>(532000-$J$32)/3</f>
        <v>133142</v>
      </c>
      <c r="M32" s="16">
        <f t="shared" ref="M32:N32" si="22">(532000-$J$32)/3</f>
        <v>133142</v>
      </c>
      <c r="N32" s="16">
        <f t="shared" si="22"/>
        <v>133142</v>
      </c>
      <c r="O32" s="16">
        <f>IF(O31*90&gt;=O28+SUM(O24:O25)+SUM(O20:O21),O28+SUM(O24:O25)+SUM(O20:O21),O31*90)</f>
        <v>130762.09525413578</v>
      </c>
      <c r="P32" s="16">
        <f>IF(P31*275&gt;=P28+SUM(P24:P25)+SUM(P20:P21),P28+SUM(P24:P25)+SUM(P20:P21),P31*275)</f>
        <v>399550.84660985938</v>
      </c>
      <c r="Q32" s="16">
        <f>IF(Q31*366&gt;=Q28+SUM(Q24:Q25)+SUM(Q20:Q21),Q28+SUM(Q24:Q25)+SUM(Q20:Q21),Q31*366)</f>
        <v>531765.85403348552</v>
      </c>
      <c r="R32" s="16">
        <f>IF(R31*365&gt;=R28+SUM(R24:R25)+SUM(R20:R21),R28+SUM(R24:R25)+SUM(R20:R21),R31*365)</f>
        <v>530312.94186399516</v>
      </c>
      <c r="S32" s="16">
        <f t="shared" ref="S32:T32" si="23">IF(S31*365&gt;=S28+SUM(S24:S25)+SUM(S20:S21),S28+SUM(S24:S25)+SUM(S20:S21),S31*365)</f>
        <v>530312.94186399516</v>
      </c>
      <c r="T32" s="16">
        <f t="shared" si="23"/>
        <v>530312.94186399516</v>
      </c>
      <c r="U32" s="16">
        <f>IF(U31*366&gt;=U28+SUM(U24:U25)+SUM(U20:U21),U28+SUM(U24:U25)+SUM(U20:U21),U31*366)</f>
        <v>531765.85403348552</v>
      </c>
      <c r="V32" s="16">
        <f t="shared" ref="V32:X32" si="24">IF(V31*365&gt;=V28+SUM(V24:V25)+SUM(V20:V21),V28+SUM(V24:V25)+SUM(V20:V21),V31*365)</f>
        <v>530312.94186399516</v>
      </c>
      <c r="W32" s="16">
        <f t="shared" si="24"/>
        <v>530312.94186399516</v>
      </c>
      <c r="X32" s="16">
        <f t="shared" si="24"/>
        <v>530312.94186399516</v>
      </c>
      <c r="Y32" s="16">
        <f>IF(Y31*366&gt;=Y28+SUM(Y24:Y25)+SUM(Y20:Y21),Y28+SUM(Y24:Y25)+SUM(Y20:Y21),Y31*366)</f>
        <v>531765.85403348552</v>
      </c>
      <c r="Z32" s="16">
        <f>IF(Z31*365&gt;=Z28+SUM(Z24:Z25)+SUM(Z20:Z21),Z28+SUM(Z24:Z25)+SUM(Z20:Z21),Z31*365)</f>
        <v>530312.94186399516</v>
      </c>
      <c r="AA32" s="16">
        <f t="shared" ref="AA32:AB32" si="25">IF(AA31*365&gt;=AA28+SUM(AA24:AA25)+SUM(AA20:AA21),AA28+SUM(AA24:AA25)+SUM(AA20:AA21),AA31*365)</f>
        <v>530312.94186399516</v>
      </c>
      <c r="AB32" s="16">
        <f t="shared" si="25"/>
        <v>530312.94186399516</v>
      </c>
      <c r="AC32" s="16">
        <f t="shared" ref="AC32" si="26">IF(AC31*366&gt;=AC28+SUM(AC24:AC25)+SUM(AC20:AC21),AC28+SUM(AC24:AC25)+SUM(AC20:AC21),AC31*366)</f>
        <v>531765.85403348552</v>
      </c>
      <c r="AD32" s="16">
        <f>IF(AD31*365&gt;=AD28+SUM(AD24:AD25)+SUM(AD20:AD21),AD28+SUM(AD24:AD25)+SUM(AD20:AD21),AD31*365)</f>
        <v>530312.94186399516</v>
      </c>
      <c r="AE32" s="16">
        <f t="shared" ref="AE32:AF32" si="27">IF(AE31*365&gt;=AE28+SUM(AE24:AE25)+SUM(AE20:AE21),AE28+SUM(AE24:AE25)+SUM(AE20:AE21),AE31*365)</f>
        <v>530312.94186399516</v>
      </c>
      <c r="AF32" s="16">
        <f t="shared" si="27"/>
        <v>530312.94186399516</v>
      </c>
      <c r="AG32" s="16">
        <f t="shared" ref="AG32" si="28">IF(AG31*366&gt;=AG28+SUM(AG24:AG25)+SUM(AG20:AG21),AG28+SUM(AG24:AG25)+SUM(AG20:AG21),AG31*366)</f>
        <v>140868.33963412163</v>
      </c>
      <c r="AH32" s="16">
        <f>IF(AH31*365&gt;=AH28+SUM(AH24:AH25)+SUM(AH20:AH21),AH28+SUM(AH24:AH25)+SUM(AH20:AH21),AH31*365)</f>
        <v>0</v>
      </c>
      <c r="AI32" s="16">
        <f t="shared" ref="AI32:AJ32" si="29">IF(AI31*365&gt;=AI28+SUM(AI24:AI25)+SUM(AI20:AI21),AI28+SUM(AI24:AI25)+SUM(AI20:AI21),AI31*365)</f>
        <v>0</v>
      </c>
      <c r="AJ32" s="16">
        <f t="shared" si="29"/>
        <v>0</v>
      </c>
      <c r="AK32" s="16">
        <f>IF(AK31*366&gt;=AK28+SUM(AK24:AK25)+SUM(AK20:AK21),AK28+SUM(AK24:AK25)+SUM(AK20:AK21),AK31*366)</f>
        <v>0</v>
      </c>
      <c r="AL32" s="16">
        <f t="shared" ref="AL32" si="30">IF(AL31*365&gt;=AL28+SUM(AL24:AL25)+SUM(AL20:AL21),AL28+SUM(AL24:AL25)+SUM(AL20:AL21),AL31*365)</f>
        <v>0</v>
      </c>
      <c r="AM32" s="13"/>
    </row>
    <row r="33" spans="2:39" x14ac:dyDescent="0.25">
      <c r="B33" t="s">
        <v>65</v>
      </c>
      <c r="C33" t="s">
        <v>66</v>
      </c>
      <c r="E33">
        <v>66</v>
      </c>
      <c r="F33">
        <v>63</v>
      </c>
      <c r="G33">
        <v>66</v>
      </c>
      <c r="H33">
        <v>72</v>
      </c>
      <c r="I33">
        <v>76</v>
      </c>
      <c r="J33">
        <v>89</v>
      </c>
      <c r="K33" s="58">
        <f>AVERAGEIF(L33:AM33,"&gt;0")</f>
        <v>94.294795371065732</v>
      </c>
      <c r="L33" s="13">
        <v>85</v>
      </c>
      <c r="M33" s="13">
        <v>68</v>
      </c>
      <c r="N33" s="13">
        <v>68</v>
      </c>
      <c r="O33" s="13">
        <f>G8</f>
        <v>83</v>
      </c>
      <c r="P33" s="41">
        <f>IF(P20&gt;=P31*275,$G$7,IF(AND(P20=0,P21&gt;=P31*275),$G$8,IF(AND(P20+P21=0,P24&gt;=P31*275),$R$7,IF(AND(SUM(P20:P21)+P24=0,P25&gt;=P31*275),$R$8,IF(AND(SUM(P20:P21)+SUM(P24:P25)=0,P28&gt;=P31*275),$AC$7,IF(SUM(P20:P21)+SUM(P24:P25)+P28=0,0,IF(AND(P31*275&gt;SUM(P20:P21),SUM(P20:P21)+P24&gt;=P31*275),(P20*$G$7+P21*$G$8+(P24-Q24)*$R$7)/(P31*275),IF(AND(P31*275&gt;P21+P24,P21+SUM(P24:P25)&gt;=P31*275),(P21*$G$8+P24*$R$7+(P25-Q25)*$R$8)/(P31*275),IF(AND(P31*275&gt;SUM(P24:P25),SUM(P24:P25)+P28&gt;=P31*275),(P24*$R$7+P25*$R$8+(P28-Q28)*$AC$7)/(P31*275),IF(AND(P31*275&gt;P20,P20+P21&gt;=P31*275),(P20*$G$7+(P21-Q21)*$G$8)/(P31*275),IF(AND(P31*275&gt;P21,P21+P24&gt;=P31*275),(P21*$G$8+(P24-Q24)*$R$7)/(P31*275),IF(AND(P31*275&gt;P24,SUM(P24:P25)&gt;=P31*275),(P24*$R$7+(P25-Q25)*$R$8)/(P31*275),IF(AND(P31*275&gt;P25,P25+P28&gt;=P31*275),(P25*$R$8+(P28-Q28)*$AC$7)/(P31*275),IF(AND(P20&gt;0,P21&gt;0,P31*275&gt;SUM(P20:P21)),(P20*$G$7+P21*$G$8)/SUM(P20:P21),IF(AND(P21&gt;0,P24&gt;0,P31*275&gt;SUM(P21:P24)),(P21*$G$8+P24*$R$7)/SUM(P21:P24),IF(AND(P24&gt;0,P25&gt;0,P31*275&gt;SUM(P24:P25)),(P24*$R$7+P25*$R$8)/SUM(P24:P25),IF(AND(P25&gt;0,P28&gt;0,P31*275&gt;SUM(P25:P28)),(P25*$R$8+P28*$AC$7)/SUM(P25:P28),IF(AND(P21&gt;0,P31*275&gt;P21),$G$8,IF(AND(P24&gt;0,P31*275&gt;P24),$R$7,IF(AND(P25&gt;0,P31*275&gt;P25),$R$8,IF(AND(P28&gt;0,P31*275&gt;P28),$AC$7)))))))))))))))))))))</f>
        <v>83</v>
      </c>
      <c r="Q33" s="41">
        <f>IF(Q20&gt;=Q31*366,$G$7,IF(AND(Q20=0,Q21&gt;=Q31*366),$G$8,IF(AND(Q20+Q21=0,Q24&gt;=Q31*366),$R$7,IF(AND(SUM(Q20:Q21)+Q24=0,Q25&gt;=Q31*366),$R$8,IF(AND(SUM(Q20:Q21)+SUM(Q24:Q25)=0,Q28&gt;=Q31*366),$AC$7,IF(SUM(Q20:Q21)+SUM(Q24:Q25)+Q28=0,0,IF(AND(Q31*366&gt;SUM(Q20:Q21),SUM(Q20:Q21)+Q24&gt;=Q31*366),(Q20*$G$7+Q21*$G$8+(Q24-R24)*$R$7)/(Q31*366),IF(AND(Q31*366&gt;Q21+Q24,Q21+SUM(Q24:Q25)&gt;=Q31*366),(Q21*$G$8+Q24*$R$7+(Q25-R25)*$R$8)/(Q31*366),IF(AND(Q31*366&gt;SUM(Q24:Q25),SUM(Q24:Q25)+Q28&gt;=Q31*366),(Q24*$R$7+Q25*$R$8+(Q28-R28)*$AC$7)/(Q31*366),IF(AND(Q31*366&gt;Q20,Q20+Q21&gt;=Q31*366),(Q20*$G$7+(Q21-R21)*$G$8)/(Q31*366),IF(AND(Q31*366&gt;Q21,Q21+Q24&gt;=Q31*366),(Q21*$G$8+(Q24-R24)*$R$7)/(Q31*366),IF(AND(Q31*366&gt;Q24,SUM(Q24:Q25)&gt;=Q31*366),(Q24*$R$7+(Q25-R25)*$R$8)/(Q31*366),IF(AND(Q31*366&gt;Q25,Q25+Q28&gt;=Q31*366),(Q25*$R$8+(Q28-R28)*$AC$7)/(Q31*366),IF(AND(Q20&gt;0,Q21&gt;0,Q31*366&gt;SUM(Q20:Q21)),(Q20*$G$7+Q21*$G$8)/SUM(Q20:Q21),IF(AND(Q21&gt;0,Q24&gt;0,Q31*366&gt;SUM(Q21:Q24)),(Q21*$G$8+Q24*$R$7)/SUM(Q21:Q24),IF(AND(Q24&gt;0,Q25&gt;0,Q31*366&gt;SUM(Q24:Q25)),(Q24*$R$7+Q25*$R$8)/SUM(Q24:Q25),IF(AND(Q25&gt;0,Q28&gt;0,Q31*366&gt;SUM(Q25:Q28)),(Q25*$R$8+Q28*$AC$7)/SUM(Q25:Q28),IF(AND(Q21&gt;0,Q31*366&gt;Q21),$G$8,IF(AND(Q24&gt;0,Q31*366&gt;Q24),$R$7,IF(AND(Q25&gt;0,Q31*366&gt;Q25),$R$8,IF(AND(Q28&gt;0,Q31*366&gt;Q28),$AC$7)))))))))))))))))))))</f>
        <v>83</v>
      </c>
      <c r="R33" s="41">
        <f>IF(R20&gt;=R31*365,$G$7,IF(AND(R20=0,R21&gt;=R31*365),$G$8,IF(AND(R20+R21=0,R24&gt;=R31*365),$R$7,IF(AND(SUM(R20:R21)+R24=0,R25&gt;=R31*365),$R$8,IF(AND(SUM(R20:R21)+SUM(R24:R25)=0,R28&gt;=R31*365),$AC$7,IF(SUM(R20:R21)+SUM(R24:R25)+R28=0,0,IF(AND(R31*365&gt;SUM(R20:R21),SUM(R20:R21)+R24&gt;=R31*365),(R20*$G$7+R21*$G$8+(R24-S24)*$R$7)/(R31*365),IF(AND(R31*365&gt;R21+R24,R21+SUM(R24:R25)&gt;=R31*365),(R21*$G$8+R24*$R$7+(R25-S25)*$R$8)/(R31*365),IF(AND(R31*365&gt;SUM(R24:R25),SUM(R24:R25)+R28&gt;=R31*365),(R24*$R$7+R25*$R$8+(R28-S28)*$AC$7)/(R31*365),IF(AND(R31*365&gt;R20,R20+R21&gt;=R31*365),(R20*$G$7+(R21-S21)*$G$8)/(R31*365),IF(AND(R31*365&gt;R21,R21+R24&gt;=R31*365),(R21*$G$8+(R24-S24)*$R$7)/(R31*365),IF(AND(R31*365&gt;R24,SUM(R24:R25)&gt;=R31*365),(R24*$R$7+(R25-S25)*$R$8)/(R31*365),IF(AND(R31*365&gt;R25,R25+R28&gt;=R31*365),(R25*$R$8+(R28-S28)*$AC$7)/(R31*365),IF(AND(R20&gt;0,R21&gt;0,R31*365&gt;SUM(R20:R21)),(R20*$G$7+R21*$G$8)/SUM(R20:R21),IF(AND(R21&gt;0,R24&gt;0,R31*365&gt;SUM(R21:R24)),(R21*$G$8+R24*$R$7)/SUM(R21:R24),IF(AND(R24&gt;0,R25&gt;0,R31*365&gt;SUM(R24:R25)),(R24*$R$7+R25*$R$8)/SUM(R24:R25),IF(AND(R25&gt;0,R28&gt;0,R31*365&gt;SUM(R25:R28)),(R25*$R$8+R28*$AC$7)/SUM(R25:R28),IF(AND(R21&gt;0,R31*365&gt;R21),$G$8,IF(AND(R24&gt;0,R31*365&gt;R24),$R$7,IF(AND(R25&gt;0,R31*365&gt;R25),$R$8,IF(AND(R28&gt;0,R31*365&gt;R28),$AC$7)))))))))))))))))))))</f>
        <v>83</v>
      </c>
      <c r="S33" s="41">
        <f t="shared" ref="S33:AJ33" si="31">IF(S20&gt;=S31*365,$G$7,IF(AND(S20=0,S21&gt;=S31*365),$G$8,IF(AND(S20+S21=0,S24&gt;=S31*365),$R$7,IF(AND(SUM(S20:S21)+S24=0,S25&gt;=S31*365),$R$8,IF(AND(SUM(S20:S21)+SUM(S24:S25)=0,S28&gt;=S31*365),$AC$7,IF(SUM(S20:S21)+SUM(S24:S25)+S28=0,0,IF(AND(S31*365&gt;SUM(S20:S21),SUM(S20:S21)+S24&gt;=S31*365),(S20*$G$7+S21*$G$8+(S24-T24)*$R$7)/(S31*365),IF(AND(S31*365&gt;S21+S24,S21+SUM(S24:S25)&gt;=S31*365),(S21*$G$8+S24*$R$7+(S25-T25)*$R$8)/(S31*365),IF(AND(S31*365&gt;SUM(S24:S25),SUM(S24:S25)+S28&gt;=S31*365),(S24*$R$7+S25*$R$8+(S28-T28)*$AC$7)/(S31*365),IF(AND(S31*365&gt;S20,S20+S21&gt;=S31*365),(S20*$G$7+(S21-T21)*$G$8)/(S31*365),IF(AND(S31*365&gt;S21,S21+S24&gt;=S31*365),(S21*$G$8+(S24-T24)*$R$7)/(S31*365),IF(AND(S31*365&gt;S24,SUM(S24:S25)&gt;=S31*365),(S24*$R$7+(S25-T25)*$R$8)/(S31*365),IF(AND(S31*365&gt;S25,S25+S28&gt;=S31*365),(S25*$R$8+(S28-T28)*$AC$7)/(S31*365),IF(AND(S20&gt;0,S21&gt;0,S31*365&gt;SUM(S20:S21)),(S20*$G$7+S21*$G$8)/SUM(S20:S21),IF(AND(S21&gt;0,S24&gt;0,S31*365&gt;SUM(S21:S24)),(S21*$G$8+S24*$R$7)/SUM(S21:S24),IF(AND(S24&gt;0,S25&gt;0,S31*365&gt;SUM(S24:S25)),(S24*$R$7+S25*$R$8)/SUM(S24:S25),IF(AND(S25&gt;0,S28&gt;0,S31*365&gt;SUM(S25:S28)),(S25*$R$8+S28*$AC$7)/SUM(S25:S28),IF(AND(S21&gt;0,S31*365&gt;S21),$G$8,IF(AND(S24&gt;0,S31*365&gt;S24),$R$7,IF(AND(S25&gt;0,S31*365&gt;S25),$R$8,IF(AND(S28&gt;0,S31*365&gt;S28),$AC$7)))))))))))))))))))))</f>
        <v>83</v>
      </c>
      <c r="T33" s="41">
        <f t="shared" si="31"/>
        <v>83.475656317128355</v>
      </c>
      <c r="U33" s="41">
        <f>IF(U20&gt;=U31*366,$G$7,IF(AND(U20=0,U21&gt;=U31*366),$G$8,IF(AND(U20+U21=0,U24&gt;=U31*366),$R$7,IF(AND(SUM(U20:U21)+U24=0,U25&gt;=U31*366),$R$8,IF(AND(SUM(U20:U21)+SUM(U24:U25)=0,U28&gt;=U31*366),$AC$7,IF(SUM(U20:U21)+SUM(U24:U25)+U28=0,0,IF(AND(U31*366&gt;SUM(U20:U21),SUM(U20:U21)+U24&gt;=U31*366),(U20*$G$7+U21*$G$8+(U24-V24)*$R$7)/(U31*366),IF(AND(U31*366&gt;U21+U24,U21+SUM(U24:U25)&gt;=U31*366),(U21*$G$8+U24*$R$7+(U25-V25)*$R$8)/(U31*366),IF(AND(U31*366&gt;SUM(U24:U25),SUM(U24:U25)+U28&gt;=U31*366),(U24*$R$7+U25*$R$8+(U28-V28)*$AC$7)/(U31*366),IF(AND(U31*366&gt;U20,U20+U21&gt;=U31*366),(U20*$G$7+(U21-V21)*$G$8)/(U31*366),IF(AND(U31*366&gt;U21,U21+U24&gt;=U31*366),(U21*$G$8+(U24-V24)*$R$7)/(U31*366),IF(AND(U31*366&gt;U24,SUM(U24:U25)&gt;=U31*366),(U24*$R$7+(U25-V25)*$R$8)/(U31*366),IF(AND(U31*366&gt;U25,U25+U28&gt;=U31*366),(U25*$R$8+(U28-V28)*$AC$7)/(U31*366),IF(AND(U20&gt;0,U21&gt;0,U31*366&gt;SUM(U20:U21)),(U20*$G$7+U21*$G$8)/SUM(U20:U21),IF(AND(U21&gt;0,U24&gt;0,U31*366&gt;SUM(U21:U24)),(U21*$G$8+U24*$R$7)/SUM(U21:U24),IF(AND(U24&gt;0,U25&gt;0,U31*366&gt;SUM(U24:U25)),(U24*$R$7+U25*$R$8)/SUM(U24:U25),IF(AND(U25&gt;0,U28&gt;0,U31*366&gt;SUM(U25:U28)),(U25*$R$8+U28*$AC$7)/SUM(U25:U28),IF(AND(U21&gt;0,U31*366&gt;U21),$G$8,IF(AND(U24&gt;0,U31*366&gt;U24),$R$7,IF(AND(U25&gt;0,U31*366&gt;U25),$R$8,IF(AND(U28&gt;0,U31*366&gt;U28),$AC$7)))))))))))))))))))))</f>
        <v>97</v>
      </c>
      <c r="V33" s="41">
        <f t="shared" si="31"/>
        <v>86.927746733787856</v>
      </c>
      <c r="W33" s="41">
        <f t="shared" si="31"/>
        <v>82</v>
      </c>
      <c r="X33" s="41">
        <f t="shared" si="31"/>
        <v>82</v>
      </c>
      <c r="Y33" s="41">
        <f>IF(Y20&gt;=Y31*366,$G$7,IF(AND(Y20=0,Y21&gt;=Y31*366),$G$8,IF(AND(Y20+Y21=0,Y24&gt;=Y31*366),$R$7,IF(AND(SUM(Y20:Y21)+Y24=0,Y25&gt;=Y31*366),$R$8,IF(AND(SUM(Y20:Y21)+SUM(Y24:Y25)=0,Y28&gt;=Y31*366),$AC$7,IF(SUM(Y20:Y21)+SUM(Y24:Y25)+Y28=0,0,IF(AND(Y31*366&gt;SUM(Y20:Y21),SUM(Y20:Y21)+Y24&gt;=Y31*366),(Y20*$G$7+Y21*$G$8+(Y24-Z24)*$R$7)/(Y31*366),IF(AND(Y31*366&gt;Y21+Y24,Y21+SUM(Y24:Y25)&gt;=Y31*366),(Y21*$G$8+Y24*$R$7+(Y25-Z25)*$R$8)/(Y31*366),IF(AND(Y31*366&gt;SUM(Y24:Y25),SUM(Y24:Y25)+Y28&gt;=Y31*366),(Y24*$R$7+Y25*$R$8+(Y28-Z28)*$AC$7)/(Y31*366),IF(AND(Y31*366&gt;Y20,Y20+Y21&gt;=Y31*366),(Y20*$G$7+(Y21-Z21)*$G$8)/(Y31*366),IF(AND(Y31*366&gt;Y21,Y21+Y24&gt;=Y31*366),(Y21*$G$8+(Y24-Z24)*$R$7)/(Y31*366),IF(AND(Y31*366&gt;Y24,SUM(Y24:Y25)&gt;=Y31*366),(Y24*$R$7+(Y25-Z25)*$R$8)/(Y31*366),IF(AND(Y31*366&gt;Y25,Y25+Y28&gt;=Y31*366),(Y25*$R$8+(Y28-Z28)*$AC$7)/(Y31*366),IF(AND(Y20&gt;0,Y21&gt;0,Y31*366&gt;SUM(Y20:Y21)),(Y20*$G$7+Y21*$G$8)/SUM(Y20:Y21),IF(AND(Y21&gt;0,Y24&gt;0,Y31*366&gt;SUM(Y21:Y24)),(Y21*$G$8+Y24*$R$7)/SUM(Y21:Y24),IF(AND(Y24&gt;0,Y25&gt;0,Y31*366&gt;SUM(Y24:Y25)),(Y24*$R$7+Y25*$R$8)/SUM(Y24:Y25),IF(AND(Y25&gt;0,Y28&gt;0,Y31*366&gt;SUM(Y25:Y28)),(Y25*$R$8+Y28*$AC$7)/SUM(Y25:Y28),IF(AND(Y21&gt;0,Y31*366&gt;Y21),$G$8,IF(AND(Y24&gt;0,Y31*366&gt;Y24),$R$7,IF(AND(Y25&gt;0,Y31*366&gt;Y25),$R$8,IF(AND(Y28&gt;0,Y31*366&gt;Y28),$AC$7)))))))))))))))))))))</f>
        <v>82</v>
      </c>
      <c r="Z33" s="41">
        <f t="shared" si="31"/>
        <v>113.08209511252977</v>
      </c>
      <c r="AA33" s="41">
        <f t="shared" si="31"/>
        <v>116</v>
      </c>
      <c r="AB33" s="41">
        <f t="shared" si="31"/>
        <v>116</v>
      </c>
      <c r="AC33" s="41">
        <f>IF(AC20&gt;=AC31*366,$G$7,IF(AND(AC20=0,AC21&gt;=AC31*366),$G$8,IF(AND(AC20+AC21=0,AC24&gt;=AC31*366),$R$7,IF(AND(SUM(AC20:AC21)+AC24=0,AC25&gt;=AC31*366),$R$8,IF(AND(SUM(AC20:AC21)+SUM(AC24:AC25)=0,AC28&gt;=AC31*366),$AC$7,IF(SUM(AC20:AC21)+SUM(AC24:AC25)+AC28=0,0,IF(AND(AC31*366&gt;SUM(AC20:AC21),SUM(AC20:AC21)+AC24&gt;=AC31*366),(AC20*$G$7+AC21*$G$8+(AC24-AD24)*$R$7)/(AC31*366),IF(AND(AC31*366&gt;AC21+AC24,AC21+SUM(AC24:AC25)&gt;=AC31*366),(AC21*$G$8+AC24*$R$7+(AC25-AD25)*$R$8)/(AC31*366),IF(AND(AC31*366&gt;SUM(AC24:AC25),SUM(AC24:AC25)+AC28&gt;=AC31*366),(AC24*$R$7+AC25*$R$8+(AC28-AD28)*$AC$7)/(AC31*366),IF(AND(AC31*366&gt;AC20,AC20+AC21&gt;=AC31*366),(AC20*$G$7+(AC21-AD21)*$G$8)/(AC31*366),IF(AND(AC31*366&gt;AC21,AC21+AC24&gt;=AC31*366),(AC21*$G$8+(AC24-AD24)*$R$7)/(AC31*366),IF(AND(AC31*366&gt;AC24,SUM(AC24:AC25)&gt;=AC31*366),(AC24*$R$7+(AC25-AD25)*$R$8)/(AC31*366),IF(AND(AC31*366&gt;AC25,AC25+AC28&gt;=AC31*366),(AC25*$R$8+(AC28-AD28)*$AC$7)/(AC31*366),IF(AND(AC20&gt;0,AC21&gt;0,AC31*366&gt;SUM(AC20:AC21)),(AC20*$G$7+AC21*$G$8)/SUM(AC20:AC21),IF(AND(AC21&gt;0,AC24&gt;0,AC31*366&gt;SUM(AC21:AC24)),(AC21*$G$8+AC24*$R$7)/SUM(AC21:AC24),IF(AND(AC24&gt;0,AC25&gt;0,AC31*366&gt;SUM(AC24:AC25)),(AC24*$R$7+AC25*$R$8)/SUM(AC24:AC25),IF(AND(AC25&gt;0,AC28&gt;0,AC31*366&gt;SUM(AC25:AC28)),(AC25*$R$8+AC28*$AC$7)/SUM(AC25:AC28),IF(AND(AC21&gt;0,AC31*366&gt;AC21),$G$8,IF(AND(AC24&gt;0,AC31*366&gt;AC24),$R$7,IF(AND(AC25&gt;0,AC31*366&gt;AC25),$R$8,IF(AND(AC28&gt;0,AC31*366&gt;AC28),$AC$7)))))))))))))))))))))</f>
        <v>116</v>
      </c>
      <c r="AD33" s="41">
        <f t="shared" si="31"/>
        <v>116</v>
      </c>
      <c r="AE33" s="41">
        <f t="shared" si="31"/>
        <v>116</v>
      </c>
      <c r="AF33" s="41">
        <f t="shared" si="31"/>
        <v>116</v>
      </c>
      <c r="AG33" s="41">
        <f>IF(AG20&gt;=AG31*366,$G$7,IF(AND(AG20=0,AG21&gt;=AG31*366),$G$8,IF(AND(AG20+AG21=0,AG24&gt;=AG31*366),$R$7,IF(AND(SUM(AG20:AG21)+AG24=0,AG25&gt;=AG31*366),$R$8,IF(AND(SUM(AG20:AG21)+SUM(AG24:AG25)=0,AG28&gt;=AG31*366),$AC$7,IF(SUM(AG20:AG21)+SUM(AG24:AG25)+AG28=0,0,IF(AND(AG31*366&gt;SUM(AG20:AG21),SUM(AG20:AG21)+AG24&gt;=AG31*366),(AG20*$G$7+AG21*$G$8+(AG24-AH24)*$R$7)/(AG31*366),IF(AND(AG31*366&gt;AG21+AG24,AG21+SUM(AG24:AG25)&gt;=AG31*366),(AG21*$G$8+AG24*$R$7+(AG25-AH25)*$R$8)/(AG31*366),IF(AND(AG31*366&gt;SUM(AG24:AG25),SUM(AG24:AG25)+AG28&gt;=AG31*366),(AG24*$R$7+AG25*$R$8+(AG28-AH28)*$AC$7)/(AG31*366),IF(AND(AG31*366&gt;AG20,AG20+AG21&gt;=AG31*366),(AG20*$G$7+(AG21-AH21)*$G$8)/(AG31*366),IF(AND(AG31*366&gt;AG21,AG21+AG24&gt;=AG31*366),(AG21*$G$8+(AG24-AH24)*$R$7)/(AG31*366),IF(AND(AG31*366&gt;AG24,SUM(AG24:AG25)&gt;=AG31*366),(AG24*$R$7+(AG25-AH25)*$R$8)/(AG31*366),IF(AND(AG31*366&gt;AG25,AG25+AG28&gt;=AG31*366),(AG25*$R$8+(AG28-AH28)*$AC$7)/(AG31*366),IF(AND(AG20&gt;0,AG21&gt;0,AG31*366&gt;SUM(AG20:AG21)),(AG20*$G$7+AG21*$G$8)/SUM(AG20:AG21),IF(AND(AG21&gt;0,AG24&gt;0,AG31*366&gt;SUM(AG21:AG24)),(AG21*$G$8+AG24*$R$7)/SUM(AG21:AG24),IF(AND(AG24&gt;0,AG25&gt;0,AG31*366&gt;SUM(AG24:AG25)),(AG24*$R$7+AG25*$R$8)/SUM(AG24:AG25),IF(AND(AG25&gt;0,AG28&gt;0,AG31*366&gt;SUM(AG25:AG28)),(AG25*$R$8+AG28*$AC$7)/SUM(AG25:AG28),IF(AND(AG21&gt;0,AG31*366&gt;AG21),$G$8,IF(AND(AG24&gt;0,AG31*366&gt;AG24),$R$7,IF(AND(AG25&gt;0,AG31*366&gt;AG25),$R$8,IF(AND(AG28&gt;0,AG31*366&gt;AG28),$AC$7)))))))))))))))))))))</f>
        <v>116</v>
      </c>
      <c r="AH33" s="41">
        <f t="shared" si="31"/>
        <v>0</v>
      </c>
      <c r="AI33" s="41">
        <f t="shared" si="31"/>
        <v>0</v>
      </c>
      <c r="AJ33" s="41">
        <f t="shared" si="31"/>
        <v>0</v>
      </c>
      <c r="AK33" s="41">
        <f>IF(AK20&gt;=AK31*366,$G$7,IF(AND(AK20=0,AK21&gt;=AK31*366),$G$8,IF(AND(AK20+AK21=0,AK24&gt;=AK31*366),$R$7,IF(AND(SUM(AK20:AK21)+AK24=0,AK25&gt;=AK31*366),$R$8,IF(AND(SUM(AK20:AK21)+SUM(AK24:AK25)=0,AK28&gt;=AK31*366),$AC$7,IF(SUM(AK20:AK21)+SUM(AK24:AK25)+AK28=0,0,IF(AND(AK31*366&gt;SUM(AK20:AK21),SUM(AK20:AK21)+AK24&gt;=AK31*366),(AK20*$G$7+AK21*$G$8+(AK24-AL24)*$R$7)/(AK31*366),IF(AND(AK31*366&gt;AK21+AK24,AK21+SUM(AK24:AK25)&gt;=AK31*366),(AK21*$G$8+AK24*$R$7+(AK25-AL25)*$R$8)/(AK31*366),IF(AND(AK31*366&gt;SUM(AK24:AK25),SUM(AK24:AK25)+AK28&gt;=AK31*366),(AK24*$R$7+AK25*$R$8+(AK28-AL28)*$AC$7)/(AK31*366),IF(AND(AK31*366&gt;AK20,AK20+AK21&gt;=AK31*366),(AK20*$G$7+(AK21-AL21)*$G$8)/(AK31*366),IF(AND(AK31*366&gt;AK21,AK21+AK24&gt;=AK31*366),(AK21*$G$8+(AK24-AL24)*$R$7)/(AK31*366),IF(AND(AK31*366&gt;AK24,SUM(AK24:AK25)&gt;=AK31*366),(AK24*$R$7+(AK25-AL25)*$R$8)/(AK31*366),IF(AND(AK31*366&gt;AK25,AK25+AK28&gt;=AK31*366),(AK25*$R$8+(AK28-AL28)*$AC$7)/(AK31*366),IF(AND(AK20&gt;0,AK21&gt;0,AK31*366&gt;SUM(AK20:AK21)),(AK20*$G$7+AK21*$G$8)/SUM(AK20:AK21),IF(AND(AK21&gt;0,AK24&gt;0,AK31*366&gt;SUM(AK21:AK24)),(AK21*$G$8+AK24*$R$7)/SUM(AK21:AK24),IF(AND(AK24&gt;0,AK25&gt;0,AK31*366&gt;SUM(AK24:AK25)),(AK24*$R$7+AK25*$R$8)/SUM(AK24:AK25),IF(AND(AK25&gt;0,AK28&gt;0,AK31*366&gt;SUM(AK25:AK28)),(AK25*$R$8+AK28*$AC$7)/SUM(AK25:AK28),IF(AND(AK21&gt;0,AK31*366&gt;AK21),$G$8,IF(AND(AK24&gt;0,AK31*366&gt;AK24),$R$7,IF(AND(AK25&gt;0,AK31*366&gt;AK25),$R$8,IF(AND(AK28&gt;0,AK31*366&gt;AK28),$AC$7)))))))))))))))))))))</f>
        <v>0</v>
      </c>
      <c r="AL33" s="41">
        <f t="shared" ref="AL33" si="32">IF(AL20&gt;=AL31*365,$G$7,IF(AND(AL20=0,AL21&gt;=AL31*365),$G$8,IF(AND(AL20+AL21=0,AL24&gt;=AL31*365),$R$7,IF(AND(SUM(AL20:AL21)+AL24=0,AL25&gt;=AL31*365),$R$8,IF(AND(SUM(AL20:AL21)+SUM(AL24:AL25)=0,AL28&gt;=AL31*365),$AC$7,IF(SUM(AL20:AL21)+SUM(AL24:AL25)+AL28=0,0,IF(AND(AL31*365&gt;SUM(AL20:AL21),SUM(AL20:AL21)+AL24&gt;=AL31*365),(AL20*$G$7+AL21*$G$8+(AL24-AM24)*$R$7)/(AL31*365),IF(AND(AL31*365&gt;AL21+AL24,AL21+SUM(AL24:AL25)&gt;=AL31*365),(AL21*$G$8+AL24*$R$7+(AL25-AM25)*$R$8)/(AL31*365),IF(AND(AL31*365&gt;SUM(AL24:AL25),SUM(AL24:AL25)+AL28&gt;=AL31*365),(AL24*$R$7+AL25*$R$8+(AL28-AM28)*$AC$7)/(AL31*365),IF(AND(AL31*365&gt;AL20,AL20+AL21&gt;=AL31*365),(AL20*$G$7+(AL21-AM21)*$G$8)/(AL31*365),IF(AND(AL31*365&gt;AL21,AL21+AL24&gt;=AL31*365),(AL21*$G$8+(AL24-AM24)*$R$7)/(AL31*365),IF(AND(AL31*365&gt;AL24,SUM(AL24:AL25)&gt;=AL31*365),(AL24*$R$7+(AL25-AM25)*$R$8)/(AL31*365),IF(AND(AL31*365&gt;AL25,AL25+AL28&gt;=AL31*365),(AL25*$R$8+(AL28-AM28)*$AC$7)/(AL31*365),IF(AND(AL20&gt;0,AL21&gt;0,AL31*365&gt;SUM(AL20:AL21)),(AL20*$G$7+AL21*$G$8)/SUM(AL20:AL21),IF(AND(AL21&gt;0,AL24&gt;0,AL31*365&gt;SUM(AL21:AL24)),(AL21*$G$8+AL24*$R$7)/SUM(AL21:AL24),IF(AND(AL24&gt;0,AL25&gt;0,AL31*365&gt;SUM(AL24:AL25)),(AL24*$R$7+AL25*$R$8)/SUM(AL24:AL25),IF(AND(AL25&gt;0,AL28&gt;0,AL31*365&gt;SUM(AL25:AL28)),(AL25*$R$8+AL28*$AC$7)/SUM(AL25:AL28),IF(AND(AL21&gt;0,AL31*365&gt;AL21),$G$8,IF(AND(AL24&gt;0,AL31*365&gt;AL24),$R$7,IF(AND(AL25&gt;0,AL31*365&gt;AL25),$R$8,IF(AND(AL28&gt;0,AL31*365&gt;AL28),$AC$7)))))))))))))))))))))</f>
        <v>0</v>
      </c>
      <c r="AM33" s="13"/>
    </row>
    <row r="34" spans="2:39" x14ac:dyDescent="0.25">
      <c r="B34" t="s">
        <v>67</v>
      </c>
      <c r="C34" t="s">
        <v>66</v>
      </c>
      <c r="H34">
        <v>0.41</v>
      </c>
      <c r="I34">
        <v>0.49</v>
      </c>
      <c r="J34">
        <v>0.16</v>
      </c>
      <c r="K34" s="56">
        <f t="shared" ref="K34:K36" si="33">AVERAGEIF(L34:AM34,"&gt;0")</f>
        <v>0.3555321547564953</v>
      </c>
      <c r="L34" s="24">
        <f>(F7*H7+(L32-F7)*H8)/L32</f>
        <v>0.27379669826200598</v>
      </c>
      <c r="M34" s="13">
        <f>$H$8</f>
        <v>0.19</v>
      </c>
      <c r="N34" s="13">
        <f>M34</f>
        <v>0.19</v>
      </c>
      <c r="O34" s="13">
        <f>H8</f>
        <v>0.19</v>
      </c>
      <c r="P34" s="24">
        <f>IF(P20&gt;=P31*275,$H$7,IF(AND(P20=0,P21&gt;=P31*275),$H$8,IF(AND(P20+P21=0,P24&gt;=P31*275),$S$7,IF(AND(SUM(P20:P21)+P24=0,P25&gt;=P31*275),$S$8,IF(AND(SUM(P20:P21)+SUM(P24:P25)=0,P28&gt;=P31*275),$AD$7,IF(SUM(P20:P21)+SUM(P24:P25)+P28=0,0,IF(AND(P31*275&gt;SUM(P20:P21),SUM(P20:P21)+P24&gt;=P31*275),(P20*$H$7+P21*$H$8+(P24-Q24)*$S$7)/(P31*275),IF(AND(P31*275&gt;P21+P24,P21+SUM(P24:P25)&gt;=P31*275),(P21*$H$8+P24*$S$7+(P25-Q25)*$S$8)/(P31*275),IF(AND(P31*275&gt;SUM(P24:P25),SUM(P24:P25)+P28&gt;=P31*275),(P24*$S$7+P25*$S$8+(P28-Q28)*$AD$7)/(P31*275),IF(AND(P31*275&gt;P20,P20+P21&gt;=P31*275),(P20*$H$7+(P21-Q21)*$H$8)/(P31*275),IF(AND(P31*275&gt;P21,P21+P24&gt;=P31*275),(P21*$H$8+(P24-Q24)*$S$7)/(P31*275),IF(AND(P31*275&gt;P24,SUM(P24:P25)&gt;=P31*275),(P24*$S$7+(P25-Q25)*$S$8)/(P31*275),IF(AND(P31*275&gt;P25,P25+P28&gt;=P31*275),(P25*$S$8+(P28-Q28)*$AD$7)/(P31*275),IF(AND(P20&gt;0,P21&gt;0,P31*275&gt;SUM(P20:P21)),(P20*$H$7+P21*$H$8)/SUM(P20:P21),IF(AND(P21&gt;0,P24&gt;0,P31*275&gt;SUM(P21:P24)),(P21*$H$8+P24*$S$7)/SUM(P21:P24),IF(AND(P24&gt;0,P25&gt;0,P31*275&gt;SUM(P24:P25)),(P24*$S$7+P25*$S$8)/SUM(P24:P25),IF(AND(P25&gt;0,P28&gt;0,P31*275&gt;SUM(P25:P28)),(P25*$S$8+P28*$AD$7)/SUM(P25:P28),IF(AND(P21&gt;0,P31*275&gt;P21),$H$8,IF(AND(P24&gt;0,P31*275&gt;P24),$S$7,IF(AND(P25&gt;0,P31*275&gt;P25),$S$8,IF(AND(P28&gt;0,P31*275&gt;P28),$AD$7)))))))))))))))))))))</f>
        <v>0.19</v>
      </c>
      <c r="Q34" s="24">
        <f>IF(Q20&gt;=Q31*366,$H$7,IF(AND(Q20=0,Q21&gt;=Q31*366),$H$8,IF(AND(Q20+Q21=0,Q24&gt;=Q31*366),$S$7,IF(AND(SUM(Q20:Q21)+Q24=0,Q25&gt;=Q31*366),$S$8,IF(AND(SUM(Q20:Q21)+SUM(Q24:Q25)=0,Q28&gt;=Q31*366),$AD$7,IF(SUM(Q20:Q21)+SUM(Q24:Q25)+Q28=0,0,IF(AND(Q31*366&gt;SUM(Q20:Q21),SUM(Q20:Q21)+Q24&gt;=Q31*366),(Q20*$H$7+Q21*$H$8+(Q24-R24)*$S$7)/(Q31*366),IF(AND(Q31*366&gt;Q21+Q24,Q21+SUM(Q24:Q25)&gt;=Q31*366),(Q21*$H$8+Q24*$S$7+(Q25-R25)*$S$8)/(Q31*366),IF(AND(Q31*366&gt;SUM(Q24:Q25),SUM(Q24:Q25)+Q28&gt;=Q31*366),(Q24*$S$7+Q25*$S$8+(Q28-R28)*$AD$7)/(Q31*366),IF(AND(Q31*366&gt;Q20,Q20+Q21&gt;=Q31*366),(Q20*$H$7+(Q21-R21)*$H$8)/(Q31*366),IF(AND(Q31*366&gt;Q21,Q21+Q24&gt;=Q31*366),(Q21*$H$8+(Q24-R24)*$S$7)/(Q31*366),IF(AND(Q31*366&gt;Q24,SUM(Q24:Q25)&gt;=Q31*366),(Q24*$S$7+(Q25-R25)*$S$8)/(Q31*366),IF(AND(Q31*366&gt;Q25,Q25+Q28&gt;=Q31*366),(Q25*$S$8+(Q28-R28)*$AD$7)/(Q31*366),IF(AND(Q20&gt;0,Q21&gt;0,Q31*366&gt;SUM(Q20:Q21)),(Q20*$H$7+Q21*$H$8)/SUM(Q20:Q21),IF(AND(Q21&gt;0,Q24&gt;0,Q31*366&gt;SUM(Q21:Q24)),(Q21*$H$8+Q24*$S$7)/SUM(Q21:Q24),IF(AND(Q24&gt;0,Q25&gt;0,Q31*366&gt;SUM(Q24:Q25)),(Q24*$S$7+Q25*$S$8)/SUM(Q24:Q25),IF(AND(Q25&gt;0,Q28&gt;0,Q31*366&gt;SUM(Q25:Q28)),(Q25*$S$8+Q28*$AD$7)/SUM(Q25:Q28),IF(AND(Q21&gt;0,Q31*366&gt;Q21),$H$8,IF(AND(Q24&gt;0,Q31*366&gt;Q24),$S$7,IF(AND(Q25&gt;0,Q31*366&gt;Q25),$S$8,IF(AND(Q28&gt;0,Q31*366&gt;Q28),$AD$7)))))))))))))))))))))</f>
        <v>0.19</v>
      </c>
      <c r="R34" s="24">
        <f>IF(R20&gt;=R31*365,$H$7,IF(AND(R20=0,R21&gt;=R31*365),$H$8,IF(AND(R20+R21=0,R24&gt;=R31*365),$S$7,IF(AND(SUM(R20:R21)+R24=0,R25&gt;=R31*365),$S$8,IF(AND(SUM(R20:R21)+SUM(R24:R25)=0,R28&gt;=R31*365),$AD$7,IF(SUM(R20:R21)+SUM(R24:R25)+R28=0,0,IF(AND(R31*365&gt;SUM(R20:R21),SUM(R20:R21)+R24&gt;=R31*365),(R20*$H$7+R21*$H$8+(R24-S24)*$S$7)/(R31*365),IF(AND(R31*365&gt;R21+R24,R21+SUM(R24:R25)&gt;=R31*365),(R21*$H$8+R24*$S$7+(R25-S25)*$S$8)/(R31*365),IF(AND(R31*365&gt;SUM(R24:R25),SUM(R24:R25)+R28&gt;=R31*365),(R24*$S$7+R25*$S$8+(R28-S28)*$AD$7)/(R31*365),IF(AND(R31*365&gt;R20,R20+R21&gt;=R31*365),(R20*$H$7+(R21-S21)*$H$8)/(R31*365),IF(AND(R31*365&gt;R21,R21+R24&gt;=R31*365),(R21*$H$8+(R24-S24)*$S$7)/(R31*365),IF(AND(R31*365&gt;R24,SUM(R24:R25)&gt;=R31*365),(R24*$S$7+(R25-S25)*$S$8)/(R31*365),IF(AND(R31*365&gt;R25,R25+R28&gt;=R31*365),(R25*$S$8+(R28-S28)*$AD$7)/(R31*365),IF(AND(R20&gt;0,R21&gt;0,R31*365&gt;SUM(R20:R21)),(R20*$H$7+R21*$H$8)/SUM(R20:R21),IF(AND(R21&gt;0,R24&gt;0,R31*365&gt;SUM(R21:R24)),(R21*$H$8+R24*$S$7)/SUM(R21:R24),IF(AND(R24&gt;0,R25&gt;0,R31*365&gt;SUM(R24:R25)),(R24*$S$7+R25*$S$8)/SUM(R24:R25),IF(AND(R25&gt;0,R28&gt;0,R31*365&gt;SUM(R25:R28)),(R25*$S$8+R28*$AD$7)/SUM(R25:R28),IF(AND(R21&gt;0,R31*365&gt;R21),$H$8,IF(AND(R24&gt;0,R31*365&gt;R24),$S$7,IF(AND(R25&gt;0,R31*365&gt;R25),$S$8,IF(AND(R28&gt;0,R31*365&gt;R28),$AD$7)))))))))))))))))))))</f>
        <v>0.19</v>
      </c>
      <c r="S34" s="24">
        <f t="shared" ref="S34:AJ34" si="34">IF(S20&gt;=S31*365,$H$7,IF(AND(S20=0,S21&gt;=S31*365),$H$8,IF(AND(S20+S21=0,S24&gt;=S31*365),$S$7,IF(AND(SUM(S20:S21)+S24=0,S25&gt;=S31*365),$S$8,IF(AND(SUM(S20:S21)+SUM(S24:S25)=0,S28&gt;=S31*365),$AD$7,IF(SUM(S20:S21)+SUM(S24:S25)+S28=0,0,IF(AND(S31*365&gt;SUM(S20:S21),SUM(S20:S21)+S24&gt;=S31*365),(S20*$H$7+S21*$H$8+(S24-T24)*$S$7)/(S31*365),IF(AND(S31*365&gt;S21+S24,S21+SUM(S24:S25)&gt;=S31*365),(S21*$H$8+S24*$S$7+(S25-T25)*$S$8)/(S31*365),IF(AND(S31*365&gt;SUM(S24:S25),SUM(S24:S25)+S28&gt;=S31*365),(S24*$S$7+S25*$S$8+(S28-T28)*$AD$7)/(S31*365),IF(AND(S31*365&gt;S20,S20+S21&gt;=S31*365),(S20*$H$7+(S21-T21)*$H$8)/(S31*365),IF(AND(S31*365&gt;S21,S21+S24&gt;=S31*365),(S21*$H$8+(S24-T24)*$S$7)/(S31*365),IF(AND(S31*365&gt;S24,SUM(S24:S25)&gt;=S31*365),(S24*$S$7+(S25-T25)*$S$8)/(S31*365),IF(AND(S31*365&gt;S25,S25+S28&gt;=S31*365),(S25*$S$8+(S28-T28)*$AD$7)/(S31*365),IF(AND(S20&gt;0,S21&gt;0,S31*365&gt;SUM(S20:S21)),(S20*$H$7+S21*$H$8)/SUM(S20:S21),IF(AND(S21&gt;0,S24&gt;0,S31*365&gt;SUM(S21:S24)),(S21*$H$8+S24*$S$7)/SUM(S21:S24),IF(AND(S24&gt;0,S25&gt;0,S31*365&gt;SUM(S24:S25)),(S24*$S$7+S25*$S$8)/SUM(S24:S25),IF(AND(S25&gt;0,S28&gt;0,S31*365&gt;SUM(S25:S28)),(S25*$S$8+S28*$AD$7)/SUM(S25:S28),IF(AND(S21&gt;0,S31*365&gt;S21),$H$8,IF(AND(S24&gt;0,S31*365&gt;S24),$S$7,IF(AND(S25&gt;0,S31*365&gt;S25),$S$8,IF(AND(S28&gt;0,S31*365&gt;S28),$AD$7)))))))))))))))))))))</f>
        <v>0.19</v>
      </c>
      <c r="T34" s="24">
        <f t="shared" si="34"/>
        <v>0.19509631768351796</v>
      </c>
      <c r="U34" s="24">
        <f>IF(U20&gt;=U31*366,$H$7,IF(AND(U20=0,U21&gt;=U31*366),$H$8,IF(AND(U20+U21=0,U24&gt;=U31*366),$S$7,IF(AND(SUM(U20:U21)+U24=0,U25&gt;=U31*366),$S$8,IF(AND(SUM(U20:U21)+SUM(U24:U25)=0,U28&gt;=U31*366),$AD$7,IF(SUM(U20:U21)+SUM(U24:U25)+U28=0,0,IF(AND(U31*366&gt;SUM(U20:U21),SUM(U20:U21)+U24&gt;=U31*366),(U20*$H$7+U21*$H$8+(U24-V24)*$S$7)/(U31*366),IF(AND(U31*366&gt;U21+U24,U21+SUM(U24:U25)&gt;=U31*366),(U21*$H$8+U24*$S$7+(U25-V25)*$S$8)/(U31*366),IF(AND(U31*366&gt;SUM(U24:U25),SUM(U24:U25)+U28&gt;=U31*366),(U24*$S$7+U25*$S$8+(U28-V28)*$AD$7)/(U31*366),IF(AND(U31*366&gt;U20,U20+U21&gt;=U31*366),(U20*$H$7+(U21-V21)*$H$8)/(U31*366),IF(AND(U31*366&gt;U21,U21+U24&gt;=U31*366),(U21*$H$8+(U24-V24)*$S$7)/(U31*366),IF(AND(U31*366&gt;U24,SUM(U24:U25)&gt;=U31*366),(U24*$S$7+(U25-V25)*$S$8)/(U31*366),IF(AND(U31*366&gt;U25,U25+U28&gt;=U31*366),(U25*$S$8+(U28-V28)*$AD$7)/(U31*366),IF(AND(U20&gt;0,U21&gt;0,U31*366&gt;SUM(U20:U21)),(U20*$H$7+U21*$H$8)/SUM(U20:U21),IF(AND(U21&gt;0,U24&gt;0,U31*366&gt;SUM(U21:U24)),(U21*$H$8+U24*$S$7)/SUM(U21:U24),IF(AND(U24&gt;0,U25&gt;0,U31*366&gt;SUM(U24:U25)),(U24*$S$7+U25*$S$8)/SUM(U24:U25),IF(AND(U25&gt;0,U28&gt;0,U31*366&gt;SUM(U25:U28)),(U25*$S$8+U28*$AD$7)/SUM(U25:U28),IF(AND(U21&gt;0,U31*366&gt;U21),$H$8,IF(AND(U24&gt;0,U31*366&gt;U24),$S$7,IF(AND(U25&gt;0,U31*366&gt;U25),$S$8,IF(AND(U28&gt;0,U31*366&gt;U28),$AD$7)))))))))))))))))))))</f>
        <v>0.34</v>
      </c>
      <c r="V34" s="24">
        <f t="shared" si="34"/>
        <v>0.27285164489191893</v>
      </c>
      <c r="W34" s="24">
        <f t="shared" si="34"/>
        <v>0.24</v>
      </c>
      <c r="X34" s="24">
        <f t="shared" si="34"/>
        <v>0.24</v>
      </c>
      <c r="Y34" s="24">
        <f>IF(Y20&gt;=Y31*366,$H$7,IF(AND(Y20=0,Y21&gt;=Y31*366),$H$8,IF(AND(Y20+Y21=0,Y24&gt;=Y31*366),$S$7,IF(AND(SUM(Y20:Y21)+Y24=0,Y25&gt;=Y31*366),$S$8,IF(AND(SUM(Y20:Y21)+SUM(Y24:Y25)=0,Y28&gt;=Y31*366),$AD$7,IF(SUM(Y20:Y21)+SUM(Y24:Y25)+Y28=0,0,IF(AND(Y31*366&gt;SUM(Y20:Y21),SUM(Y20:Y21)+Y24&gt;=Y31*366),(Y20*$H$7+Y21*$H$8+(Y24-Z24)*$S$7)/(Y31*366),IF(AND(Y31*366&gt;Y21+Y24,Y21+SUM(Y24:Y25)&gt;=Y31*366),(Y21*$H$8+Y24*$S$7+(Y25-Z25)*$S$8)/(Y31*366),IF(AND(Y31*366&gt;SUM(Y24:Y25),SUM(Y24:Y25)+Y28&gt;=Y31*366),(Y24*$S$7+Y25*$S$8+(Y28-Z28)*$AD$7)/(Y31*366),IF(AND(Y31*366&gt;Y20,Y20+Y21&gt;=Y31*366),(Y20*$H$7+(Y21-Z21)*$H$8)/(Y31*366),IF(AND(Y31*366&gt;Y21,Y21+Y24&gt;=Y31*366),(Y21*$H$8+(Y24-Z24)*$S$7)/(Y31*366),IF(AND(Y31*366&gt;Y24,SUM(Y24:Y25)&gt;=Y31*366),(Y24*$S$7+(Y25-Z25)*$S$8)/(Y31*366),IF(AND(Y31*366&gt;Y25,Y25+Y28&gt;=Y31*366),(Y25*$S$8+(Y28-Z28)*$AD$7)/(Y31*366),IF(AND(Y20&gt;0,Y21&gt;0,Y31*366&gt;SUM(Y20:Y21)),(Y20*$H$7+Y21*$H$8)/SUM(Y20:Y21),IF(AND(Y21&gt;0,Y24&gt;0,Y31*366&gt;SUM(Y21:Y24)),(Y21*$H$8+Y24*$S$7)/SUM(Y21:Y24),IF(AND(Y24&gt;0,Y25&gt;0,Y31*366&gt;SUM(Y24:Y25)),(Y24*$S$7+Y25*$S$8)/SUM(Y24:Y25),IF(AND(Y25&gt;0,Y28&gt;0,Y31*366&gt;SUM(Y25:Y28)),(Y25*$S$8+Y28*$AD$7)/SUM(Y25:Y28),IF(AND(Y21&gt;0,Y31*366&gt;Y21),$H$8,IF(AND(Y24&gt;0,Y31*366&gt;Y24),$S$7,IF(AND(Y25&gt;0,Y31*366&gt;Y25),$S$8,IF(AND(Y28&gt;0,Y31*366&gt;Y28),$AD$7)))))))))))))))))))))</f>
        <v>0.24</v>
      </c>
      <c r="Z34" s="24">
        <f t="shared" si="34"/>
        <v>0.55996274380545374</v>
      </c>
      <c r="AA34" s="24">
        <f t="shared" si="34"/>
        <v>0.59</v>
      </c>
      <c r="AB34" s="24">
        <f t="shared" si="34"/>
        <v>0.59</v>
      </c>
      <c r="AC34" s="24">
        <f>IF(AC20&gt;=AC31*366,$H$7,IF(AND(AC20=0,AC21&gt;=AC31*366),$H$8,IF(AND(AC20+AC21=0,AC24&gt;=AC31*366),$S$7,IF(AND(SUM(AC20:AC21)+AC24=0,AC25&gt;=AC31*366),$S$8,IF(AND(SUM(AC20:AC21)+SUM(AC24:AC25)=0,AC28&gt;=AC31*366),$AD$7,IF(SUM(AC20:AC21)+SUM(AC24:AC25)+AC28=0,0,IF(AND(AC31*366&gt;SUM(AC20:AC21),SUM(AC20:AC21)+AC24&gt;=AC31*366),(AC20*$H$7+AC21*$H$8+(AC24-AD24)*$S$7)/(AC31*366),IF(AND(AC31*366&gt;AC21+AC24,AC21+SUM(AC24:AC25)&gt;=AC31*366),(AC21*$H$8+AC24*$S$7+(AC25-AD25)*$S$8)/(AC31*366),IF(AND(AC31*366&gt;SUM(AC24:AC25),SUM(AC24:AC25)+AC28&gt;=AC31*366),(AC24*$S$7+AC25*$S$8+(AC28-AD28)*$AD$7)/(AC31*366),IF(AND(AC31*366&gt;AC20,AC20+AC21&gt;=AC31*366),(AC20*$H$7+(AC21-AD21)*$H$8)/(AC31*366),IF(AND(AC31*366&gt;AC21,AC21+AC24&gt;=AC31*366),(AC21*$H$8+(AC24-AD24)*$S$7)/(AC31*366),IF(AND(AC31*366&gt;AC24,SUM(AC24:AC25)&gt;=AC31*366),(AC24*$S$7+(AC25-AD25)*$S$8)/(AC31*366),IF(AND(AC31*366&gt;AC25,AC25+AC28&gt;=AC31*366),(AC25*$S$8+(AC28-AD28)*$AD$7)/(AC31*366),IF(AND(AC20&gt;0,AC21&gt;0,AC31*366&gt;SUM(AC20:AC21)),(AC20*$H$7+AC21*$H$8)/SUM(AC20:AC21),IF(AND(AC21&gt;0,AC24&gt;0,AC31*366&gt;SUM(AC21:AC24)),(AC21*$H$8+AC24*$S$7)/SUM(AC21:AC24),IF(AND(AC24&gt;0,AC25&gt;0,AC31*366&gt;SUM(AC24:AC25)),(AC24*$S$7+AC25*$S$8)/SUM(AC24:AC25),IF(AND(AC25&gt;0,AC28&gt;0,AC31*366&gt;SUM(AC25:AC28)),(AC25*$S$8+AC28*$AD$7)/SUM(AC25:AC28),IF(AND(AC21&gt;0,AC31*365&gt;AC21),$H$8,IF(AND(AC24&gt;0,AC31*366&gt;AC24),$S$7,IF(AND(AC25&gt;0,AC31*365&gt;AC25),$S$8,IF(AND(AC28&gt;0,AC31*366&gt;AC28),$AD$7)))))))))))))))))))))</f>
        <v>0.59</v>
      </c>
      <c r="AD34" s="24">
        <f t="shared" si="34"/>
        <v>0.59</v>
      </c>
      <c r="AE34" s="24">
        <f t="shared" si="34"/>
        <v>0.59</v>
      </c>
      <c r="AF34" s="24">
        <f t="shared" si="34"/>
        <v>0.59</v>
      </c>
      <c r="AG34" s="24">
        <f>IF(AG20&gt;=AG31*366,$H$7,IF(AND(AG20=0,AG21&gt;=AG31*366),$H$8,IF(AND(AG20+AG21=0,AG24&gt;=AG31*366),$S$7,IF(AND(SUM(AG20:AG21)+AG24=0,AG25&gt;=AG31*366),$S$8,IF(AND(SUM(AG20:AG21)+SUM(AG24:AG25)=0,AG28&gt;=AG31*366),$AD$7,IF(SUM(AG20:AG21)+SUM(AG24:AG25)+AG28=0,0,IF(AND(AG31*366&gt;SUM(AG20:AG21),SUM(AG20:AG21)+AG24&gt;=AG31*366),(AG20*$H$7+AG21*$H$8+(AG24-AH24)*$S$7)/(AG31*366),IF(AND(AG31*366&gt;AG21+AG24,AG21+SUM(AG24:AG25)&gt;=AG31*366),(AG21*$H$8+AG24*$S$7+(AG25-AH25)*$S$8)/(AG31*366),IF(AND(AG31*366&gt;SUM(AG24:AG25),SUM(AG24:AG25)+AG28&gt;=AG31*366),(AG24*$S$7+AG25*$S$8+(AG28-AH28)*$AD$7)/(AG31*366),IF(AND(AG31*366&gt;AG20,AG20+AG21&gt;=AG31*366),(AG20*$H$7+(AG21-AH21)*$H$8)/(AG31*366),IF(AND(AG31*366&gt;AG21,AG21+AG24&gt;=AG31*366),(AG21*$H$8+(AG24-AH24)*$S$7)/(AG31*366),IF(AND(AG31*366&gt;AG24,SUM(AG24:AG25)&gt;=AG31*366),(AG24*$S$7+(AG25-AH25)*$S$8)/(AG31*366),IF(AND(AG31*366&gt;AG25,AG25+AG28&gt;=AG31*366),(AG25*$S$8+(AG28-AH28)*$AD$7)/(AG31*366),IF(AND(AG20&gt;0,AG21&gt;0,AG31*366&gt;SUM(AG20:AG21)),(AG20*$H$7+AG21*$H$8)/SUM(AG20:AG21),IF(AND(AG21&gt;0,AG24&gt;0,AG31*366&gt;SUM(AG21:AG24)),(AG21*$H$8+AG24*$S$7)/SUM(AG21:AG24),IF(AND(AG24&gt;0,AG25&gt;0,AG31*366&gt;SUM(AG24:AG25)),(AG24*$S$7+AG25*$S$8)/SUM(AG24:AG25),IF(AND(AG25&gt;0,AG28&gt;0,AG31*366&gt;SUM(AG25:AG28)),(AG25*$S$8+AG28*$AD$7)/SUM(AG25:AG28),IF(AND(AG21&gt;0,AG31*366&gt;AG21),$H$8,IF(AND(AG24&gt;0,AG31*366&gt;AG24),$S$7,IF(AND(AG25&gt;0,AG31*366&gt;AG25),$S$8,IF(AND(AG28&gt;0,AG31*366&gt;AG28),$AD$7)))))))))))))))))))))</f>
        <v>0.59</v>
      </c>
      <c r="AH34" s="24">
        <f t="shared" si="34"/>
        <v>0</v>
      </c>
      <c r="AI34" s="24">
        <f t="shared" si="34"/>
        <v>0</v>
      </c>
      <c r="AJ34" s="24">
        <f t="shared" si="34"/>
        <v>0</v>
      </c>
      <c r="AK34" s="24">
        <f>IF(AK20&gt;=AK31*366,$H$7,IF(AND(AK20=0,AK21&gt;=AK31*366),$H$8,IF(AND(AK20+AK21=0,AK24&gt;=AK31*366),$S$7,IF(AND(SUM(AK20:AK21)+AK24=0,AK25&gt;=AK31*366),$S$8,IF(AND(SUM(AK20:AK21)+SUM(AK24:AK25)=0,AK28&gt;=AK31*366),$AD$7,IF(SUM(AK20:AK21)+SUM(AK24:AK25)+AK28=0,0,IF(AND(AK31*366&gt;SUM(AK20:AK21),SUM(AK20:AK21)+AK24&gt;=AK31*366),(AK20*$H$7+AK21*$H$8+(AK24-AL24)*$S$7)/(AK31*366),IF(AND(AK31*366&gt;AK21+AK24,AK21+SUM(AK24:AK25)&gt;=AK31*366),(AK21*$H$8+AK24*$S$7+(AK25-AL25)*$S$8)/(AK31*366),IF(AND(AK31*366&gt;SUM(AK24:AK25),SUM(AK24:AK25)+AK28&gt;=AK31*366),(AK24*$S$7+AK25*$S$8+(AK28-AL28)*$AD$7)/(AK31*366),IF(AND(AK31*366&gt;AK20,AK20+AK21&gt;=AK31*366),(AK20*$H$7+(AK21-AL21)*$H$8)/(AK31*366),IF(AND(AK31*366&gt;AK21,AK21+AK24&gt;=AK31*366),(AK21*$H$8+(AK24-AL24)*$S$7)/(AK31*366),IF(AND(AK31*366&gt;AK24,SUM(AK24:AK25)&gt;=AK31*366),(AK24*$S$7+(AK25-AL25)*$S$8)/(AK31*366),IF(AND(AK31*366&gt;AK25,AK25+AK28&gt;=AK31*366),(AK25*$S$8+(AK28-AL28)*$AD$7)/(AK31*366),IF(AND(AK20&gt;0,AK21&gt;0,AK31*366&gt;SUM(AK20:AK21)),(AK20*$H$7+AK21*$H$8)/SUM(AK20:AK21),IF(AND(AK21&gt;0,AK24&gt;0,AK31*366&gt;SUM(AK21:AK24)),(AK21*$H$8+AK24*$S$7)/SUM(AK21:AK24),IF(AND(AK24&gt;0,AK25&gt;0,AK31*366&gt;SUM(AK24:AK25)),(AK24*$S$7+AK25*$S$8)/SUM(AK24:AK25),IF(AND(AK25&gt;0,AK28&gt;0,AK31*366&gt;SUM(AK25:AK28)),(AK25*$S$8+AK28*$AD$7)/SUM(AK25:AK28),IF(AND(AK21&gt;0,AK31*366&gt;AK21),$H$8,IF(AND(AK24&gt;0,AK31*366&gt;AK24),$S$7,IF(AND(AK25&gt;0,AK31*366&gt;AK25),$S$8,IF(AND(AK28&gt;0,AK31*366&gt;AK28),$AD$7)))))))))))))))))))))</f>
        <v>0</v>
      </c>
      <c r="AL34" s="24">
        <f t="shared" ref="AL34" si="35">IF(AL20&gt;=AL31*365,$H$7,IF(AND(AL20=0,AL21&gt;=AL31*365),$H$8,IF(AND(AL20+AL21=0,AL24&gt;=AL31*365),$S$7,IF(AND(SUM(AL20:AL21)+AL24=0,AL25&gt;=AL31*365),$S$8,IF(AND(SUM(AL20:AL21)+SUM(AL24:AL25)=0,AL28&gt;=AL31*365),$AD$7,IF(SUM(AL20:AL21)+SUM(AL24:AL25)+AL28=0,0,IF(AND(AL31*365&gt;SUM(AL20:AL21),SUM(AL20:AL21)+AL24&gt;=AL31*365),(AL20*$H$7+AL21*$H$8+(AL24-AM24)*$S$7)/(AL31*365),IF(AND(AL31*365&gt;AL21+AL24,AL21+SUM(AL24:AL25)&gt;=AL31*365),(AL21*$H$8+AL24*$S$7+(AL25-AM25)*$S$8)/(AL31*365),IF(AND(AL31*365&gt;SUM(AL24:AL25),SUM(AL24:AL25)+AL28&gt;=AL31*365),(AL24*$S$7+AL25*$S$8+(AL28-AM28)*$AD$7)/(AL31*365),IF(AND(AL31*365&gt;AL20,AL20+AL21&gt;=AL31*365),(AL20*$H$7+(AL21-AM21)*$H$8)/(AL31*365),IF(AND(AL31*365&gt;AL21,AL21+AL24&gt;=AL31*365),(AL21*$H$8+(AL24-AM24)*$S$7)/(AL31*365),IF(AND(AL31*365&gt;AL24,SUM(AL24:AL25)&gt;=AL31*365),(AL24*$S$7+(AL25-AM25)*$S$8)/(AL31*365),IF(AND(AL31*365&gt;AL25,AL25+AL28&gt;=AL31*365),(AL25*$S$8+(AL28-AM28)*$AD$7)/(AL31*365),IF(AND(AL20&gt;0,AL21&gt;0,AL31*365&gt;SUM(AL20:AL21)),(AL20*$H$7+AL21*$H$8)/SUM(AL20:AL21),IF(AND(AL21&gt;0,AL24&gt;0,AL31*365&gt;SUM(AL21:AL24)),(AL21*$H$8+AL24*$S$7)/SUM(AL21:AL24),IF(AND(AL24&gt;0,AL25&gt;0,AL31*365&gt;SUM(AL24:AL25)),(AL24*$S$7+AL25*$S$8)/SUM(AL24:AL25),IF(AND(AL25&gt;0,AL28&gt;0,AL31*365&gt;SUM(AL25:AL28)),(AL25*$S$8+AL28*$AD$7)/SUM(AL25:AL28),IF(AND(AL21&gt;0,AL31*365&gt;AL21),$H$8,IF(AND(AL24&gt;0,AL31*365&gt;AL24),$S$7,IF(AND(AL25&gt;0,AL31*365&gt;AL25),$S$8,IF(AND(AL28&gt;0,AL31*365&gt;AL28),$AD$7)))))))))))))))))))))</f>
        <v>0</v>
      </c>
      <c r="AM34" s="13"/>
    </row>
    <row r="35" spans="2:39" x14ac:dyDescent="0.25">
      <c r="B35" t="s">
        <v>68</v>
      </c>
      <c r="C35" t="s">
        <v>70</v>
      </c>
      <c r="E35" s="19">
        <v>2.81E-2</v>
      </c>
      <c r="F35" s="19">
        <v>2.6200000000000001E-2</v>
      </c>
      <c r="G35" s="19">
        <v>2.7199999999999998E-2</v>
      </c>
      <c r="H35" s="19">
        <v>0.03</v>
      </c>
      <c r="I35" s="19">
        <v>3.1600000000000003E-2</v>
      </c>
      <c r="J35" s="19">
        <v>3.5499999999999997E-2</v>
      </c>
      <c r="K35" s="29">
        <f t="shared" si="33"/>
        <v>2.20305758683828E-2</v>
      </c>
      <c r="L35" s="30">
        <v>2.8000000000000001E-2</v>
      </c>
      <c r="M35" s="30">
        <v>2.9499999999999998E-2</v>
      </c>
      <c r="N35" s="30">
        <f>M35</f>
        <v>2.9499999999999998E-2</v>
      </c>
      <c r="O35" s="30">
        <f>I8</f>
        <v>2.5499999999999998E-2</v>
      </c>
      <c r="P35" s="30">
        <f>IF(P20&gt;=P31*275,$I$7,IF(AND(P20=0,P21&gt;=P31*275),$I$8,IF(AND(P20+P21=0,P24&gt;=P31*275),$T$7,IF(AND(SUM(P20:P21)+P24=0,P25&gt;=P31*275),$T$8,IF(AND(SUM(P20:P21)+SUM(P24:P25)=0,P28&gt;=P31*275),$AE$7,IF(SUM(P20:P21)+SUM(P24:P25)+P28=0,0,IF(AND(P31*275&gt;SUM(P20:P21),SUM(P20:P21)+P24&gt;=P31*275),(P20*$I$7+P21*$I$8+(P24-Q24)*$T$7)/(P31*275),IF(AND(P31*275&gt;P21+P24,P21+SUM(P24:P25)&gt;=P31*275),(P21*$I$8+P24*$T$7+(P25-Q25)*$T$8)/(P31*275),IF(AND(P31*275&gt;SUM(P24:P25),SUM(P24:P25)+P28&gt;=P31*275),(P24*$T$7+P25*$T$8+(P28-Q28)*$AE$7)/(P31*275),IF(AND(P31*275&gt;P20,P20+P21&gt;=P31*275),(P20*$I$7+(P21-Q21)*$I$8)/(P31*275),IF(AND(P31*275&gt;P21,P21+P24&gt;=P31*275),(P21*$I$8+(P24-Q24)*$T$7)/(P31*275),IF(AND(P31*275&gt;P24,SUM(P24:P25)&gt;=P31*275),(P24*$T$7+(P25-Q25)*$T$8)/(P31*275),IF(AND(P31*275&gt;P25,P25+P28&gt;=P31*275),(P25*$T$8+(P28-Q28)*$AE$7)/(P31*275),IF(AND(P20&gt;0,P21&gt;0,P31*275&gt;SUM(P20:P21)),(P20*$I$7+P21*$I$8)/SUM(P20:P21),IF(AND(P21&gt;0,P24&gt;0,P31*275&gt;SUM(P21:P24)),(P21*$I$8+P24*$T$7)/SUM(P21:P24),IF(AND(P24&gt;0,P25&gt;0,P31*275&gt;SUM(P24:P25)),(P24*$T$7+P25*$T$8)/SUM(P24:P25),IF(AND(P25&gt;0,P28&gt;0,P31*275&gt;SUM(P25:P28)),(P25*$T$8+P28*$AE$7)/SUM(P25:P28),IF(AND(P21&gt;0,P31*275&gt;P21),$I$8,IF(AND(P24&gt;0,P31*275&gt;P24),$T$7,IF(AND(P25&gt;0,P31*275&gt;P25),$T$8,IF(AND(P28&gt;0,P31*275&gt;P28),$AE$7)))))))))))))))))))))</f>
        <v>2.5499999999999998E-2</v>
      </c>
      <c r="Q35" s="30">
        <f>IF(Q20&gt;=Q31*366,$I$7,IF(AND(Q20=0,Q21&gt;=Q31*366),$I$8,IF(AND(Q20+Q21=0,Q24&gt;=Q31*366),$T$7,IF(AND(SUM(Q20:Q21)+Q24=0,Q25&gt;=Q31*366),$T$8,IF(AND(SUM(Q20:Q21)+SUM(Q24:Q25)=0,Q28&gt;=Q31*366),$AE$7,IF(SUM(Q20:Q21)+SUM(Q24:Q25)+Q28=0,0,IF(AND(Q31*366&gt;SUM(Q20:Q21),SUM(Q20:Q21)+Q24&gt;=Q31*366),(Q20*$I$7+Q21*$I$8+(Q24-R24)*$T$7)/(Q31*366),IF(AND(Q31*366&gt;Q21+Q24,Q21+SUM(Q24:Q25)&gt;=Q31*366),(Q21*$I$8+Q24*$T$7+(Q25-R25)*$T$8)/(Q31*366),IF(AND(Q31*366&gt;SUM(Q24:Q25),SUM(Q24:Q25)+Q28&gt;=Q31*366),(Q24*$T$7+Q25*$T$8+(Q28-R28)*$AE$7)/(Q31*366),IF(AND(Q31*366&gt;Q20,Q20+Q21&gt;=Q31*366),(Q20*$I$7+(Q21-R21)*$I$8)/(Q31*366),IF(AND(Q31*366&gt;Q21,Q21+Q24&gt;=Q31*366),(Q21*$I$8+(Q24-R24)*$T$7)/(Q31*366),IF(AND(Q31*366&gt;Q24,SUM(Q24:Q25)&gt;=Q31*366),(Q24*$T$7+(Q25-R25)*$T$8)/(Q31*366),IF(AND(Q31*366&gt;Q25,Q25+Q28&gt;=Q31*366),(Q25*$T$8+(Q28-R28)*$AE$7)/(Q31*366),IF(AND(Q20&gt;0,Q21&gt;0,Q31*366&gt;SUM(Q20:Q21)),(Q20*$I$7+Q21*$I$8)/SUM(Q20:Q21),IF(AND(Q21&gt;0,Q24&gt;0,Q31*366&gt;SUM(Q21:Q24)),(Q21*$I$8+Q24*$T$7)/SUM(Q21:Q24),IF(AND(Q24&gt;0,Q25&gt;0,Q31*366&gt;SUM(Q24:Q25)),(Q24*$T$7+Q25*$T$8)/SUM(Q24:Q25),IF(AND(Q25&gt;0,Q28&gt;0,Q31*366&gt;SUM(Q25:Q28)),(Q25*$T$8+Q28*$AE$7)/SUM(Q25:Q28),IF(AND(Q21&gt;0,Q31*366&gt;Q21),$I$8,IF(AND(Q24&gt;0,Q31*366&gt;Q24),$T$7,IF(AND(Q25&gt;0,Q31*366&gt;Q25),$T$8,IF(AND(Q28&gt;0,Q31*366&gt;Q28),$AE$7)))))))))))))))))))))</f>
        <v>2.5499999999999998E-2</v>
      </c>
      <c r="R35" s="30">
        <f>IF(R20&gt;=R31*365,$I$7,IF(AND(R20=0,R21&gt;=R31*365),$I$8,IF(AND(R20+R21=0,R24&gt;=R31*365),$T$7,IF(AND(SUM(R20:R21)+R24=0,R25&gt;=R31*365),$T$8,IF(AND(SUM(R20:R21)+SUM(R24:R25)=0,R28&gt;=R31*365),$AE$7,IF(SUM(R20:R21)+SUM(R24:R25)+R28=0,0,IF(AND(R31*365&gt;SUM(R20:R21),SUM(R20:R21)+R24&gt;=R31*365),(R20*$I$7+R21*$I$8+(R24-S24)*$T$7)/(R31*365),IF(AND(R31*365&gt;R21+R24,R21+SUM(R24:R25)&gt;=R31*365),(R21*$I$8+R24*$T$7+(R25-S25)*$T$8)/(R31*365),IF(AND(R31*365&gt;SUM(R24:R25),SUM(R24:R25)+R28&gt;=R31*365),(R24*$T$7+R25*$T$8+(R28-S28)*$AE$7)/(R31*365),IF(AND(R31*365&gt;R20,R20+R21&gt;=R31*365),(R20*$I$7+(R21-S21)*$I$8)/(R31*365),IF(AND(R31*365&gt;R21,R21+R24&gt;=R31*365),(R21*$I$8+(R24-S24)*$T$7)/(R31*365),IF(AND(R31*365&gt;R24,SUM(R24:R25)&gt;=R31*365),(R24*$T$7+(R25-S25)*$T$8)/(R31*365),IF(AND(R31*365&gt;R25,R25+R28&gt;=R31*365),(R25*$T$8+(R28-S28)*$AE$7)/(R31*365),IF(AND(R20&gt;0,R21&gt;0,R31*365&gt;SUM(R20:R21)),(R20*$I$7+R21*$I$8)/SUM(R20:R21),IF(AND(R21&gt;0,R24&gt;0,R31*365&gt;SUM(R21:R24)),(R21*$I$8+R24*$T$7)/SUM(R21:R24),IF(AND(R24&gt;0,R25&gt;0,R31*365&gt;SUM(R24:R25)),(R24*$T$7+R25*$T$8)/SUM(R24:R25),IF(AND(R25&gt;0,R28&gt;0,R31*365&gt;SUM(R25:R28)),(R25*$T$8+R28*$AE$7)/SUM(R25:R28),IF(AND(R21&gt;0,R31*365&gt;R21),$I$8,IF(AND(R24&gt;0,R31*365&gt;R24),$T$7,IF(AND(R25&gt;0,R31*365&gt;R25),$T$8,IF(AND(R28&gt;0,R31*365&gt;R28),$AE$7)))))))))))))))))))))</f>
        <v>2.5499999999999998E-2</v>
      </c>
      <c r="S35" s="30">
        <f t="shared" ref="S35:AJ35" si="36">IF(S20&gt;=S31*365,$I$7,IF(AND(S20=0,S21&gt;=S31*365),$I$8,IF(AND(S20+S21=0,S24&gt;=S31*365),$T$7,IF(AND(SUM(S20:S21)+S24=0,S25&gt;=S31*365),$T$8,IF(AND(SUM(S20:S21)+SUM(S24:S25)=0,S28&gt;=S31*365),$AE$7,IF(SUM(S20:S21)+SUM(S24:S25)+S28=0,0,IF(AND(S31*365&gt;SUM(S20:S21),SUM(S20:S21)+S24&gt;=S31*365),(S20*$I$7+S21*$I$8+(S24-T24)*$T$7)/(S31*365),IF(AND(S31*365&gt;S21+S24,S21+SUM(S24:S25)&gt;=S31*365),(S21*$I$8+S24*$T$7+(S25-T25)*$T$8)/(S31*365),IF(AND(S31*365&gt;SUM(S24:S25),SUM(S24:S25)+S28&gt;=S31*365),(S24*$T$7+S25*$T$8+(S28-T28)*$AE$7)/(S31*365),IF(AND(S31*365&gt;S20,S20+S21&gt;=S31*365),(S20*$I$7+(S21-T21)*$I$8)/(S31*365),IF(AND(S31*365&gt;S21,S21+S24&gt;=S31*365),(S21*$I$8+(S24-T24)*$T$7)/(S31*365),IF(AND(S31*365&gt;S24,SUM(S24:S25)&gt;=S31*365),(S24*$T$7+(S25-T25)*$T$8)/(S31*365),IF(AND(S31*365&gt;S25,S25+S28&gt;=S31*365),(S25*$T$8+(S28-T28)*$AE$7)/(S31*365),IF(AND(S20&gt;0,S21&gt;0,S31*365&gt;SUM(S20:S21)),(S20*$I$7+S21*$I$8)/SUM(S20:S21),IF(AND(S21&gt;0,S24&gt;0,S31*365&gt;SUM(S21:S24)),(S21*$I$8+S24*$T$7)/SUM(S21:S24),IF(AND(S24&gt;0,S25&gt;0,S31*365&gt;SUM(S24:S25)),(S24*$T$7+S25*$T$8)/SUM(S24:S25),IF(AND(S25&gt;0,S28&gt;0,S31*365&gt;SUM(S25:S28)),(S25*$T$8+S28*$AE$7)/SUM(S25:S28),IF(AND(S21&gt;0,S31*365&gt;S21),$I$8,IF(AND(S24&gt;0,S31*365&gt;S24),$T$7,IF(AND(S25&gt;0,S31*365&gt;S25),$T$8,IF(AND(S28&gt;0,S31*365&gt;S28),$AE$7)))))))))))))))))))))</f>
        <v>2.5499999999999998E-2</v>
      </c>
      <c r="T35" s="30">
        <f t="shared" si="36"/>
        <v>2.5241786570701755E-2</v>
      </c>
      <c r="U35" s="30">
        <f>IF(U20&gt;=U31*366,$I$7,IF(AND(U20=0,U21&gt;=U31*366),$I$8,IF(AND(U20+U21=0,U24&gt;=U31*366),$T$7,IF(AND(SUM(U20:U21)+U24=0,U25&gt;=U31*366),$T$8,IF(AND(SUM(U20:U21)+SUM(U24:U25)=0,U28&gt;=U31*366),$AE$7,IF(SUM(U20:U21)+SUM(U24:U25)+U28=0,0,IF(AND(U31*366&gt;SUM(U20:U21),SUM(U20:U21)+U24&gt;=U31*366),(U20*$I$7+U21*$I$8+(U24-V24)*$T$7)/(U31*366),IF(AND(U31*366&gt;U21+U24,U21+SUM(U24:U25)&gt;=U31*366),(U21*$I$8+U24*$T$7+(U25-V25)*$T$8)/(U31*366),IF(AND(U31*366&gt;SUM(U24:U25),SUM(U24:U25)+U28&gt;=U31*366),(U24*$T$7+U25*$T$8+(U28-V28)*$AE$7)/(U31*366),IF(AND(U31*366&gt;U20,U20+U21&gt;=U31*366),(U20*$I$7+(U21-V21)*$I$8)/(U31*366),IF(AND(U31*366&gt;U21,U21+U24&gt;=U31*366),(U21*$I$8+(U24-V24)*$T$7)/(U31*366),IF(AND(U31*366&gt;U24,SUM(U24:U25)&gt;=U31*366),(U24*$T$7+(U25-V25)*$T$8)/(U31*366),IF(AND(U31*366&gt;U25,U25+U28&gt;=U31*366),(U25*$T$8+(U28-V28)*$AE$7)/(U31*366),IF(AND(U20&gt;0,U21&gt;0,U31*366&gt;SUM(U20:U21)),(U20*$I$7+U21*$I$8)/SUM(U20:U21),IF(AND(U21&gt;0,U24&gt;0,U31*366&gt;SUM(U21:U24)),(U21*$I$8+U24*$T$7)/SUM(U21:U24),IF(AND(U24&gt;0,U25&gt;0,U31*366&gt;SUM(U24:U25)),(U24*$T$7+U25*$T$8)/SUM(U24:U25),IF(AND(U25&gt;0,U28&gt;0,U31*366&gt;SUM(U25:U28)),(U25*$T$8+U28*$AE$7)/SUM(U25:U28),IF(AND(U21&gt;0,U31*366&gt;U21),$I$8,IF(AND(U24&gt;0,U31*366&gt;U24),$T$7,IF(AND(U25&gt;0,U31*366&gt;U25),$T$8,IF(AND(U28&gt;0,U31*366&gt;U28),$AE$7)))))))))))))))))))))</f>
        <v>1.7899999999999999E-2</v>
      </c>
      <c r="V35" s="30">
        <f t="shared" si="36"/>
        <v>1.6691329608054542E-2</v>
      </c>
      <c r="W35" s="30">
        <f t="shared" si="36"/>
        <v>1.61E-2</v>
      </c>
      <c r="X35" s="30">
        <f t="shared" si="36"/>
        <v>1.61E-2</v>
      </c>
      <c r="Y35" s="30">
        <f>IF(Y20&gt;=Y31*366,$I$7,IF(AND(Y20=0,Y21&gt;=Y31*366),$I$8,IF(AND(Y20+Y21=0,Y24&gt;=Y31*366),$T$7,IF(AND(SUM(Y20:Y21)+Y24=0,Y25&gt;=Y31*366),$T$8,IF(AND(SUM(Y20:Y21)+SUM(Y24:Y25)=0,Y28&gt;=Y31*366),$AE$7,IF(SUM(Y20:Y21)+SUM(Y24:Y25)+Y28=0,0,IF(AND(Y31*366&gt;SUM(Y20:Y21),SUM(Y20:Y21)+Y24&gt;=Y31*366),(Y20*$I$7+Y21*$I$8+(Y24-Z24)*$T$7)/(Y31*366),IF(AND(Y31*366&gt;Y21+Y24,Y21+SUM(Y24:Y25)&gt;=Y31*366),(Y21*$I$8+Y24*$T$7+(Y25-Z25)*$T$8)/(Y31*366),IF(AND(Y31*366&gt;SUM(Y24:Y25),SUM(Y24:Y25)+Y28&gt;=Y31*366),(Y24*$T$7+Y25*$T$8+(Y28-Z28)*$AE$7)/(Y31*366),IF(AND(Y31*366&gt;Y20,Y20+Y21&gt;=Y31*366),(Y20*$I$7+(Y21-Z21)*$I$8)/(Y31*366),IF(AND(Y31*366&gt;Y21,Y21+Y24&gt;=Y31*366),(Y21*$I$8+(Y24-Z24)*$T$7)/(Y31*366),IF(AND(Y31*366&gt;Y24,SUM(Y24:Y25)&gt;=Y31*366),(Y24*$T$7+(Y25-Z25)*$T$8)/(Y31*366),IF(AND(Y31*366&gt;Y25,Y25+Y28&gt;=Y31*366),(Y25*$T$8+(Y28-Z28)*$AE$7)/(Y31*366),IF(AND(Y20&gt;0,Y21&gt;0,Y31*366&gt;SUM(Y20:Y21)),(Y20*$I$7+Y21*$I$8)/SUM(Y20:Y21),IF(AND(Y21&gt;0,Y24&gt;0,Y31*366&gt;SUM(Y21:Y24)),(Y21*$I$8+Y24*$T$7)/SUM(Y21:Y24),IF(AND(Y24&gt;0,Y25&gt;0,Y31*366&gt;SUM(Y24:Y25)),(Y24*$T$7+Y25*$T$8)/SUM(Y24:Y25),IF(AND(Y25&gt;0,Y28&gt;0,Y31*366&gt;SUM(Y25:Y28)),(Y25*$T$8+Y28*$AE$7)/SUM(Y25:Y28),IF(AND(Y21&gt;0,Y31*366&gt;Y21),$I$8,IF(AND(Y24&gt;0,Y31*366&gt;Y24),$T$7,IF(AND(Y25&gt;0,Y31*366&gt;Y25),$T$8,IF(AND(Y28&gt;0,Y31*366&gt;Y28),$AE$7)))))))))))))))))))))</f>
        <v>1.61E-2</v>
      </c>
      <c r="Z35" s="30">
        <f t="shared" si="36"/>
        <v>1.9939552925665439E-2</v>
      </c>
      <c r="AA35" s="30">
        <f t="shared" si="36"/>
        <v>2.0299999999999999E-2</v>
      </c>
      <c r="AB35" s="30">
        <f t="shared" si="36"/>
        <v>2.0299999999999999E-2</v>
      </c>
      <c r="AC35" s="30">
        <f>IF(AC20&gt;=AC31*366,$I$7,IF(AND(AC20=0,AC21&gt;=AC31*366),$I$8,IF(AND(AC20+AC21=0,AC24&gt;=AC31*366),$T$7,IF(AND(SUM(AC20:AC21)+AC24=0,AC25&gt;=AC31*366),$T$8,IF(AND(SUM(AC20:AC21)+SUM(AC24:AC25)=0,AC28&gt;=AC31*366),$AE$7,IF(SUM(AC20:AC21)+SUM(AC24:AC25)+AC28=0,0,IF(AND(AC31*366&gt;SUM(AC20:AC21),SUM(AC20:AC21)+AC24&gt;=AC31*366),(AC20*$I$7+AC21*$I$8+(AC24-AD24)*$T$7)/(AC31*366),IF(AND(AC31*366&gt;AC21+AC24,AC21+SUM(AC24:AC25)&gt;=AC31*366),(AC21*$I$8+AC24*$T$7+(AC25-AD25)*$T$8)/(AC31*366),IF(AND(AC31*366&gt;SUM(AC24:AC25),SUM(AC24:AC25)+AC28&gt;=AC31*366),(AC24*$T$7+AC25*$T$8+(AC28-AD28)*$AE$7)/(AC31*366),IF(AND(AC31*366&gt;AC20,AC20+AC21&gt;=AC31*366),(AC20*$I$7+(AC21-AD21)*$I$8)/(AC31*366),IF(AND(AC31*366&gt;AC21,AC21+AC24&gt;=AC31*366),(AC21*$I$8+(AC24-AD24)*$T$7)/(AC31*366),IF(AND(AC31*366&gt;AC24,SUM(AC24:AC25)&gt;=AC31*366),(AC24*$T$7+(AC25-AD25)*$T$8)/(AC31*366),IF(AND(AC31*366&gt;AC25,AC25+AC28&gt;=AC31*366),(AC25*$T$8+(AC28-AD28)*$AE$7)/(AC31*366),IF(AND(AC20&gt;0,AC21&gt;0,AC31*366&gt;SUM(AC20:AC21)),(AC20*$I$7+AC21*$I$8)/SUM(AC20:AC21),IF(AND(AC21&gt;0,AC24&gt;0,AC31*366&gt;SUM(AC21:AC24)),(AC21*$I$8+AC24*$T$7)/SUM(AC21:AC24),IF(AND(AC24&gt;0,AC25&gt;0,AC31*366&gt;SUM(AC24:AC25)),(AC24*$T$7+AC25*$T$8)/SUM(AC24:AC25),IF(AND(AC25&gt;0,AC28&gt;0,AC31*366&gt;SUM(AC25:AC28)),(AC25*$T$8+AC28*$AE$7)/SUM(AC25:AC28),IF(AND(AC21&gt;0,AC31*366&gt;AC21),$I$8,IF(AND(AC24&gt;0,AC31*366&gt;AC24),$T$7,IF(AND(AC25&gt;0,AC31*366&gt;AC25),$T$8,IF(AND(AC28&gt;0,AC31*366&gt;AC28),$AE$7)))))))))))))))))))))</f>
        <v>2.0299999999999999E-2</v>
      </c>
      <c r="AD35" s="30">
        <f t="shared" si="36"/>
        <v>2.0299999999999999E-2</v>
      </c>
      <c r="AE35" s="30">
        <f t="shared" si="36"/>
        <v>2.0299999999999999E-2</v>
      </c>
      <c r="AF35" s="30">
        <f t="shared" si="36"/>
        <v>2.0299999999999999E-2</v>
      </c>
      <c r="AG35" s="30">
        <f>IF(AG20&gt;=AG31*366,$I$7,IF(AND(AG20=0,AG21&gt;=AG31*366),$I$8,IF(AND(AG20+AG21=0,AG24&gt;=AG31*366),$T$7,IF(AND(SUM(AG20:AG21)+AG24=0,AG25&gt;=AG31*366),$T$8,IF(AND(SUM(AG20:AG21)+SUM(AG24:AG25)=0,AG28&gt;=AG31*366),$AE$7,IF(SUM(AG20:AG21)+SUM(AG24:AG25)+AG28=0,0,IF(AND(AG31*366&gt;SUM(AG20:AG21),SUM(AG20:AG21)+AG24&gt;=AG31*366),(AG20*$I$7+AG21*$I$8+(AG24-AH24)*$T$7)/(AG31*366),IF(AND(AG31*366&gt;AG21+AG24,AG21+SUM(AG24:AG25)&gt;=AG31*366),(AG21*$I$8+AG24*$T$7+(AG25-AH25)*$T$8)/(AG31*366),IF(AND(AG31*366&gt;SUM(AG24:AG25),SUM(AG24:AG25)+AG28&gt;=AG31*366),(AG24*$T$7+AG25*$T$8+(AG28-AH28)*$AE$7)/(AG31*366),IF(AND(AG31*366&gt;AG20,AG20+AG21&gt;=AG31*366),(AG20*$I$7+(AG21-AH21)*$I$8)/(AG31*366),IF(AND(AG31*366&gt;AG21,AG21+AG24&gt;=AG31*366),(AG21*$I$8+(AG24-AH24)*$T$7)/(AG31*366),IF(AND(AG31*366&gt;AG24,SUM(AG24:AG25)&gt;=AG31*366),(AG24*$T$7+(AG25-AH25)*$T$8)/(AG31*366),IF(AND(AG31*366&gt;AG25,AG25+AG28&gt;=AG31*366),(AG25*$T$8+(AG28-AH28)*$AE$7)/(AG31*366),IF(AND(AG20&gt;0,AG21&gt;0,AG31*366&gt;SUM(AG20:AG21)),(AG20*$I$7+AG21*$I$8)/SUM(AG20:AG21),IF(AND(AG21&gt;0,AG24&gt;0,AG31*366&gt;SUM(AG21:AG24)),(AG21*$I$8+AG24*$T$7)/SUM(AG21:AG24),IF(AND(AG24&gt;0,AG25&gt;0,AG31*366&gt;SUM(AG24:AG25)),(AG24*$T$7+AG25*$T$8)/SUM(AG24:AG25),IF(AND(AG25&gt;0,AG28&gt;0,AG31*366&gt;SUM(AG25:AG28)),(AG25*$T$8+AG28*$AE$7)/SUM(AG25:AG28),IF(AND(AG21&gt;0,AG31*366&gt;AG21),$I$8,IF(AND(AG24&gt;0,AG31*366&gt;AG24),$T$7,IF(AND(AG25&gt;0,AG31*366&gt;AG25),$T$8,IF(AND(AG28&gt;0,AG31*366&gt;AG28),$AE$7)))))))))))))))))))))</f>
        <v>2.0299999999999999E-2</v>
      </c>
      <c r="AH35" s="30">
        <f t="shared" si="36"/>
        <v>0</v>
      </c>
      <c r="AI35" s="30">
        <f t="shared" si="36"/>
        <v>0</v>
      </c>
      <c r="AJ35" s="30">
        <f t="shared" si="36"/>
        <v>0</v>
      </c>
      <c r="AK35" s="30">
        <f>IF(AK20&gt;=AK31*366,$I$7,IF(AND(AK20=0,AK21&gt;=AK31*366),$I$8,IF(AND(AK20+AK21=0,AK24&gt;=AK31*366),$T$7,IF(AND(SUM(AK20:AK21)+AK24=0,AK25&gt;=AK31*366),$T$8,IF(AND(SUM(AK20:AK21)+SUM(AK24:AK25)=0,AK28&gt;=AK31*366),$AE$7,IF(SUM(AK20:AK21)+SUM(AK24:AK25)+AK28=0,0,IF(AND(AK31*366&gt;SUM(AK20:AK21),SUM(AK20:AK21)+AK24&gt;=AK31*366),(AK20*$I$7+AK21*$I$8+(AK24-AL24)*$T$7)/(AK31*366),IF(AND(AK31*366&gt;AK21+AK24,AK21+SUM(AK24:AK25)&gt;=AK31*366),(AK21*$I$8+AK24*$T$7+(AK25-AL25)*$T$8)/(AK31*366),IF(AND(AK31*366&gt;SUM(AK24:AK25),SUM(AK24:AK25)+AK28&gt;=AK31*366),(AK24*$T$7+AK25*$T$8+(AK28-AL28)*$AE$7)/(AK31*366),IF(AND(AK31*366&gt;AK20,AK20+AK21&gt;=AK31*366),(AK20*$I$7+(AK21-AL21)*$I$8)/(AK31*366),IF(AND(AK31*366&gt;AK21,AK21+AK24&gt;=AK31*366),(AK21*$I$8+(AK24-AL24)*$T$7)/(AK31*366),IF(AND(AK31*366&gt;AK24,SUM(AK24:AK25)&gt;=AK31*366),(AK24*$T$7+(AK25-AL25)*$T$8)/(AK31*366),IF(AND(AK31*366&gt;AK25,AK25+AK28&gt;=AK31*366),(AK25*$T$8+(AK28-AL28)*$AE$7)/(AK31*366),IF(AND(AK20&gt;0,AK21&gt;0,AK31*366&gt;SUM(AK20:AK21)),(AK20*$I$7+AK21*$I$8)/SUM(AK20:AK21),IF(AND(AK21&gt;0,AK24&gt;0,AK31*366&gt;SUM(AK21:AK24)),(AK21*$I$8+AK24*$T$7)/SUM(AK21:AK24),IF(AND(AK24&gt;0,AK25&gt;0,AK31*366&gt;SUM(AK24:AK25)),(AK24*$T$7+AK25*$T$8)/SUM(AK24:AK25),IF(AND(AK25&gt;0,AK28&gt;0,AK31*366&gt;SUM(AK25:AK28)),(AK25*$T$8+AK28*$AE$7)/SUM(AK25:AK28),IF(AND(AK21&gt;0,AK31*366&gt;AK21),$I$8,IF(AND(AK24&gt;0,AK31*366&gt;AK24),$T$7,IF(AND(AK25&gt;0,AK31*366&gt;AK25),$T$8,IF(AND(AK28&gt;0,AK31*366&gt;AK28),$AE$7)))))))))))))))))))))</f>
        <v>0</v>
      </c>
      <c r="AL35" s="30">
        <f t="shared" ref="AL35" si="37">IF(AL20&gt;=AL31*365,$I$7,IF(AND(AL20=0,AL21&gt;=AL31*365),$I$8,IF(AND(AL20+AL21=0,AL24&gt;=AL31*365),$T$7,IF(AND(SUM(AL20:AL21)+AL24=0,AL25&gt;=AL31*365),$T$8,IF(AND(SUM(AL20:AL21)+SUM(AL24:AL25)=0,AL28&gt;=AL31*365),$AE$7,IF(SUM(AL20:AL21)+SUM(AL24:AL25)+AL28=0,0,IF(AND(AL31*365&gt;SUM(AL20:AL21),SUM(AL20:AL21)+AL24&gt;=AL31*365),(AL20*$I$7+AL21*$I$8+(AL24-AM24)*$T$7)/(AL31*365),IF(AND(AL31*365&gt;AL21+AL24,AL21+SUM(AL24:AL25)&gt;=AL31*365),(AL21*$I$8+AL24*$T$7+(AL25-AM25)*$T$8)/(AL31*365),IF(AND(AL31*365&gt;SUM(AL24:AL25),SUM(AL24:AL25)+AL28&gt;=AL31*365),(AL24*$T$7+AL25*$T$8+(AL28-AM28)*$AE$7)/(AL31*365),IF(AND(AL31*365&gt;AL20,AL20+AL21&gt;=AL31*365),(AL20*$I$7+(AL21-AM21)*$I$8)/(AL31*365),IF(AND(AL31*365&gt;AL21,AL21+AL24&gt;=AL31*365),(AL21*$I$8+(AL24-AM24)*$T$7)/(AL31*365),IF(AND(AL31*365&gt;AL24,SUM(AL24:AL25)&gt;=AL31*365),(AL24*$T$7+(AL25-AM25)*$T$8)/(AL31*365),IF(AND(AL31*365&gt;AL25,AL25+AL28&gt;=AL31*365),(AL25*$T$8+(AL28-AM28)*$AE$7)/(AL31*365),IF(AND(AL20&gt;0,AL21&gt;0,AL31*365&gt;SUM(AL20:AL21)),(AL20*$I$7+AL21*$I$8)/SUM(AL20:AL21),IF(AND(AL21&gt;0,AL24&gt;0,AL31*365&gt;SUM(AL21:AL24)),(AL21*$I$8+AL24*$T$7)/SUM(AL21:AL24),IF(AND(AL24&gt;0,AL25&gt;0,AL31*365&gt;SUM(AL24:AL25)),(AL24*$T$7+AL25*$T$8)/SUM(AL24:AL25),IF(AND(AL25&gt;0,AL28&gt;0,AL31*365&gt;SUM(AL25:AL28)),(AL25*$T$8+AL28*$AE$7)/SUM(AL25:AL28),IF(AND(AL21&gt;0,AL31*365&gt;AL21),$I$8,IF(AND(AL24&gt;0,AL31*365&gt;AL24),$T$7,IF(AND(AL25&gt;0,AL31*365&gt;AL25),$T$8,IF(AND(AL28&gt;0,AL31*365&gt;AL28),$AE$7)))))))))))))))))))))</f>
        <v>0</v>
      </c>
      <c r="AM35" s="13"/>
    </row>
    <row r="36" spans="2:39" x14ac:dyDescent="0.25">
      <c r="B36" t="s">
        <v>69</v>
      </c>
      <c r="C36" t="s">
        <v>70</v>
      </c>
      <c r="E36" s="19">
        <v>4.2099999999999999E-2</v>
      </c>
      <c r="F36" s="19">
        <v>4.2799999999999998E-2</v>
      </c>
      <c r="G36" s="19">
        <v>4.36E-2</v>
      </c>
      <c r="H36" s="19">
        <v>4.6100000000000002E-2</v>
      </c>
      <c r="I36" s="19">
        <v>4.5600000000000002E-2</v>
      </c>
      <c r="J36" s="19">
        <v>4.1799999999999997E-2</v>
      </c>
      <c r="K36" s="29">
        <f t="shared" si="33"/>
        <v>3.5839283514812768E-2</v>
      </c>
      <c r="L36" s="30">
        <v>4.2299999999999997E-2</v>
      </c>
      <c r="M36" s="30">
        <v>4.2299999999999997E-2</v>
      </c>
      <c r="N36" s="30">
        <v>4.2299999999999997E-2</v>
      </c>
      <c r="O36" s="30">
        <f>J8</f>
        <v>3.7600000000000001E-2</v>
      </c>
      <c r="P36" s="30">
        <f>IF(P20&gt;=P31*275,$J$7,IF(AND(P20=0,P21&gt;=P31*275),$J$8,IF(AND(P20+P21=0,P24&gt;=P31*275),$U$7,IF(AND(SUM(P20:P21)+P24=0,P25&gt;=P31*275),$U$8,IF(AND(SUM(P20:P21)+SUM(P24:P25)=0,P28&gt;=P31*275),$AF$7,IF(SUM(P20:P21)+SUM(P24:P25)+P28=0,0,IF(AND(P31*275&gt;SUM(P20:P21),SUM(P20:P21)+P24&gt;=P31*275),(P20*$J$7+P21*$J$8+(P24-Q24)*$U$7)/(P31*275),IF(AND(P31*275&gt;P21+P24,P21+SUM(P24:P25)&gt;=P31*275),(P21*$J$8+P24*$U$7+(P25-Q25)*$U$8)/(P31*275),IF(AND(P31*275&gt;SUM(P24:P25),SUM(P24:P25)+P28&gt;=P31*275),(P24*$U$7+P25*$U$8+(P28-Q28)*$AF$7)/(P31*275),IF(AND(P31*275&gt;P20,P20+P21&gt;=P31*275),(P20*$J$7+(P21-Q21)*$J$8)/(P31*275),IF(AND(P31*275&gt;P21,P21+P24&gt;=P31*275),(P21*$J$8+(P24-Q24)*$U$7)/(P31*275),IF(AND(P31*275&gt;P24,SUM(P24:P25)&gt;=P31*275),(P24*$U$7+(P25-Q25)*$U$8)/(P31*275),IF(AND(P31*275&gt;P25,P25+P28&gt;=P31*275),(P25*$U$8+(P28-Q28)*$AF$7)/(P31*275),IF(AND(P20&gt;0,P21&gt;0,P31*275&gt;SUM(P20:P21)),(P20*$J$7+P21*$J$8)/SUM(P20:P21),IF(AND(P21&gt;0,P24&gt;0,P31*275&gt;SUM(P21:P24)),(P21*$J$8+P24*$U$7)/SUM(P21:P24),IF(AND(P24&gt;0,P25&gt;0,P31*275&gt;SUM(P24:P25)),(P24*$U$7+P25*$U$8)/SUM(P24:P25),IF(AND(P25&gt;0,P28&gt;0,P31*275&gt;SUM(P25:P28)),(P25*$U$8+P28*$AF$7)/SUM(P25:P28),IF(AND(P21&gt;0,P31*275&gt;P21),$J$8,IF(AND(P24&gt;0,P31*275&gt;P24),$U$7,IF(AND(P25&gt;0,P31*275&gt;P25),$U$8,IF(AND(P28&gt;0,P31*275&gt;P28),$AF$7)))))))))))))))))))))</f>
        <v>3.7600000000000001E-2</v>
      </c>
      <c r="Q36" s="30">
        <f>IF(Q20&gt;=Q31*366,$J$7,IF(AND(Q20=0,Q21&gt;=Q31*366),$J$8,IF(AND(Q20+Q21=0,Q24&gt;=Q31*366),$U$7,IF(AND(SUM(Q20:Q21)+Q24=0,Q25&gt;=Q31*366),$U$8,IF(AND(SUM(Q20:Q21)+SUM(Q24:Q25)=0,Q28&gt;=Q31*366),$AF$7,IF(SUM(Q20:Q21)+SUM(Q24:Q25)+Q28=0,0,IF(AND(Q31*366&gt;SUM(Q20:Q21),SUM(Q20:Q21)+Q24&gt;=Q31*366),(Q20*$J$7+Q21*$J$8+(Q24-R24)*$U$7)/(Q31*366),IF(AND(Q31*366&gt;Q21+Q24,Q21+SUM(Q24:Q25)&gt;=Q31*366),(Q21*$J$8+Q24*$U$7+(Q25-R25)*$U$8)/(Q31*366),IF(AND(Q31*366&gt;SUM(Q24:Q25),SUM(Q24:Q25)+Q28&gt;=Q31*366),(Q24*$U$7+Q25*$U$8+(Q28-R28)*$AF$7)/(Q31*366),IF(AND(Q31*366&gt;Q20,Q20+Q21&gt;=Q31*366),(Q20*$J$7+(Q21-R21)*$J$8)/(Q31*366),IF(AND(Q31*366&gt;Q21,Q21+Q24&gt;=Q31*366),(Q21*$J$8+(Q24-R24)*$U$7)/(Q31*366),IF(AND(Q31*366&gt;Q24,SUM(Q24:Q25)&gt;=Q31*366),(Q24*$U$7+(Q25-R25)*$U$8)/(Q31*366),IF(AND(Q31*366&gt;Q25,Q25+Q28&gt;=Q31*366),(Q25*$U$8+(Q28-R28)*$AF$7)/(Q31*366),IF(AND(Q20&gt;0,Q21&gt;0,Q31*366&gt;SUM(Q20:Q21)),(Q20*$J$7+Q21*$J$8)/SUM(Q20:Q21),IF(AND(Q21&gt;0,Q24&gt;0,Q31*366&gt;SUM(Q21:Q24)),(Q21*$J$8+Q24*$U$7)/SUM(Q21:Q24),IF(AND(Q24&gt;0,Q25&gt;0,Q31*366&gt;SUM(Q24:Q25)),(Q24*$U$7+Q25*$U$8)/SUM(Q24:Q25),IF(AND(Q25&gt;0,Q28&gt;0,Q31*366&gt;SUM(Q25:Q28)),(Q25*$U$8+Q28*$AF$7)/SUM(Q25:Q28),IF(AND(Q21&gt;0,Q31*366&gt;Q21),$J$8,IF(AND(Q24&gt;0,Q31*366&gt;Q24),$U$7,IF(AND(Q25&gt;0,Q31*366&gt;Q25),$U$8,IF(AND(Q28&gt;0,Q31*366&gt;Q28),$AF$7)))))))))))))))))))))</f>
        <v>3.7600000000000001E-2</v>
      </c>
      <c r="R36" s="30">
        <f>IF(R20&gt;=R31*365,$J$7,IF(AND(R20=0,R21&gt;=R31*365),$J$8,IF(AND(R20+R21=0,R24&gt;=R31*365),$U$7,IF(AND(SUM(R20:R21)+R24=0,R25&gt;=R31*365),$U$8,IF(AND(SUM(R20:R21)+SUM(R24:R25)=0,R28&gt;=R31*365),$AF$7,IF(SUM(R20:R21)+SUM(R24:R25)+R28=0,0,IF(AND(R31*365&gt;SUM(R20:R21),SUM(R20:R21)+R24&gt;=R31*365),(R20*$J$7+R21*$J$8+(R24-S24)*$U$7)/(R31*365),IF(AND(R31*365&gt;R21+R24,R21+SUM(R24:R25)&gt;=R31*365),(R21*$J$8+R24*$U$7+(R25-S25)*$U$8)/(R31*365),IF(AND(R31*365&gt;SUM(R24:R25),SUM(R24:R25)+R28&gt;=R31*365),(R24*$U$7+R25*$U$8+(R28-S28)*$AF$7)/(R31*365),IF(AND(R31*365&gt;R20,R20+R21&gt;=R31*365),(R20*$J$7+(R21-S21)*$J$8)/(R31*365),IF(AND(R31*365&gt;R21,R21+R24&gt;=R31*365),(R21*$J$8+(R24-S24)*$U$7)/(R31*365),IF(AND(R31*365&gt;R24,SUM(R24:R25)&gt;=R31*365),(R24*$U$7+(R25-S25)*$U$8)/(R31*365),IF(AND(R31*365&gt;R25,R25+R28&gt;=R31*365),(R25*$U$8+(R28-S28)*$AF$7)/(R31*365),IF(AND(R20&gt;0,R21&gt;0,R31*365&gt;SUM(R20:R21)),(R20*$J$7+R21*$J$8)/SUM(R20:R21),IF(AND(R21&gt;0,R24&gt;0,R31*365&gt;SUM(R21:R24)),(R21*$J$8+R24*$U$7)/SUM(R21:R24),IF(AND(R24&gt;0,R25&gt;0,R31*365&gt;SUM(R24:R25)),(R24*$U$7+R25*$U$8)/SUM(R24:R25),IF(AND(R25&gt;0,R28&gt;0,R31*365&gt;SUM(R25:R28)),(R25*$U$8+R28*$AF$7)/SUM(R25:R28),IF(AND(R21&gt;0,R31*365&gt;R21),$J$8,IF(AND(R24&gt;0,R31*365&gt;R24),$U$7,IF(AND(R25&gt;0,R31*365&gt;R25),$U$8,IF(AND(R28&gt;0,R31*365&gt;R28),$AF$7)))))))))))))))))))))</f>
        <v>3.7600000000000001E-2</v>
      </c>
      <c r="S36" s="30">
        <f t="shared" ref="S36:AJ36" si="38">IF(S20&gt;=S31*365,$J$7,IF(AND(S20=0,S21&gt;=S31*365),$J$8,IF(AND(S20+S21=0,S24&gt;=S31*365),$U$7,IF(AND(SUM(S20:S21)+S24=0,S25&gt;=S31*365),$U$8,IF(AND(SUM(S20:S21)+SUM(S24:S25)=0,S28&gt;=S31*365),$AF$7,IF(SUM(S20:S21)+SUM(S24:S25)+S28=0,0,IF(AND(S31*365&gt;SUM(S20:S21),SUM(S20:S21)+S24&gt;=S31*365),(S20*$J$7+S21*$J$8+(S24-T24)*$U$7)/(S31*365),IF(AND(S31*365&gt;S21+S24,S21+SUM(S24:S25)&gt;=S31*365),(S21*$J$8+S24*$U$7+(S25-T25)*$U$8)/(S31*365),IF(AND(S31*365&gt;SUM(S24:S25),SUM(S24:S25)+S28&gt;=S31*365),(S24*$U$7+S25*$U$8+(S28-T28)*$AF$7)/(S31*365),IF(AND(S31*365&gt;S20,S20+S21&gt;=S31*365),(S20*$J$7+(S21-T21)*$J$8)/(S31*365),IF(AND(S31*365&gt;S21,S21+S24&gt;=S31*365),(S21*$J$8+(S24-T24)*$U$7)/(S31*365),IF(AND(S31*365&gt;S24,SUM(S24:S25)&gt;=S31*365),(S24*$U$7+(S25-T25)*$U$8)/(S31*365),IF(AND(S31*365&gt;S25,S25+S28&gt;=S31*365),(S25*$U$8+(S28-T28)*$AF$7)/(S31*365),IF(AND(S20&gt;0,S21&gt;0,S31*365&gt;SUM(S20:S21)),(S20*$J$7+S21*$J$8)/SUM(S20:S21),IF(AND(S21&gt;0,S24&gt;0,S31*365&gt;SUM(S21:S24)),(S21*$J$8+S24*$U$7)/SUM(S21:S24),IF(AND(S24&gt;0,S25&gt;0,S31*365&gt;SUM(S24:S25)),(S24*$U$7+S25*$U$8)/SUM(S24:S25),IF(AND(S25&gt;0,S28&gt;0,S31*365&gt;SUM(S25:S28)),(S25*$U$8+S28*$AF$7)/SUM(S25:S28),IF(AND(S21&gt;0,S31*365&gt;S21),$J$8,IF(AND(S24&gt;0,S31*365&gt;S24),$U$7,IF(AND(S25&gt;0,S31*365&gt;S25),$U$8,IF(AND(S28&gt;0,S31*365&gt;S28),$AF$7)))))))))))))))))))))</f>
        <v>3.7600000000000001E-2</v>
      </c>
      <c r="T36" s="30">
        <f t="shared" si="38"/>
        <v>3.7423327653638046E-2</v>
      </c>
      <c r="U36" s="30">
        <f>IF(U20&gt;=U31*36,$J$7,IF(AND(U20=0,U21&gt;=U31*366),$J$8,IF(AND(U20+U21=0,U24&gt;=U31*366),$U$7,IF(AND(SUM(U20:U21)+U24=0,U25&gt;=U31*366),$U$8,IF(AND(SUM(U20:U21)+SUM(U24:U25)=0,U28&gt;=U31*366),$AF$7,IF(SUM(U20:U21)+SUM(U24:U25)+U28=0,0,IF(AND(U31*366&gt;SUM(U20:U21),SUM(U20:U21)+U24&gt;=U31*366),(U20*$J$7+U21*$J$8+(U24-V24)*$U$7)/(U31*366),IF(AND(U31*366&gt;U21+U24,U21+SUM(U24:U25)&gt;=U31*366),(U21*$J$8+U24*$U$7+(U25-V25)*$U$8)/(U31*366),IF(AND(U31*366&gt;SUM(U24:U25),SUM(U24:U25)+U28&gt;=U31*366),(U24*$U$7+U25*$U$8+(U28-V28)*$AF$7)/(U31*366),IF(AND(U31*366&gt;U20,U20+U21&gt;=U31*366),(U20*$J$7+(U21-V21)*$J$8)/(U31*366),IF(AND(U31*366&gt;U21,U21+U24&gt;=U31*366),(U21*$J$8+(U24-V24)*$U$7)/(U31*366),IF(AND(U31*366&gt;U24,SUM(U24:U25)&gt;=U31*366),(U24*$U$7+(U25-V25)*$U$8)/(U31*366),IF(AND(U31*366&gt;U25,U25+U28&gt;=U31*366),(U25*$U$8+(U28-V28)*$AF$7)/(U31*366),IF(AND(U20&gt;0,U21&gt;0,U31*366&gt;SUM(U20:U21)),(U20*$J$7+U21*$J$8)/SUM(U20:U21),IF(AND(U21&gt;0,U24&gt;0,U31*366&gt;SUM(U21:U24)),(U21*$J$8+U24*$U$7)/SUM(U21:U24),IF(AND(U24&gt;0,U25&gt;0,U31*366&gt;SUM(U24:U25)),(U24*$U$7+U25*$U$8)/SUM(U24:U25),IF(AND(U25&gt;0,U28&gt;0,U31*366&gt;SUM(U25:U28)),(U25*$U$8+U28*$AF$7)/SUM(U25:U28),IF(AND(U21&gt;0,U31*366&gt;U21),$J$8,IF(AND(U24&gt;0,U31*366&gt;U24),$U$7,IF(AND(U25&gt;0,U31*366&gt;U25),$U$8,IF(AND(U28&gt;0,U31*366&gt;U28),$AF$7)))))))))))))))))))))</f>
        <v>3.2399999999999998E-2</v>
      </c>
      <c r="V36" s="30">
        <f t="shared" si="38"/>
        <v>3.1392774673378782E-2</v>
      </c>
      <c r="W36" s="30">
        <f t="shared" si="38"/>
        <v>3.09E-2</v>
      </c>
      <c r="X36" s="30">
        <f t="shared" si="38"/>
        <v>3.09E-2</v>
      </c>
      <c r="Y36" s="30">
        <f>IF(Y20&gt;=Y31*366,$J$7,IF(AND(Y20=0,Y21&gt;=Y31*366),$J$8,IF(AND(Y20+Y21=0,Y24&gt;=Y31*366),$U$7,IF(AND(SUM(Y20:Y21)+Y24=0,Y25&gt;=Y31*366),$U$8,IF(AND(SUM(Y20:Y21)+SUM(Y24:Y25)=0,Y28&gt;=Y31*366),$AF$7,IF(SUM(Y20:Y21)+SUM(Y24:Y25)+Y28=0,0,IF(AND(Y31*366&gt;SUM(Y20:Y21),SUM(Y20:Y21)+Y24&gt;=Y31*366),(Y20*$J$7+Y21*$J$8+(Y24-Z24)*$U$7)/(Y31*366),IF(AND(Y31*366&gt;Y21+Y24,Y21+SUM(Y24:Y25)&gt;=Y31*366),(Y21*$J$8+Y24*$U$7+(Y25-Z25)*$U$8)/(Y31*366),IF(AND(Y31*366&gt;SUM(Y24:Y25),SUM(Y24:Y25)+Y28&gt;=Y31*366),(Y24*$U$7+Y25*$U$8+(Y28-Z28)*$AF$7)/(Y31*366),IF(AND(Y31*366&gt;Y20,Y20+Y21&gt;=Y31*366),(Y20*$J$7+(Y21-Z21)*$J$8)/(Y31*366),IF(AND(Y31*366&gt;Y21,Y21+Y24&gt;=Y31*366),(Y21*$J$8+(Y24-Z24)*$U$7)/(Y31*366),IF(AND(Y31*366&gt;Y24,SUM(Y24:Y25)&gt;=Y31*366),(Y24*$U$7+(Y25-Z25)*$U$8)/(Y31*366),IF(AND(Y31*366&gt;Y25,Y25+Y28&gt;=Y31*366),(Y25*$U$8+(Y28-Z28)*$AF$7)/(Y31*366),IF(AND(Y20&gt;0,Y21&gt;0,Y31*366&gt;SUM(Y20:Y21)),(Y20*$J$7+Y21*$J$8)/SUM(Y20:Y21),IF(AND(Y21&gt;0,Y24&gt;0,Y31*366&gt;SUM(Y21:Y24)),(Y21*$J$8+Y24*$U$7)/SUM(Y21:Y24),IF(AND(Y24&gt;0,Y25&gt;0,Y31*366&gt;SUM(Y24:Y25)),(Y24*$U$7+Y25*$U$8)/SUM(Y24:Y25),IF(AND(Y25&gt;0,Y28&gt;0,Y31*366&gt;SUM(Y25:Y28)),(Y25*$U$8+Y28*$AF$7)/SUM(Y25:Y28),IF(AND(Y21&gt;0,Y31*366&gt;Y21),$J$8,IF(AND(Y24&gt;0,Y31*366&gt;Y24),$U$7,IF(AND(Y25&gt;0,Y31*366&gt;Y25),$U$8,IF(AND(Y28&gt;0,Y31*366&gt;Y28),$AF$7)))))))))))))))))))))</f>
        <v>3.09E-2</v>
      </c>
      <c r="Z36" s="30">
        <f t="shared" si="38"/>
        <v>3.4648134998863878E-2</v>
      </c>
      <c r="AA36" s="30">
        <f t="shared" si="38"/>
        <v>3.5000000000000003E-2</v>
      </c>
      <c r="AB36" s="30">
        <f t="shared" si="38"/>
        <v>3.5000000000000003E-2</v>
      </c>
      <c r="AC36" s="30">
        <f>IF(AC20&gt;=AC31*366,$J$7,IF(AND(AC20=0,AC21&gt;=AC31*366),$J$8,IF(AND(AC20+AC21=0,AC24&gt;=AC31*366),$U$7,IF(AND(SUM(AC20:AC21)+AC24=0,AC25&gt;=AC31*366),$U$8,IF(AND(SUM(AC20:AC21)+SUM(AC24:AC25)=0,AC28&gt;=AC31*366),$AF$7,IF(SUM(AC20:AC21)+SUM(AC24:AC25)+AC28=0,0,IF(AND(AC31*366&gt;SUM(AC20:AC21),SUM(AC20:AC21)+AC24&gt;=AC31*366),(AC20*$J$7+AC21*$J$8+(AC24-AD24)*$U$7)/(AC31*366),IF(AND(AC31*366&gt;AC21+AC24,AC21+SUM(AC24:AC25)&gt;=AC31*366),(AC21*$J$8+AC24*$U$7+(AC25-AD25)*$U$8)/(AC31*366),IF(AND(AC31*366&gt;SUM(AC24:AC25),SUM(AC24:AC25)+AC28&gt;=AC31*366),(AC24*$U$7+AC25*$U$8+(AC28-AD28)*$AF$7)/(AC31*366),IF(AND(AC31*366&gt;AC20,AC20+AC21&gt;=AC31*366),(AC20*$J$7+(AC21-AD21)*$J$8)/(AC31*366),IF(AND(AC31*366&gt;AC21,AC21+AC24&gt;=AC31*366),(AC21*$J$8+(AC24-AD24)*$U$7)/(AC31*366),IF(AND(AC31*366&gt;AC24,SUM(AC24:AC25)&gt;=AC31*366),(AC24*$U$7+(AC25-AD25)*$U$8)/(AC31*366),IF(AND(AC31*366&gt;AC25,AC25+AC28&gt;=AC31*366),(AC25*$U$8+(AC28-AD28)*$AF$7)/(AC31*366),IF(AND(AC20&gt;0,AC21&gt;0,AC31*366&gt;SUM(AC20:AC21)),(AC20*$J$7+AC21*$J$8)/SUM(AC20:AC21),IF(AND(AC21&gt;0,AC24&gt;0,AC31*366&gt;SUM(AC21:AC24)),(AC21*$J$8+AC24*$U$7)/SUM(AC21:AC24),IF(AND(AC24&gt;0,AC25&gt;0,AC31*366&gt;SUM(AC24:AC25)),(AC24*$U$7+AC25*$U$8)/SUM(AC24:AC25),IF(AND(AC25&gt;0,AC28&gt;0,AC31*366&gt;SUM(AC25:AC28)),(AC25*$U$8+AC28*$AF$7)/SUM(AC25:AC28),IF(AND(AC21&gt;0,AC31*366&gt;AC21),$J$8,IF(AND(AC24&gt;0,AC31*366&gt;AC24),$U$7,IF(AND(AC25&gt;0,AC31*366&gt;AC25),$U$8,IF(AND(AC28&gt;0,AC31*366&gt;AC28),$AF$7)))))))))))))))))))))</f>
        <v>3.5000000000000003E-2</v>
      </c>
      <c r="AD36" s="30">
        <f t="shared" si="38"/>
        <v>3.5000000000000003E-2</v>
      </c>
      <c r="AE36" s="30">
        <f t="shared" si="38"/>
        <v>3.5000000000000003E-2</v>
      </c>
      <c r="AF36" s="30">
        <f t="shared" si="38"/>
        <v>3.5000000000000003E-2</v>
      </c>
      <c r="AG36" s="30">
        <f>IF(AG20&gt;=AG31*366,$J$7,IF(AND(AG20=0,AG21&gt;=AG31*366),$J$8,IF(AND(AG20+AG21=0,AG24&gt;=AG31*366),$U$7,IF(AND(SUM(AG20:AG21)+AG24=0,AG25&gt;=AG31*366),$U$8,IF(AND(SUM(AG20:AG21)+SUM(AG24:AG25)=0,AG28&gt;=AG31*366),$AF$7,IF(SUM(AG20:AG21)+SUM(AG24:AG25)+AG28=0,0,IF(AND(AG31*366&gt;SUM(AG20:AG21),SUM(AG20:AG21)+AG24&gt;=AG31*366),(AG20*$J$7+AG21*$J$8+(AG24-AH24)*$U$7)/(AG31*366),IF(AND(AG31*366&gt;AG21+AG24,AG21+SUM(AG24:AG25)&gt;=AG31*366),(AG21*$J$8+AG24*$U$7+(AG25-AH25)*$U$8)/(AG31*366),IF(AND(AG31*366&gt;SUM(AG24:AG25),SUM(AG24:AG25)+AG28&gt;=AG31*366),(AG24*$U$7+AG25*$U$8+(AG28-AH28)*$AF$7)/(AG31*366),IF(AND(AG31*366&gt;AG20,AG20+AG21&gt;=AG31*366),(AG20*$J$7+(AG21-AH21)*$J$8)/(AG31*366),IF(AND(AG31*366&gt;AG21,AG21+AG24&gt;=AG31*366),(AG21*$J$8+(AG24-AH24)*$U$7)/(AG31*366),IF(AND(AG31*366&gt;AG24,SUM(AG24:AG25)&gt;=AG31*366),(AG24*$U$7+(AG25-AH25)*$U$8)/(AG31*366),IF(AND(AG31*366&gt;AG25,AG25+AG28&gt;=AG31*366),(AG25*$U$8+(AG28-AH28)*$AF$7)/(AG31*366),IF(AND(AG20&gt;0,AG21&gt;0,AG31*366&gt;SUM(AG20:AG21)),(AG20*$J$7+AG21*$J$8)/SUM(AG20:AG21),IF(AND(AG21&gt;0,AG24&gt;0,AG31*366&gt;SUM(AG21:AG24)),(AG21*$J$8+AG24*$U$7)/SUM(AG21:AG24),IF(AND(AG24&gt;0,AG25&gt;0,AG31*366&gt;SUM(AG24:AG25)),(AG24*$U$7+AG25*$U$8)/SUM(AG24:AG25),IF(AND(AG25&gt;0,AG28&gt;0,AG31*366&gt;SUM(AG25:AG28)),(AG25*$U$8+AG28*$AF$7)/SUM(AG25:AG28),IF(AND(AG21&gt;0,AG31*366&gt;AG21),$J$8,IF(AND(AG24&gt;0,AG31*366&gt;AG24),$U$7,IF(AND(AG25&gt;0,AG31*366&gt;AG25),$U$8,IF(AND(AG28&gt;0,AG31*366&gt;AG28),$AF$7)))))))))))))))))))))</f>
        <v>3.5000000000000003E-2</v>
      </c>
      <c r="AH36" s="30">
        <f t="shared" si="38"/>
        <v>0</v>
      </c>
      <c r="AI36" s="30">
        <f t="shared" si="38"/>
        <v>0</v>
      </c>
      <c r="AJ36" s="30">
        <f t="shared" si="38"/>
        <v>0</v>
      </c>
      <c r="AK36" s="30">
        <f>IF(AK20&gt;=AK31*366,$J$7,IF(AND(AK20=0,AK21&gt;=AK31*366),$J$8,IF(AND(AK20+AK21=0,AK24&gt;=AK31*366),$U$7,IF(AND(SUM(AK20:AK21)+AK24=0,AK25&gt;=AK31*366),$U$8,IF(AND(SUM(AK20:AK21)+SUM(AK24:AK25)=0,AK28&gt;=AK31*366),$AF$7,IF(SUM(AK20:AK21)+SUM(AK24:AK25)+AK28=0,0,IF(AND(AK31*366&gt;SUM(AK20:AK21),SUM(AK20:AK21)+AK24&gt;=AK31*366),(AK20*$J$7+AK21*$J$8+(AK24-AL24)*$U$7)/(AK31*366),IF(AND(AK31*366&gt;AK21+AK24,AK21+SUM(AK24:AK25)&gt;=AK31*366),(AK21*$J$8+AK24*$U$7+(AK25-AL25)*$U$8)/(AK31*366),IF(AND(AK31*366&gt;SUM(AK24:AK25),SUM(AK24:AK25)+AK28&gt;=AK31*366),(AK24*$U$7+AK25*$U$8+(AK28-AL28)*$AF$7)/(AK31*366),IF(AND(AK31*366&gt;AK20,AK20+AK21&gt;=AK31*366),(AK20*$J$7+(AK21-AL21)*$J$8)/(AK31*366),IF(AND(AK31*366&gt;AK21,AK21+AK24&gt;=AK31*366),(AK21*$J$8+(AK24-AL24)*$U$7)/(AK31*366),IF(AND(AK31*366&gt;AK24,SUM(AK24:AK25)&gt;=AK31*366),(AK24*$U$7+(AK25-AL25)*$U$8)/(AK31*366),IF(AND(AK31*366&gt;AK25,AK25+AK28&gt;=AK31*366),(AK25*$U$8+(AK28-AL28)*$AF$7)/(AK31*366),IF(AND(AK20&gt;0,AK21&gt;0,AK31*366&gt;SUM(AK20:AK21)),(AK20*$J$7+AK21*$J$8)/SUM(AK20:AK21),IF(AND(AK21&gt;0,AK24&gt;0,AK31*366&gt;SUM(AK21:AK24)),(AK21*$J$8+AK24*$U$7)/SUM(AK21:AK24),IF(AND(AK24&gt;0,AK25&gt;0,AK31*366&gt;SUM(AK24:AK25)),(AK24*$U$7+AK25*$U$8)/SUM(AK24:AK25),IF(AND(AK25&gt;0,AK28&gt;0,AK31*366&gt;SUM(AK25:AK28)),(AK25*$U$8+AK28*$AF$7)/SUM(AK25:AK28),IF(AND(AK21&gt;0,AK31*366&gt;AK21),$J$8,IF(AND(AK24&gt;0,AK31*366&gt;AK24),$U$7,IF(AND(AK25&gt;0,AK31*366&gt;AK25),$U$8,IF(AND(AK28&gt;0,AK31*366&gt;AK28),$AF$7)))))))))))))))))))))</f>
        <v>0</v>
      </c>
      <c r="AL36" s="30">
        <f t="shared" ref="AL36" si="39">IF(AL20&gt;=AL31*365,$J$7,IF(AND(AL20=0,AL21&gt;=AL31*365),$J$8,IF(AND(AL20+AL21=0,AL24&gt;=AL31*365),$U$7,IF(AND(SUM(AL20:AL21)+AL24=0,AL25&gt;=AL31*365),$U$8,IF(AND(SUM(AL20:AL21)+SUM(AL24:AL25)=0,AL28&gt;=AL31*365),$AF$7,IF(SUM(AL20:AL21)+SUM(AL24:AL25)+AL28=0,0,IF(AND(AL31*365&gt;SUM(AL20:AL21),SUM(AL20:AL21)+AL24&gt;=AL31*365),(AL20*$J$7+AL21*$J$8+(AL24-AM24)*$U$7)/(AL31*365),IF(AND(AL31*365&gt;AL21+AL24,AL21+SUM(AL24:AL25)&gt;=AL31*365),(AL21*$J$8+AL24*$U$7+(AL25-AM25)*$U$8)/(AL31*365),IF(AND(AL31*365&gt;SUM(AL24:AL25),SUM(AL24:AL25)+AL28&gt;=AL31*365),(AL24*$U$7+AL25*$U$8+(AL28-AM28)*$AF$7)/(AL31*365),IF(AND(AL31*365&gt;AL20,AL20+AL21&gt;=AL31*365),(AL20*$J$7+(AL21-AM21)*$J$8)/(AL31*365),IF(AND(AL31*365&gt;AL21,AL21+AL24&gt;=AL31*365),(AL21*$J$8+(AL24-AM24)*$U$7)/(AL31*365),IF(AND(AL31*365&gt;AL24,SUM(AL24:AL25)&gt;=AL31*365),(AL24*$U$7+(AL25-AM25)*$U$8)/(AL31*365),IF(AND(AL31*365&gt;AL25,AL25+AL28&gt;=AL31*365),(AL25*$U$8+(AL28-AM28)*$AF$7)/(AL31*365),IF(AND(AL20&gt;0,AL21&gt;0,AL31*365&gt;SUM(AL20:AL21)),(AL20*$J$7+AL21*$J$8)/SUM(AL20:AL21),IF(AND(AL21&gt;0,AL24&gt;0,AL31*365&gt;SUM(AL21:AL24)),(AL21*$J$8+AL24*$U$7)/SUM(AL21:AL24),IF(AND(AL24&gt;0,AL25&gt;0,AL31*365&gt;SUM(AL24:AL25)),(AL24*$U$7+AL25*$U$8)/SUM(AL24:AL25),IF(AND(AL25&gt;0,AL28&gt;0,AL31*365&gt;SUM(AL25:AL28)),(AL25*$U$8+AL28*$AF$7)/SUM(AL25:AL28),IF(AND(AL21&gt;0,AL31*365&gt;AL21),$J$8,IF(AND(AL24&gt;0,AL31*365&gt;AL24),$U$7,IF(AND(AL25&gt;0,AL31*365&gt;AL25),$U$8,IF(AND(AL28&gt;0,AL31*365&gt;AL28),$AF$7)))))))))))))))))))))</f>
        <v>0</v>
      </c>
      <c r="AM36" s="13"/>
    </row>
    <row r="37" spans="2:39" x14ac:dyDescent="0.25">
      <c r="K37" s="2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2:39" ht="15.75" thickBot="1" x14ac:dyDescent="0.3">
      <c r="B38" s="14" t="s">
        <v>82</v>
      </c>
      <c r="K38" s="2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2:39" x14ac:dyDescent="0.25">
      <c r="B39" t="s">
        <v>83</v>
      </c>
      <c r="C39" t="s">
        <v>84</v>
      </c>
      <c r="E39" s="6">
        <f>E32*E33/Auxiliary!$C$4</f>
        <v>1124005.017985642</v>
      </c>
      <c r="F39" s="6">
        <f>F32*F33/Auxiliary!$C$4</f>
        <v>1083181.1252689282</v>
      </c>
      <c r="G39" s="6">
        <f>G32*G33/Auxiliary!$C$4</f>
        <v>1127406.5026711097</v>
      </c>
      <c r="H39" s="6">
        <f>H32*H33/Auxiliary!$C$4</f>
        <v>1180684.2121264078</v>
      </c>
      <c r="I39" s="6">
        <f>I32*I33/Auxiliary!$C$4</f>
        <v>1318926.6352371257</v>
      </c>
      <c r="J39" s="6">
        <f>J32*J33/Auxiliary!$C$4</f>
        <v>379349.42372744647</v>
      </c>
      <c r="K39" s="15">
        <f>SUM(L39:AM39)</f>
        <v>29697946.243745979</v>
      </c>
      <c r="L39" s="16">
        <f>L33*L32/Auxiliary!$C$4</f>
        <v>363852.24946942268</v>
      </c>
      <c r="M39" s="16">
        <f>M33*M32/Auxiliary!$C$4</f>
        <v>291081.79957553814</v>
      </c>
      <c r="N39" s="16">
        <f>N33*N32/Auxiliary!$C$4</f>
        <v>291081.79957553814</v>
      </c>
      <c r="O39" s="16">
        <f>O33*O32/Auxiliary!$C$4</f>
        <v>348940.21577977639</v>
      </c>
      <c r="P39" s="16">
        <f>P33*P32/Auxiliary!$C$4</f>
        <v>1066206.2148826502</v>
      </c>
      <c r="Q39" s="16">
        <f>Q33*Q32/Auxiliary!$C$4</f>
        <v>1419023.5441710907</v>
      </c>
      <c r="R39" s="16">
        <f>R33*R32/Auxiliary!$C$4</f>
        <v>1415146.4306624269</v>
      </c>
      <c r="S39" s="16">
        <f>S33*S32/Auxiliary!$C$4</f>
        <v>1415146.4306624269</v>
      </c>
      <c r="T39" s="16">
        <f>T33*T32/Auxiliary!$C$4</f>
        <v>1423256.350414309</v>
      </c>
      <c r="U39" s="16">
        <f>U33*U32/Auxiliary!$C$4</f>
        <v>1658376.9130674193</v>
      </c>
      <c r="V39" s="16">
        <f>V33*V32/Auxiliary!$C$4</f>
        <v>1482114.3435644254</v>
      </c>
      <c r="W39" s="16">
        <f>W33*W32/Auxiliary!$C$4</f>
        <v>1398096.4736664938</v>
      </c>
      <c r="X39" s="16">
        <f>X33*X32/Auxiliary!$C$4</f>
        <v>1398096.4736664938</v>
      </c>
      <c r="Y39" s="16">
        <f>Y33*Y32/Auxiliary!$C$4</f>
        <v>1401926.8749642102</v>
      </c>
      <c r="Z39" s="16">
        <f>Z33*Z32/Auxiliary!$C$4</f>
        <v>1928044.8586786212</v>
      </c>
      <c r="AA39" s="16">
        <f>AA33*AA32/Auxiliary!$C$4</f>
        <v>1977795.0115282109</v>
      </c>
      <c r="AB39" s="16">
        <f>AB33*AB32/Auxiliary!$C$4</f>
        <v>1977795.0115282109</v>
      </c>
      <c r="AC39" s="16">
        <f>AC33*AC32/Auxiliary!$C$4</f>
        <v>1983213.6279981509</v>
      </c>
      <c r="AD39" s="16">
        <f>AD33*AD32/Auxiliary!$C$4</f>
        <v>1977795.0115282109</v>
      </c>
      <c r="AE39" s="16">
        <f>AE33*AE32/Auxiliary!$C$4</f>
        <v>1977795.0115282109</v>
      </c>
      <c r="AF39" s="16">
        <f>AF33*AF32/Auxiliary!$C$4</f>
        <v>1977795.0115282109</v>
      </c>
      <c r="AG39" s="16">
        <f>AG33*AG32/Auxiliary!$C$4</f>
        <v>525366.58530592662</v>
      </c>
      <c r="AH39" s="16">
        <f>AH33*AH32/Auxiliary!$C$4</f>
        <v>0</v>
      </c>
      <c r="AI39" s="16">
        <f>AI33*AI32/Auxiliary!$C$4</f>
        <v>0</v>
      </c>
      <c r="AJ39" s="16">
        <f>AJ33*AJ32/Auxiliary!$C$4</f>
        <v>0</v>
      </c>
      <c r="AK39" s="16">
        <f>AK33*AK32/Auxiliary!$C$4</f>
        <v>0</v>
      </c>
      <c r="AL39" s="16">
        <f>AL33*AL32/Auxiliary!$C$4</f>
        <v>0</v>
      </c>
      <c r="AM39" s="13"/>
    </row>
    <row r="40" spans="2:39" x14ac:dyDescent="0.25">
      <c r="B40" t="s">
        <v>85</v>
      </c>
      <c r="C40" t="s">
        <v>84</v>
      </c>
      <c r="E40" s="6"/>
      <c r="F40" s="6"/>
      <c r="G40" s="6"/>
      <c r="H40" s="6">
        <f>H32*H34/Auxiliary!$C$4</f>
        <v>6723.3406523864878</v>
      </c>
      <c r="I40" s="6">
        <f>I32*I34/Auxiliary!$C$4</f>
        <v>8503.6059377130478</v>
      </c>
      <c r="J40" s="6">
        <f>J32*J34/Auxiliary!$C$4</f>
        <v>681.97649209428573</v>
      </c>
      <c r="K40" s="15">
        <f t="shared" ref="K40:K42" si="40">SUM(L40:AM40)</f>
        <v>114447.90635109966</v>
      </c>
      <c r="L40" s="16">
        <f>L34*L32/Auxiliary!$C$4</f>
        <v>1172.0181712933133</v>
      </c>
      <c r="M40" s="16">
        <f>M34*M32/Auxiliary!$C$4</f>
        <v>813.31679293165064</v>
      </c>
      <c r="N40" s="16">
        <f>N34*N32/Auxiliary!$C$4</f>
        <v>813.31679293165064</v>
      </c>
      <c r="O40" s="16">
        <f>O34*O32/Auxiliary!$C$4</f>
        <v>798.77880720671715</v>
      </c>
      <c r="P40" s="16">
        <f>P34*P32/Auxiliary!$C$4</f>
        <v>2440.7130220205249</v>
      </c>
      <c r="Q40" s="16">
        <f>Q34*Q32/Auxiliary!$C$4</f>
        <v>3248.3671493073161</v>
      </c>
      <c r="R40" s="16">
        <f>R34*R32/Auxiliary!$C$4</f>
        <v>3239.4918292272419</v>
      </c>
      <c r="S40" s="16">
        <f>S34*S32/Auxiliary!$C$4</f>
        <v>3239.4918292272419</v>
      </c>
      <c r="T40" s="16">
        <f>T34*T32/Auxiliary!$C$4</f>
        <v>3326.383826568835</v>
      </c>
      <c r="U40" s="16">
        <f>U34*U32/Auxiliary!$C$4</f>
        <v>5812.8675303394084</v>
      </c>
      <c r="V40" s="16">
        <f>V34*V32/Auxiliary!$C$4</f>
        <v>4652.1088116767596</v>
      </c>
      <c r="W40" s="16">
        <f>W34*W32/Auxiliary!$C$4</f>
        <v>4091.9896790238845</v>
      </c>
      <c r="X40" s="16">
        <f>X34*X32/Auxiliary!$C$4</f>
        <v>4091.9896790238845</v>
      </c>
      <c r="Y40" s="16">
        <f>Y34*Y32/Auxiliary!$C$4</f>
        <v>4103.2006096513469</v>
      </c>
      <c r="Z40" s="16">
        <f>Z34*Z32/Auxiliary!$C$4</f>
        <v>9547.3407012075531</v>
      </c>
      <c r="AA40" s="16">
        <f>AA34*AA32/Auxiliary!$C$4</f>
        <v>10059.474627600383</v>
      </c>
      <c r="AB40" s="16">
        <f>AB34*AB32/Auxiliary!$C$4</f>
        <v>10059.474627600383</v>
      </c>
      <c r="AC40" s="16">
        <f>AC34*AC32/Auxiliary!$C$4</f>
        <v>10087.034832059562</v>
      </c>
      <c r="AD40" s="16">
        <f>AD34*AD32/Auxiliary!$C$4</f>
        <v>10059.474627600383</v>
      </c>
      <c r="AE40" s="16">
        <f>AE34*AE32/Auxiliary!$C$4</f>
        <v>10059.474627600383</v>
      </c>
      <c r="AF40" s="16">
        <f>AF34*AF32/Auxiliary!$C$4</f>
        <v>10059.474627600383</v>
      </c>
      <c r="AG40" s="16">
        <f>AG34*AG32/Auxiliary!$C$4</f>
        <v>2672.1231494008334</v>
      </c>
      <c r="AH40" s="16">
        <f>AH34*AH32/Auxiliary!$C$4</f>
        <v>0</v>
      </c>
      <c r="AI40" s="16">
        <f>AI34*AI32/Auxiliary!$C$4</f>
        <v>0</v>
      </c>
      <c r="AJ40" s="16">
        <f>AJ34*AJ32/Auxiliary!$C$4</f>
        <v>0</v>
      </c>
      <c r="AK40" s="16">
        <f>AK34*AK32/Auxiliary!$C$4</f>
        <v>0</v>
      </c>
      <c r="AL40" s="16">
        <f>AL34*AL32/Auxiliary!$C$4</f>
        <v>0</v>
      </c>
      <c r="AM40" s="13"/>
    </row>
    <row r="41" spans="2:39" x14ac:dyDescent="0.25">
      <c r="B41" t="s">
        <v>88</v>
      </c>
      <c r="C41" t="s">
        <v>89</v>
      </c>
      <c r="E41" s="6">
        <f>E32*E35*Auxiliary!$C$6</f>
        <v>32815107.510555889</v>
      </c>
      <c r="F41" s="6">
        <f>F32*F35*Auxiliary!$C$6</f>
        <v>30889083.491969816</v>
      </c>
      <c r="G41" s="6">
        <f>G32*G35*Auxiliary!$C$6</f>
        <v>31860214.905910049</v>
      </c>
      <c r="H41" s="6">
        <f>H32*H35*Auxiliary!$C$6</f>
        <v>33733834.603894204</v>
      </c>
      <c r="I41" s="6">
        <f>I32*I35*Auxiliary!$C$6</f>
        <v>37604284.185150973</v>
      </c>
      <c r="J41" s="6">
        <f>J32*J35*Auxiliary!$C$6</f>
        <v>10375785.192447739</v>
      </c>
      <c r="K41" s="15">
        <f t="shared" si="40"/>
        <v>443485312.22275144</v>
      </c>
      <c r="L41" s="16">
        <f>L35*L32*Auxiliary!$C$6</f>
        <v>8218780.2164171208</v>
      </c>
      <c r="M41" s="16">
        <f>M35*M32*Auxiliary!$C$6</f>
        <v>8659072.0137251802</v>
      </c>
      <c r="N41" s="16">
        <f>N35*N32*Auxiliary!$C$6</f>
        <v>8659072.0137251802</v>
      </c>
      <c r="O41" s="16">
        <f>O35*O32*Auxiliary!$C$6</f>
        <v>7351167.3624144914</v>
      </c>
      <c r="P41" s="16">
        <f>P35*P32*Auxiliary!$C$6</f>
        <v>22461900.274044279</v>
      </c>
      <c r="Q41" s="16">
        <f>Q35*Q32*Auxiliary!$C$6</f>
        <v>29894747.273818932</v>
      </c>
      <c r="R41" s="16">
        <f>R35*R32*Auxiliary!$C$6</f>
        <v>29813067.636458773</v>
      </c>
      <c r="S41" s="16">
        <f>S35*S32*Auxiliary!$C$6</f>
        <v>29813067.636458773</v>
      </c>
      <c r="T41" s="16">
        <f>T35*T32*Auxiliary!$C$6</f>
        <v>29511180.011662282</v>
      </c>
      <c r="U41" s="16">
        <f>U35*U32*Auxiliary!$C$6</f>
        <v>20984940.243190542</v>
      </c>
      <c r="V41" s="16">
        <f>V35*V32*Auxiliary!$C$6</f>
        <v>19514499.550876744</v>
      </c>
      <c r="W41" s="16">
        <f>W35*W32*Auxiliary!$C$6</f>
        <v>18823152.507724952</v>
      </c>
      <c r="X41" s="16">
        <f>X35*X32*Auxiliary!$C$6</f>
        <v>18823152.507724952</v>
      </c>
      <c r="Y41" s="16">
        <f>Y35*Y32*Auxiliary!$C$6</f>
        <v>18874722.788568031</v>
      </c>
      <c r="Z41" s="16">
        <f>Z35*Z32*Auxiliary!$C$6</f>
        <v>23312127.059357379</v>
      </c>
      <c r="AA41" s="16">
        <f>AA35*AA32*Auxiliary!$C$6</f>
        <v>23733540.118435804</v>
      </c>
      <c r="AB41" s="16">
        <f>AB35*AB32*Auxiliary!$C$6</f>
        <v>23733540.118435804</v>
      </c>
      <c r="AC41" s="16">
        <f>AC35*AC32*Auxiliary!$C$6</f>
        <v>23798563.516020559</v>
      </c>
      <c r="AD41" s="16">
        <f>AD35*AD32*Auxiliary!$C$6</f>
        <v>23733540.118435804</v>
      </c>
      <c r="AE41" s="16">
        <f>AE35*AE32*Auxiliary!$C$6</f>
        <v>23733540.118435804</v>
      </c>
      <c r="AF41" s="16">
        <f>AF35*AF32*Auxiliary!$C$6</f>
        <v>23733540.118435804</v>
      </c>
      <c r="AG41" s="16">
        <f>AG35*AG32*Auxiliary!$C$6</f>
        <v>6304399.0183843086</v>
      </c>
      <c r="AH41" s="16">
        <f>AH35*AH32*Auxiliary!$C$6</f>
        <v>0</v>
      </c>
      <c r="AI41" s="16">
        <f>AI35*AI32*Auxiliary!$C$6</f>
        <v>0</v>
      </c>
      <c r="AJ41" s="16">
        <f>AJ35*AJ32*Auxiliary!$C$6</f>
        <v>0</v>
      </c>
      <c r="AK41" s="16">
        <f>AK35*AK32*Auxiliary!$C$6</f>
        <v>0</v>
      </c>
      <c r="AL41" s="16">
        <f>AL35*AL32*Auxiliary!$C$6</f>
        <v>0</v>
      </c>
      <c r="AM41" s="13"/>
    </row>
    <row r="42" spans="2:39" x14ac:dyDescent="0.25">
      <c r="B42" t="s">
        <v>90</v>
      </c>
      <c r="C42" t="s">
        <v>89</v>
      </c>
      <c r="E42" s="6">
        <f>E32*E36*Auxiliary!$C$6</f>
        <v>49164271.394818604</v>
      </c>
      <c r="F42" s="6">
        <f>F32*F36*Auxiliary!$C$6</f>
        <v>50460029.521233134</v>
      </c>
      <c r="G42" s="6">
        <f>G32*G36*Auxiliary!$C$6</f>
        <v>51070050.363885224</v>
      </c>
      <c r="H42" s="6">
        <f>H32*H36*Auxiliary!$C$6</f>
        <v>51837659.174650759</v>
      </c>
      <c r="I42" s="6">
        <f>I32*I36*Auxiliary!$C$6</f>
        <v>54264410.089964688</v>
      </c>
      <c r="J42" s="6">
        <f>J32*J36*Auxiliary!$C$6</f>
        <v>12217121.719558183</v>
      </c>
      <c r="K42" s="15">
        <f t="shared" si="40"/>
        <v>737135237.7898463</v>
      </c>
      <c r="L42" s="16">
        <f>L36*L32*Auxiliary!$C$6</f>
        <v>12416228.684087291</v>
      </c>
      <c r="M42" s="16">
        <f>M36*M32*Auxiliary!$C$6</f>
        <v>12416228.684087291</v>
      </c>
      <c r="N42" s="16">
        <f>N36*N32*Auxiliary!$C$6</f>
        <v>12416228.684087291</v>
      </c>
      <c r="O42" s="16">
        <f>O36*O32*Auxiliary!$C$6</f>
        <v>10839368.346148428</v>
      </c>
      <c r="P42" s="16">
        <f>P36*P32*Auxiliary!$C$6</f>
        <v>33120292.168786861</v>
      </c>
      <c r="Q42" s="16">
        <f>Q36*Q32*Auxiliary!$C$6</f>
        <v>44080097.941003606</v>
      </c>
      <c r="R42" s="16">
        <f>R36*R32*Auxiliary!$C$6</f>
        <v>43959660.514935292</v>
      </c>
      <c r="S42" s="16">
        <f>S36*S32*Auxiliary!$C$6</f>
        <v>43959660.514935292</v>
      </c>
      <c r="T42" s="16">
        <f>T36*T32*Auxiliary!$C$6</f>
        <v>43753105.824285068</v>
      </c>
      <c r="U42" s="16">
        <f>U36*U32*Auxiliary!$C$6</f>
        <v>37983914.183205232</v>
      </c>
      <c r="V42" s="16">
        <f>V36*V32*Auxiliary!$C$6</f>
        <v>36702545.671903983</v>
      </c>
      <c r="W42" s="16">
        <f>W36*W32*Auxiliary!$C$6</f>
        <v>36126423.135944165</v>
      </c>
      <c r="X42" s="16">
        <f>X36*X32*Auxiliary!$C$6</f>
        <v>36126423.135944165</v>
      </c>
      <c r="Y42" s="16">
        <f>Y36*Y32*Auxiliary!$C$6</f>
        <v>36225399.637686469</v>
      </c>
      <c r="Z42" s="16">
        <f>Z36*Z32*Auxiliary!$C$6</f>
        <v>40508517.341109142</v>
      </c>
      <c r="AA42" s="16">
        <f>AA36*AA32*Auxiliary!$C$6</f>
        <v>40919896.755923815</v>
      </c>
      <c r="AB42" s="16">
        <f>AB36*AB32*Auxiliary!$C$6</f>
        <v>40919896.755923815</v>
      </c>
      <c r="AC42" s="16">
        <f>AC36*AC32*Auxiliary!$C$6</f>
        <v>41032006.062104426</v>
      </c>
      <c r="AD42" s="16">
        <f>AD36*AD32*Auxiliary!$C$6</f>
        <v>40919896.755923815</v>
      </c>
      <c r="AE42" s="16">
        <f>AE36*AE32*Auxiliary!$C$6</f>
        <v>40919896.755923815</v>
      </c>
      <c r="AF42" s="16">
        <f>AF36*AF32*Auxiliary!$C$6</f>
        <v>40919896.755923815</v>
      </c>
      <c r="AG42" s="16">
        <f>AG36*AG32*Auxiliary!$C$6</f>
        <v>10869653.479972949</v>
      </c>
      <c r="AH42" s="16">
        <f>AH36*AH32*Auxiliary!$C$6</f>
        <v>0</v>
      </c>
      <c r="AI42" s="16">
        <f>AI36*AI32*Auxiliary!$C$6</f>
        <v>0</v>
      </c>
      <c r="AJ42" s="16">
        <f>AJ36*AJ32*Auxiliary!$C$6</f>
        <v>0</v>
      </c>
      <c r="AK42" s="16">
        <f>AK36*AK32*Auxiliary!$C$6</f>
        <v>0</v>
      </c>
      <c r="AL42" s="16">
        <f>AL36*AL32*Auxiliary!$C$6</f>
        <v>0</v>
      </c>
      <c r="AM42" s="13"/>
    </row>
    <row r="43" spans="2:39" x14ac:dyDescent="0.25">
      <c r="K43" s="2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</row>
    <row r="44" spans="2:39" ht="15.75" thickBot="1" x14ac:dyDescent="0.3">
      <c r="B44" s="14" t="s">
        <v>86</v>
      </c>
      <c r="G44" s="21"/>
      <c r="K44" s="26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</row>
    <row r="45" spans="2:39" x14ac:dyDescent="0.25">
      <c r="B45" t="s">
        <v>83</v>
      </c>
      <c r="C45" t="s">
        <v>70</v>
      </c>
      <c r="E45" s="18">
        <v>0.84</v>
      </c>
      <c r="F45" s="18">
        <v>0.84</v>
      </c>
      <c r="G45" s="18">
        <v>0.83</v>
      </c>
      <c r="H45" s="18">
        <v>0.82</v>
      </c>
      <c r="I45" s="18">
        <v>0.82</v>
      </c>
      <c r="J45" s="18">
        <v>0.82</v>
      </c>
      <c r="K45" s="27">
        <f>AVERAGE(L45:AM45)</f>
        <v>0.82999999999999952</v>
      </c>
      <c r="L45" s="28">
        <v>0.83</v>
      </c>
      <c r="M45" s="28">
        <f>L45</f>
        <v>0.83</v>
      </c>
      <c r="N45" s="28">
        <f t="shared" ref="N45:AJ45" si="41">M45</f>
        <v>0.83</v>
      </c>
      <c r="O45" s="28">
        <f t="shared" si="41"/>
        <v>0.83</v>
      </c>
      <c r="P45" s="28">
        <f t="shared" si="41"/>
        <v>0.83</v>
      </c>
      <c r="Q45" s="28">
        <f t="shared" si="41"/>
        <v>0.83</v>
      </c>
      <c r="R45" s="28">
        <f t="shared" si="41"/>
        <v>0.83</v>
      </c>
      <c r="S45" s="28">
        <f t="shared" si="41"/>
        <v>0.83</v>
      </c>
      <c r="T45" s="28">
        <f t="shared" si="41"/>
        <v>0.83</v>
      </c>
      <c r="U45" s="28">
        <f t="shared" si="41"/>
        <v>0.83</v>
      </c>
      <c r="V45" s="28">
        <f t="shared" si="41"/>
        <v>0.83</v>
      </c>
      <c r="W45" s="28">
        <f t="shared" si="41"/>
        <v>0.83</v>
      </c>
      <c r="X45" s="28">
        <f t="shared" si="41"/>
        <v>0.83</v>
      </c>
      <c r="Y45" s="28">
        <f t="shared" si="41"/>
        <v>0.83</v>
      </c>
      <c r="Z45" s="28">
        <f t="shared" si="41"/>
        <v>0.83</v>
      </c>
      <c r="AA45" s="28">
        <f t="shared" si="41"/>
        <v>0.83</v>
      </c>
      <c r="AB45" s="28">
        <f t="shared" si="41"/>
        <v>0.83</v>
      </c>
      <c r="AC45" s="28">
        <f t="shared" si="41"/>
        <v>0.83</v>
      </c>
      <c r="AD45" s="28">
        <f t="shared" si="41"/>
        <v>0.83</v>
      </c>
      <c r="AE45" s="28">
        <f t="shared" si="41"/>
        <v>0.83</v>
      </c>
      <c r="AF45" s="28">
        <f t="shared" si="41"/>
        <v>0.83</v>
      </c>
      <c r="AG45" s="28">
        <f t="shared" si="41"/>
        <v>0.83</v>
      </c>
      <c r="AH45" s="28">
        <f t="shared" si="41"/>
        <v>0.83</v>
      </c>
      <c r="AI45" s="28">
        <f t="shared" si="41"/>
        <v>0.83</v>
      </c>
      <c r="AJ45" s="28">
        <f t="shared" si="41"/>
        <v>0.83</v>
      </c>
      <c r="AK45" s="28">
        <f t="shared" ref="AK45:AK46" si="42">AJ45</f>
        <v>0.83</v>
      </c>
      <c r="AL45" s="28">
        <f t="shared" ref="AL45:AL46" si="43">AK45</f>
        <v>0.83</v>
      </c>
      <c r="AM45" s="13"/>
    </row>
    <row r="46" spans="2:39" x14ac:dyDescent="0.25">
      <c r="B46" t="s">
        <v>85</v>
      </c>
      <c r="C46" t="s">
        <v>70</v>
      </c>
      <c r="E46" s="18"/>
      <c r="F46" s="18"/>
      <c r="G46" s="18"/>
      <c r="H46" s="18">
        <v>0.61</v>
      </c>
      <c r="I46" s="18">
        <v>0.71</v>
      </c>
      <c r="J46" s="18">
        <v>0.37</v>
      </c>
      <c r="K46" s="27">
        <f t="shared" ref="K46:K48" si="44">AVERAGE(L46:AM46)</f>
        <v>0.34999999999999987</v>
      </c>
      <c r="L46" s="28">
        <v>0.35</v>
      </c>
      <c r="M46" s="28">
        <f>L46</f>
        <v>0.35</v>
      </c>
      <c r="N46" s="28">
        <f t="shared" ref="N46:AJ46" si="45">M46</f>
        <v>0.35</v>
      </c>
      <c r="O46" s="28">
        <f t="shared" si="45"/>
        <v>0.35</v>
      </c>
      <c r="P46" s="28">
        <f t="shared" si="45"/>
        <v>0.35</v>
      </c>
      <c r="Q46" s="28">
        <f t="shared" si="45"/>
        <v>0.35</v>
      </c>
      <c r="R46" s="28">
        <f t="shared" si="45"/>
        <v>0.35</v>
      </c>
      <c r="S46" s="28">
        <f t="shared" si="45"/>
        <v>0.35</v>
      </c>
      <c r="T46" s="28">
        <f t="shared" si="45"/>
        <v>0.35</v>
      </c>
      <c r="U46" s="28">
        <f t="shared" si="45"/>
        <v>0.35</v>
      </c>
      <c r="V46" s="28">
        <f t="shared" si="45"/>
        <v>0.35</v>
      </c>
      <c r="W46" s="28">
        <f t="shared" si="45"/>
        <v>0.35</v>
      </c>
      <c r="X46" s="28">
        <f t="shared" si="45"/>
        <v>0.35</v>
      </c>
      <c r="Y46" s="28">
        <f t="shared" si="45"/>
        <v>0.35</v>
      </c>
      <c r="Z46" s="28">
        <f t="shared" si="45"/>
        <v>0.35</v>
      </c>
      <c r="AA46" s="28">
        <f t="shared" si="45"/>
        <v>0.35</v>
      </c>
      <c r="AB46" s="28">
        <f t="shared" si="45"/>
        <v>0.35</v>
      </c>
      <c r="AC46" s="28">
        <f t="shared" si="45"/>
        <v>0.35</v>
      </c>
      <c r="AD46" s="28">
        <f t="shared" si="45"/>
        <v>0.35</v>
      </c>
      <c r="AE46" s="28">
        <f t="shared" si="45"/>
        <v>0.35</v>
      </c>
      <c r="AF46" s="28">
        <f t="shared" si="45"/>
        <v>0.35</v>
      </c>
      <c r="AG46" s="28">
        <f t="shared" si="45"/>
        <v>0.35</v>
      </c>
      <c r="AH46" s="28">
        <f t="shared" si="45"/>
        <v>0.35</v>
      </c>
      <c r="AI46" s="28">
        <f t="shared" si="45"/>
        <v>0.35</v>
      </c>
      <c r="AJ46" s="28">
        <f t="shared" si="45"/>
        <v>0.35</v>
      </c>
      <c r="AK46" s="28">
        <f t="shared" si="42"/>
        <v>0.35</v>
      </c>
      <c r="AL46" s="28">
        <f t="shared" si="43"/>
        <v>0.35</v>
      </c>
      <c r="AM46" s="13"/>
    </row>
    <row r="47" spans="2:39" x14ac:dyDescent="0.25">
      <c r="B47" t="s">
        <v>88</v>
      </c>
      <c r="C47" t="s">
        <v>70</v>
      </c>
      <c r="E47" s="18">
        <v>0.91</v>
      </c>
      <c r="F47" s="18">
        <v>0.91</v>
      </c>
      <c r="G47" s="18">
        <v>0.9</v>
      </c>
      <c r="H47" s="18">
        <v>0.88</v>
      </c>
      <c r="I47" s="18">
        <v>0.88</v>
      </c>
      <c r="J47" s="18">
        <v>0.88</v>
      </c>
      <c r="K47" s="27">
        <f t="shared" si="44"/>
        <v>0.89333333333333353</v>
      </c>
      <c r="L47" s="28">
        <f>AVERAGE($E$47:$J$47)</f>
        <v>0.89333333333333342</v>
      </c>
      <c r="M47" s="28">
        <f t="shared" ref="M47:AL47" si="46">AVERAGE($E$47:$J$47)</f>
        <v>0.89333333333333342</v>
      </c>
      <c r="N47" s="28">
        <f t="shared" si="46"/>
        <v>0.89333333333333342</v>
      </c>
      <c r="O47" s="28">
        <f t="shared" si="46"/>
        <v>0.89333333333333342</v>
      </c>
      <c r="P47" s="28">
        <f t="shared" si="46"/>
        <v>0.89333333333333342</v>
      </c>
      <c r="Q47" s="28">
        <f t="shared" si="46"/>
        <v>0.89333333333333342</v>
      </c>
      <c r="R47" s="28">
        <f t="shared" si="46"/>
        <v>0.89333333333333342</v>
      </c>
      <c r="S47" s="28">
        <f t="shared" si="46"/>
        <v>0.89333333333333342</v>
      </c>
      <c r="T47" s="28">
        <f t="shared" si="46"/>
        <v>0.89333333333333342</v>
      </c>
      <c r="U47" s="28">
        <f t="shared" si="46"/>
        <v>0.89333333333333342</v>
      </c>
      <c r="V47" s="28">
        <f t="shared" si="46"/>
        <v>0.89333333333333342</v>
      </c>
      <c r="W47" s="28">
        <f t="shared" si="46"/>
        <v>0.89333333333333342</v>
      </c>
      <c r="X47" s="28">
        <f t="shared" si="46"/>
        <v>0.89333333333333342</v>
      </c>
      <c r="Y47" s="28">
        <f t="shared" si="46"/>
        <v>0.89333333333333342</v>
      </c>
      <c r="Z47" s="28">
        <f t="shared" si="46"/>
        <v>0.89333333333333342</v>
      </c>
      <c r="AA47" s="28">
        <f t="shared" si="46"/>
        <v>0.89333333333333342</v>
      </c>
      <c r="AB47" s="28">
        <f t="shared" si="46"/>
        <v>0.89333333333333342</v>
      </c>
      <c r="AC47" s="28">
        <f t="shared" si="46"/>
        <v>0.89333333333333342</v>
      </c>
      <c r="AD47" s="28">
        <f t="shared" si="46"/>
        <v>0.89333333333333342</v>
      </c>
      <c r="AE47" s="28">
        <f t="shared" si="46"/>
        <v>0.89333333333333342</v>
      </c>
      <c r="AF47" s="28">
        <f t="shared" si="46"/>
        <v>0.89333333333333342</v>
      </c>
      <c r="AG47" s="28">
        <f t="shared" si="46"/>
        <v>0.89333333333333342</v>
      </c>
      <c r="AH47" s="28">
        <f t="shared" si="46"/>
        <v>0.89333333333333342</v>
      </c>
      <c r="AI47" s="28">
        <f t="shared" si="46"/>
        <v>0.89333333333333342</v>
      </c>
      <c r="AJ47" s="28">
        <f t="shared" si="46"/>
        <v>0.89333333333333342</v>
      </c>
      <c r="AK47" s="28">
        <f t="shared" si="46"/>
        <v>0.89333333333333342</v>
      </c>
      <c r="AL47" s="28">
        <f t="shared" si="46"/>
        <v>0.89333333333333342</v>
      </c>
      <c r="AM47" s="13"/>
    </row>
    <row r="48" spans="2:39" x14ac:dyDescent="0.25">
      <c r="B48" t="s">
        <v>90</v>
      </c>
      <c r="C48" t="s">
        <v>70</v>
      </c>
      <c r="E48" s="18">
        <v>0.9</v>
      </c>
      <c r="F48" s="18">
        <v>0.9</v>
      </c>
      <c r="G48" s="18">
        <v>0.89</v>
      </c>
      <c r="H48" s="18">
        <v>0.88</v>
      </c>
      <c r="I48" s="18">
        <v>0.88</v>
      </c>
      <c r="J48" s="18">
        <v>0.89</v>
      </c>
      <c r="K48" s="27">
        <f t="shared" si="44"/>
        <v>0.89000000000000035</v>
      </c>
      <c r="L48" s="28">
        <f>AVERAGE($E$48:$J$48)</f>
        <v>0.89</v>
      </c>
      <c r="M48" s="28">
        <f t="shared" ref="M48:AL48" si="47">AVERAGE($E$48:$J$48)</f>
        <v>0.89</v>
      </c>
      <c r="N48" s="28">
        <f t="shared" si="47"/>
        <v>0.89</v>
      </c>
      <c r="O48" s="28">
        <f t="shared" si="47"/>
        <v>0.89</v>
      </c>
      <c r="P48" s="28">
        <f t="shared" si="47"/>
        <v>0.89</v>
      </c>
      <c r="Q48" s="28">
        <f t="shared" si="47"/>
        <v>0.89</v>
      </c>
      <c r="R48" s="28">
        <f t="shared" si="47"/>
        <v>0.89</v>
      </c>
      <c r="S48" s="28">
        <f t="shared" si="47"/>
        <v>0.89</v>
      </c>
      <c r="T48" s="28">
        <f t="shared" si="47"/>
        <v>0.89</v>
      </c>
      <c r="U48" s="28">
        <f t="shared" si="47"/>
        <v>0.89</v>
      </c>
      <c r="V48" s="28">
        <f t="shared" si="47"/>
        <v>0.89</v>
      </c>
      <c r="W48" s="28">
        <f t="shared" si="47"/>
        <v>0.89</v>
      </c>
      <c r="X48" s="28">
        <f t="shared" si="47"/>
        <v>0.89</v>
      </c>
      <c r="Y48" s="28">
        <f t="shared" si="47"/>
        <v>0.89</v>
      </c>
      <c r="Z48" s="28">
        <f t="shared" si="47"/>
        <v>0.89</v>
      </c>
      <c r="AA48" s="28">
        <f t="shared" si="47"/>
        <v>0.89</v>
      </c>
      <c r="AB48" s="28">
        <f t="shared" si="47"/>
        <v>0.89</v>
      </c>
      <c r="AC48" s="28">
        <f t="shared" si="47"/>
        <v>0.89</v>
      </c>
      <c r="AD48" s="28">
        <f t="shared" si="47"/>
        <v>0.89</v>
      </c>
      <c r="AE48" s="28">
        <f t="shared" si="47"/>
        <v>0.89</v>
      </c>
      <c r="AF48" s="28">
        <f t="shared" si="47"/>
        <v>0.89</v>
      </c>
      <c r="AG48" s="28">
        <f t="shared" si="47"/>
        <v>0.89</v>
      </c>
      <c r="AH48" s="28">
        <f t="shared" si="47"/>
        <v>0.89</v>
      </c>
      <c r="AI48" s="28">
        <f t="shared" si="47"/>
        <v>0.89</v>
      </c>
      <c r="AJ48" s="28">
        <f t="shared" si="47"/>
        <v>0.89</v>
      </c>
      <c r="AK48" s="28">
        <f t="shared" si="47"/>
        <v>0.89</v>
      </c>
      <c r="AL48" s="28">
        <f t="shared" si="47"/>
        <v>0.89</v>
      </c>
      <c r="AM48" s="13"/>
    </row>
    <row r="49" spans="2:39" x14ac:dyDescent="0.25">
      <c r="K49" s="26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</row>
    <row r="50" spans="2:39" ht="15.75" thickBot="1" x14ac:dyDescent="0.3">
      <c r="B50" s="14" t="s">
        <v>87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</row>
    <row r="51" spans="2:39" x14ac:dyDescent="0.25">
      <c r="B51" t="s">
        <v>83</v>
      </c>
      <c r="C51" t="s">
        <v>84</v>
      </c>
      <c r="E51" s="6">
        <v>943038</v>
      </c>
      <c r="F51" s="6">
        <v>911309</v>
      </c>
      <c r="G51" s="6">
        <v>941289</v>
      </c>
      <c r="H51" s="6">
        <v>968111</v>
      </c>
      <c r="I51" s="31">
        <v>1073672</v>
      </c>
      <c r="J51" s="6">
        <v>311939</v>
      </c>
      <c r="K51" s="15">
        <f>SUM(L51:AM51)</f>
        <v>24649295.38230915</v>
      </c>
      <c r="L51" s="16">
        <f>L45*L39</f>
        <v>301997.3670596208</v>
      </c>
      <c r="M51" s="16">
        <f t="shared" ref="M51:AJ53" si="48">M45*M39</f>
        <v>241597.89364769665</v>
      </c>
      <c r="N51" s="16">
        <f t="shared" si="48"/>
        <v>241597.89364769665</v>
      </c>
      <c r="O51" s="16">
        <f t="shared" si="48"/>
        <v>289620.37909721438</v>
      </c>
      <c r="P51" s="16">
        <f t="shared" si="48"/>
        <v>884951.1583525996</v>
      </c>
      <c r="Q51" s="16">
        <f t="shared" si="48"/>
        <v>1177789.5416620052</v>
      </c>
      <c r="R51" s="16">
        <f t="shared" si="48"/>
        <v>1174571.5374498141</v>
      </c>
      <c r="S51" s="16">
        <f t="shared" si="48"/>
        <v>1174571.5374498141</v>
      </c>
      <c r="T51" s="16">
        <f t="shared" si="48"/>
        <v>1181302.7708438763</v>
      </c>
      <c r="U51" s="16">
        <f t="shared" si="48"/>
        <v>1376452.8378459581</v>
      </c>
      <c r="V51" s="16">
        <f t="shared" si="48"/>
        <v>1230154.9051584729</v>
      </c>
      <c r="W51" s="16">
        <f t="shared" si="48"/>
        <v>1160420.0731431898</v>
      </c>
      <c r="X51" s="16">
        <f t="shared" si="48"/>
        <v>1160420.0731431898</v>
      </c>
      <c r="Y51" s="16">
        <f t="shared" si="48"/>
        <v>1163599.3062202944</v>
      </c>
      <c r="Z51" s="16">
        <f t="shared" si="48"/>
        <v>1600277.2327032555</v>
      </c>
      <c r="AA51" s="16">
        <f t="shared" si="48"/>
        <v>1641569.859568415</v>
      </c>
      <c r="AB51" s="16">
        <f t="shared" si="48"/>
        <v>1641569.859568415</v>
      </c>
      <c r="AC51" s="16">
        <f t="shared" si="48"/>
        <v>1646067.3112384651</v>
      </c>
      <c r="AD51" s="16">
        <f t="shared" si="48"/>
        <v>1641569.859568415</v>
      </c>
      <c r="AE51" s="16">
        <f t="shared" si="48"/>
        <v>1641569.859568415</v>
      </c>
      <c r="AF51" s="16">
        <f t="shared" si="48"/>
        <v>1641569.859568415</v>
      </c>
      <c r="AG51" s="16">
        <f t="shared" si="48"/>
        <v>436054.26580391906</v>
      </c>
      <c r="AH51" s="16">
        <f t="shared" si="48"/>
        <v>0</v>
      </c>
      <c r="AI51" s="16">
        <f t="shared" si="48"/>
        <v>0</v>
      </c>
      <c r="AJ51" s="16">
        <f t="shared" si="48"/>
        <v>0</v>
      </c>
      <c r="AK51" s="16">
        <f t="shared" ref="AK51:AL51" si="49">AK45*AK39</f>
        <v>0</v>
      </c>
      <c r="AL51" s="16">
        <f t="shared" si="49"/>
        <v>0</v>
      </c>
      <c r="AM51" s="13"/>
    </row>
    <row r="52" spans="2:39" x14ac:dyDescent="0.25">
      <c r="B52" t="s">
        <v>85</v>
      </c>
      <c r="C52" t="s">
        <v>84</v>
      </c>
      <c r="E52" s="6"/>
      <c r="F52" s="6"/>
      <c r="G52" s="6"/>
      <c r="H52" s="6">
        <v>4049</v>
      </c>
      <c r="I52" s="6">
        <v>6086</v>
      </c>
      <c r="J52" s="6">
        <v>258</v>
      </c>
      <c r="K52" s="15">
        <f t="shared" ref="K52:K54" si="50">SUM(L52:AM52)</f>
        <v>40056.767222884868</v>
      </c>
      <c r="L52" s="16">
        <f t="shared" ref="L52:AA53" si="51">L46*L40</f>
        <v>410.20635995265962</v>
      </c>
      <c r="M52" s="16">
        <f t="shared" si="51"/>
        <v>284.66087752607768</v>
      </c>
      <c r="N52" s="16">
        <f t="shared" si="51"/>
        <v>284.66087752607768</v>
      </c>
      <c r="O52" s="16">
        <f t="shared" si="51"/>
        <v>279.57258252235096</v>
      </c>
      <c r="P52" s="16">
        <f t="shared" si="51"/>
        <v>854.24955770718373</v>
      </c>
      <c r="Q52" s="16">
        <f t="shared" si="51"/>
        <v>1136.9285022575605</v>
      </c>
      <c r="R52" s="16">
        <f t="shared" si="51"/>
        <v>1133.8221402295346</v>
      </c>
      <c r="S52" s="16">
        <f t="shared" si="51"/>
        <v>1133.8221402295346</v>
      </c>
      <c r="T52" s="16">
        <f t="shared" si="51"/>
        <v>1164.2343392990922</v>
      </c>
      <c r="U52" s="16">
        <f t="shared" si="51"/>
        <v>2034.5036356187927</v>
      </c>
      <c r="V52" s="16">
        <f t="shared" si="51"/>
        <v>1628.2380840868657</v>
      </c>
      <c r="W52" s="16">
        <f t="shared" si="51"/>
        <v>1432.1963876583595</v>
      </c>
      <c r="X52" s="16">
        <f t="shared" si="51"/>
        <v>1432.1963876583595</v>
      </c>
      <c r="Y52" s="16">
        <f t="shared" si="51"/>
        <v>1436.1202133779714</v>
      </c>
      <c r="Z52" s="16">
        <f t="shared" si="51"/>
        <v>3341.5692454226432</v>
      </c>
      <c r="AA52" s="16">
        <f t="shared" si="51"/>
        <v>3520.8161196601336</v>
      </c>
      <c r="AB52" s="16">
        <f t="shared" si="48"/>
        <v>3520.8161196601336</v>
      </c>
      <c r="AC52" s="16">
        <f t="shared" si="48"/>
        <v>3530.4621912208468</v>
      </c>
      <c r="AD52" s="16">
        <f t="shared" si="48"/>
        <v>3520.8161196601336</v>
      </c>
      <c r="AE52" s="16">
        <f t="shared" si="48"/>
        <v>3520.8161196601336</v>
      </c>
      <c r="AF52" s="16">
        <f t="shared" si="48"/>
        <v>3520.8161196601336</v>
      </c>
      <c r="AG52" s="16">
        <f t="shared" si="48"/>
        <v>935.24310229029163</v>
      </c>
      <c r="AH52" s="16">
        <f t="shared" si="48"/>
        <v>0</v>
      </c>
      <c r="AI52" s="16">
        <f t="shared" si="48"/>
        <v>0</v>
      </c>
      <c r="AJ52" s="16">
        <f t="shared" si="48"/>
        <v>0</v>
      </c>
      <c r="AK52" s="16">
        <f t="shared" ref="AK52:AL52" si="52">AK46*AK40</f>
        <v>0</v>
      </c>
      <c r="AL52" s="16">
        <f t="shared" si="52"/>
        <v>0</v>
      </c>
      <c r="AM52" s="13"/>
    </row>
    <row r="53" spans="2:39" x14ac:dyDescent="0.25">
      <c r="B53" t="s">
        <v>88</v>
      </c>
      <c r="C53" t="s">
        <v>89</v>
      </c>
      <c r="E53" s="6">
        <v>29878000</v>
      </c>
      <c r="F53" s="6">
        <v>28255000</v>
      </c>
      <c r="G53" s="6">
        <v>28746000</v>
      </c>
      <c r="H53" s="6">
        <v>29628000</v>
      </c>
      <c r="I53" s="6">
        <v>32990000</v>
      </c>
      <c r="J53" s="6">
        <v>9134000</v>
      </c>
      <c r="K53" s="15">
        <f t="shared" si="50"/>
        <v>396180212.25232464</v>
      </c>
      <c r="L53" s="16">
        <f t="shared" si="51"/>
        <v>7342110.3266659621</v>
      </c>
      <c r="M53" s="16">
        <f t="shared" si="48"/>
        <v>7735437.6655944949</v>
      </c>
      <c r="N53" s="16">
        <f t="shared" si="48"/>
        <v>7735437.6655944949</v>
      </c>
      <c r="O53" s="16">
        <f t="shared" si="48"/>
        <v>6567042.8437569467</v>
      </c>
      <c r="P53" s="16">
        <f t="shared" si="48"/>
        <v>20065964.244812891</v>
      </c>
      <c r="Q53" s="16">
        <f t="shared" si="48"/>
        <v>26705974.231278248</v>
      </c>
      <c r="R53" s="16">
        <f t="shared" si="48"/>
        <v>26633007.088569839</v>
      </c>
      <c r="S53" s="16">
        <f t="shared" si="48"/>
        <v>26633007.088569839</v>
      </c>
      <c r="T53" s="16">
        <f t="shared" si="48"/>
        <v>26363320.810418308</v>
      </c>
      <c r="U53" s="16">
        <f t="shared" si="48"/>
        <v>18746546.617250219</v>
      </c>
      <c r="V53" s="16">
        <f t="shared" si="48"/>
        <v>17432952.932116561</v>
      </c>
      <c r="W53" s="16">
        <f t="shared" si="48"/>
        <v>16815349.573567625</v>
      </c>
      <c r="X53" s="16">
        <f t="shared" si="48"/>
        <v>16815349.573567625</v>
      </c>
      <c r="Y53" s="16">
        <f t="shared" si="48"/>
        <v>16861419.024454109</v>
      </c>
      <c r="Z53" s="16">
        <f t="shared" si="48"/>
        <v>20825500.173025928</v>
      </c>
      <c r="AA53" s="16">
        <f t="shared" si="48"/>
        <v>21201962.505802654</v>
      </c>
      <c r="AB53" s="16">
        <f t="shared" si="48"/>
        <v>21201962.505802654</v>
      </c>
      <c r="AC53" s="16">
        <f t="shared" si="48"/>
        <v>21260050.0743117</v>
      </c>
      <c r="AD53" s="16">
        <f t="shared" si="48"/>
        <v>21201962.505802654</v>
      </c>
      <c r="AE53" s="16">
        <f t="shared" si="48"/>
        <v>21201962.505802654</v>
      </c>
      <c r="AF53" s="16">
        <f t="shared" si="48"/>
        <v>21201962.505802654</v>
      </c>
      <c r="AG53" s="16">
        <f t="shared" si="48"/>
        <v>5631929.7897566492</v>
      </c>
      <c r="AH53" s="16">
        <f t="shared" si="48"/>
        <v>0</v>
      </c>
      <c r="AI53" s="16">
        <f t="shared" si="48"/>
        <v>0</v>
      </c>
      <c r="AJ53" s="16">
        <f t="shared" si="48"/>
        <v>0</v>
      </c>
      <c r="AK53" s="16">
        <f t="shared" ref="AK53:AL53" si="53">AK47*AK41</f>
        <v>0</v>
      </c>
      <c r="AL53" s="16">
        <f t="shared" si="53"/>
        <v>0</v>
      </c>
      <c r="AM53" s="13"/>
    </row>
    <row r="54" spans="2:39" x14ac:dyDescent="0.25">
      <c r="B54" t="s">
        <v>90</v>
      </c>
      <c r="C54" t="s">
        <v>89</v>
      </c>
      <c r="E54" s="6">
        <v>44347000</v>
      </c>
      <c r="F54" s="6">
        <v>45485000</v>
      </c>
      <c r="G54" s="6">
        <v>45600000</v>
      </c>
      <c r="H54" s="6">
        <v>45545000</v>
      </c>
      <c r="I54" s="6">
        <v>47549000</v>
      </c>
      <c r="J54" s="6">
        <v>10827000</v>
      </c>
      <c r="K54" s="15">
        <f t="shared" si="50"/>
        <v>656050361.63296318</v>
      </c>
      <c r="L54" s="16">
        <f>L48*L42</f>
        <v>11050443.52883769</v>
      </c>
      <c r="M54" s="16">
        <f t="shared" ref="M54:AJ54" si="54">M48*M42</f>
        <v>11050443.52883769</v>
      </c>
      <c r="N54" s="16">
        <f t="shared" si="54"/>
        <v>11050443.52883769</v>
      </c>
      <c r="O54" s="16">
        <f t="shared" si="54"/>
        <v>9647037.8280721009</v>
      </c>
      <c r="P54" s="16">
        <f t="shared" si="54"/>
        <v>29477060.030220307</v>
      </c>
      <c r="Q54" s="16">
        <f t="shared" si="54"/>
        <v>39231287.167493209</v>
      </c>
      <c r="R54" s="16">
        <f t="shared" si="54"/>
        <v>39124097.858292408</v>
      </c>
      <c r="S54" s="16">
        <f t="shared" si="54"/>
        <v>39124097.858292408</v>
      </c>
      <c r="T54" s="16">
        <f t="shared" si="54"/>
        <v>38940264.18361371</v>
      </c>
      <c r="U54" s="16">
        <f t="shared" si="54"/>
        <v>33805683.623052657</v>
      </c>
      <c r="V54" s="16">
        <f t="shared" si="54"/>
        <v>32665265.647994544</v>
      </c>
      <c r="W54" s="16">
        <f t="shared" si="54"/>
        <v>32152516.590990309</v>
      </c>
      <c r="X54" s="16">
        <f t="shared" si="54"/>
        <v>32152516.590990309</v>
      </c>
      <c r="Y54" s="16">
        <f t="shared" si="54"/>
        <v>32240605.677540958</v>
      </c>
      <c r="Z54" s="16">
        <f t="shared" si="54"/>
        <v>36052580.433587134</v>
      </c>
      <c r="AA54" s="16">
        <f t="shared" si="54"/>
        <v>36418708.112772197</v>
      </c>
      <c r="AB54" s="16">
        <f t="shared" si="54"/>
        <v>36418708.112772197</v>
      </c>
      <c r="AC54" s="16">
        <f t="shared" si="54"/>
        <v>36518485.39527294</v>
      </c>
      <c r="AD54" s="16">
        <f t="shared" si="54"/>
        <v>36418708.112772197</v>
      </c>
      <c r="AE54" s="16">
        <f t="shared" si="54"/>
        <v>36418708.112772197</v>
      </c>
      <c r="AF54" s="16">
        <f t="shared" si="54"/>
        <v>36418708.112772197</v>
      </c>
      <c r="AG54" s="16">
        <f t="shared" si="54"/>
        <v>9673991.5971759241</v>
      </c>
      <c r="AH54" s="16">
        <f t="shared" si="54"/>
        <v>0</v>
      </c>
      <c r="AI54" s="16">
        <f t="shared" si="54"/>
        <v>0</v>
      </c>
      <c r="AJ54" s="16">
        <f t="shared" si="54"/>
        <v>0</v>
      </c>
      <c r="AK54" s="16">
        <f t="shared" ref="AK54:AL54" si="55">AK48*AK42</f>
        <v>0</v>
      </c>
      <c r="AL54" s="16">
        <f t="shared" si="55"/>
        <v>0</v>
      </c>
      <c r="AM54" s="13"/>
    </row>
    <row r="55" spans="2:39" x14ac:dyDescent="0.25">
      <c r="K55" s="26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</row>
    <row r="56" spans="2:39" ht="15.75" thickBot="1" x14ac:dyDescent="0.3">
      <c r="B56" s="14" t="s">
        <v>91</v>
      </c>
      <c r="K56" s="26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</row>
    <row r="57" spans="2:39" x14ac:dyDescent="0.25">
      <c r="B57" t="s">
        <v>83</v>
      </c>
      <c r="C57" t="s">
        <v>70</v>
      </c>
      <c r="E57" s="18">
        <f>($E$80-29508000*0.95-44315000*1.02+$E$79)/(934710*$E$14)</f>
        <v>0.98657653633642017</v>
      </c>
      <c r="F57" s="18">
        <f>($F$80-28349000*0.97-45867000*1.05+$F$79)/(911648*$F$14)</f>
        <v>0.86259800006787879</v>
      </c>
      <c r="G57" s="18">
        <f>($G$80-28969000*0.85-45781000*0.74+$G$79)/(948616*$G$14)</f>
        <v>0.96930199251110172</v>
      </c>
      <c r="H57" s="18">
        <f>($H$80-29582000*0.67-45154000*0.53+$H$79)/(967199*$H$14+4049*$H$15)</f>
        <v>0.92345657145696514</v>
      </c>
      <c r="I57" s="18">
        <f>($I$80-33299000*0.83-47828000*0.9+$I$79)/(1074364*$I$14+6140*$I$15)</f>
        <v>0.90558911378484208</v>
      </c>
      <c r="J57" s="18">
        <f>($J$80-8575000*0.94-10546000*1.17+$J$79)/(294301*$J$14+325*$J$15)</f>
        <v>0.89662301753858353</v>
      </c>
      <c r="K57" s="64">
        <f>AVERAGE(L57:AM57)</f>
        <v>0.90855623426012955</v>
      </c>
      <c r="L57" s="34">
        <f>AVERAGE($H$57:$J$57)</f>
        <v>0.90855623426013021</v>
      </c>
      <c r="M57" s="34">
        <f t="shared" ref="M57:AL57" si="56">AVERAGE($H$57:$J$57)</f>
        <v>0.90855623426013021</v>
      </c>
      <c r="N57" s="34">
        <f t="shared" si="56"/>
        <v>0.90855623426013021</v>
      </c>
      <c r="O57" s="34">
        <f t="shared" si="56"/>
        <v>0.90855623426013021</v>
      </c>
      <c r="P57" s="34">
        <f t="shared" si="56"/>
        <v>0.90855623426013021</v>
      </c>
      <c r="Q57" s="34">
        <f t="shared" si="56"/>
        <v>0.90855623426013021</v>
      </c>
      <c r="R57" s="34">
        <f t="shared" si="56"/>
        <v>0.90855623426013021</v>
      </c>
      <c r="S57" s="34">
        <f t="shared" si="56"/>
        <v>0.90855623426013021</v>
      </c>
      <c r="T57" s="34">
        <f t="shared" si="56"/>
        <v>0.90855623426013021</v>
      </c>
      <c r="U57" s="34">
        <f t="shared" si="56"/>
        <v>0.90855623426013021</v>
      </c>
      <c r="V57" s="34">
        <f t="shared" si="56"/>
        <v>0.90855623426013021</v>
      </c>
      <c r="W57" s="34">
        <f t="shared" si="56"/>
        <v>0.90855623426013021</v>
      </c>
      <c r="X57" s="34">
        <f t="shared" si="56"/>
        <v>0.90855623426013021</v>
      </c>
      <c r="Y57" s="34">
        <f t="shared" si="56"/>
        <v>0.90855623426013021</v>
      </c>
      <c r="Z57" s="34">
        <f t="shared" si="56"/>
        <v>0.90855623426013021</v>
      </c>
      <c r="AA57" s="34">
        <f t="shared" si="56"/>
        <v>0.90855623426013021</v>
      </c>
      <c r="AB57" s="34">
        <f t="shared" si="56"/>
        <v>0.90855623426013021</v>
      </c>
      <c r="AC57" s="34">
        <f t="shared" si="56"/>
        <v>0.90855623426013021</v>
      </c>
      <c r="AD57" s="34">
        <f t="shared" si="56"/>
        <v>0.90855623426013021</v>
      </c>
      <c r="AE57" s="34">
        <f t="shared" si="56"/>
        <v>0.90855623426013021</v>
      </c>
      <c r="AF57" s="34">
        <f t="shared" si="56"/>
        <v>0.90855623426013021</v>
      </c>
      <c r="AG57" s="34">
        <f t="shared" si="56"/>
        <v>0.90855623426013021</v>
      </c>
      <c r="AH57" s="34">
        <f t="shared" si="56"/>
        <v>0.90855623426013021</v>
      </c>
      <c r="AI57" s="34">
        <f t="shared" si="56"/>
        <v>0.90855623426013021</v>
      </c>
      <c r="AJ57" s="34">
        <f t="shared" si="56"/>
        <v>0.90855623426013021</v>
      </c>
      <c r="AK57" s="34">
        <f t="shared" si="56"/>
        <v>0.90855623426013021</v>
      </c>
      <c r="AL57" s="34">
        <f t="shared" si="56"/>
        <v>0.90855623426013021</v>
      </c>
      <c r="AM57" s="13"/>
    </row>
    <row r="58" spans="2:39" x14ac:dyDescent="0.25">
      <c r="B58" t="s">
        <v>85</v>
      </c>
      <c r="C58" t="s">
        <v>70</v>
      </c>
      <c r="E58" s="18">
        <f>($E$80-29508000*0.95-44315000*1.02+$E$79)/(934710*$E$14)</f>
        <v>0.98657653633642017</v>
      </c>
      <c r="F58" s="18">
        <f>($F$80-28349000*0.97-45867000*1.05+$F$79)/(911648*$F$14)</f>
        <v>0.86259800006787879</v>
      </c>
      <c r="G58" s="18">
        <f>($G$80-28969000*0.85-45781000*0.74+$G$79)/(948616*$G$14)</f>
        <v>0.96930199251110172</v>
      </c>
      <c r="H58" s="18">
        <f>($H$80-29582000*0.67-45154000*0.53+$H$79)/(967199*$H$14+4049*$H$15)</f>
        <v>0.92345657145696514</v>
      </c>
      <c r="I58" s="18">
        <f>($I$80-33299000*0.83-47828000*0.9+$I$79)/(1074364*$I$14+6140*$I$15)</f>
        <v>0.90558911378484208</v>
      </c>
      <c r="J58" s="18">
        <f>($J$80-8575000*0.94-10546000*1.17+$J$79)/(294301*$J$14+325*$J$15)</f>
        <v>0.89662301753858353</v>
      </c>
      <c r="K58" s="64">
        <f t="shared" ref="K58:K60" si="57">AVERAGE(L58:AM58)</f>
        <v>0.90855623426012955</v>
      </c>
      <c r="L58" s="34">
        <f>AVERAGE($H$58:$J$58)</f>
        <v>0.90855623426013021</v>
      </c>
      <c r="M58" s="34">
        <f t="shared" ref="M58:AL58" si="58">AVERAGE($H$58:$J$58)</f>
        <v>0.90855623426013021</v>
      </c>
      <c r="N58" s="34">
        <f t="shared" si="58"/>
        <v>0.90855623426013021</v>
      </c>
      <c r="O58" s="34">
        <f t="shared" si="58"/>
        <v>0.90855623426013021</v>
      </c>
      <c r="P58" s="34">
        <f t="shared" si="58"/>
        <v>0.90855623426013021</v>
      </c>
      <c r="Q58" s="34">
        <f t="shared" si="58"/>
        <v>0.90855623426013021</v>
      </c>
      <c r="R58" s="34">
        <f t="shared" si="58"/>
        <v>0.90855623426013021</v>
      </c>
      <c r="S58" s="34">
        <f t="shared" si="58"/>
        <v>0.90855623426013021</v>
      </c>
      <c r="T58" s="34">
        <f t="shared" si="58"/>
        <v>0.90855623426013021</v>
      </c>
      <c r="U58" s="34">
        <f t="shared" si="58"/>
        <v>0.90855623426013021</v>
      </c>
      <c r="V58" s="34">
        <f t="shared" si="58"/>
        <v>0.90855623426013021</v>
      </c>
      <c r="W58" s="34">
        <f t="shared" si="58"/>
        <v>0.90855623426013021</v>
      </c>
      <c r="X58" s="34">
        <f t="shared" si="58"/>
        <v>0.90855623426013021</v>
      </c>
      <c r="Y58" s="34">
        <f t="shared" si="58"/>
        <v>0.90855623426013021</v>
      </c>
      <c r="Z58" s="34">
        <f t="shared" si="58"/>
        <v>0.90855623426013021</v>
      </c>
      <c r="AA58" s="34">
        <f t="shared" si="58"/>
        <v>0.90855623426013021</v>
      </c>
      <c r="AB58" s="34">
        <f t="shared" si="58"/>
        <v>0.90855623426013021</v>
      </c>
      <c r="AC58" s="34">
        <f t="shared" si="58"/>
        <v>0.90855623426013021</v>
      </c>
      <c r="AD58" s="34">
        <f t="shared" si="58"/>
        <v>0.90855623426013021</v>
      </c>
      <c r="AE58" s="34">
        <f t="shared" si="58"/>
        <v>0.90855623426013021</v>
      </c>
      <c r="AF58" s="34">
        <f t="shared" si="58"/>
        <v>0.90855623426013021</v>
      </c>
      <c r="AG58" s="34">
        <f t="shared" si="58"/>
        <v>0.90855623426013021</v>
      </c>
      <c r="AH58" s="34">
        <f t="shared" si="58"/>
        <v>0.90855623426013021</v>
      </c>
      <c r="AI58" s="34">
        <f t="shared" si="58"/>
        <v>0.90855623426013021</v>
      </c>
      <c r="AJ58" s="34">
        <f t="shared" si="58"/>
        <v>0.90855623426013021</v>
      </c>
      <c r="AK58" s="34">
        <f t="shared" si="58"/>
        <v>0.90855623426013021</v>
      </c>
      <c r="AL58" s="34">
        <f t="shared" si="58"/>
        <v>0.90855623426013021</v>
      </c>
      <c r="AM58" s="13"/>
    </row>
    <row r="59" spans="2:39" x14ac:dyDescent="0.25">
      <c r="B59" t="s">
        <v>88</v>
      </c>
      <c r="C59" t="s">
        <v>70</v>
      </c>
      <c r="E59" s="18">
        <f>(29508000*0.95+44315000*1.02)/(29508000*$E$16+44315000*$E$17)</f>
        <v>0.81844607461845886</v>
      </c>
      <c r="F59" s="18">
        <f>(28349000*0.97+45867000*1.05)/(28349000*$F$16+45867000*$F$17)</f>
        <v>0.84572462324679454</v>
      </c>
      <c r="G59" s="18">
        <f>(28969000*0.85+45781000*0.74+$G$78)/(28969000*$G$16+45781000*$G$17)</f>
        <v>0.88028911299008705</v>
      </c>
      <c r="H59" s="18">
        <f>(29582000*0.67+45154000*0.53+$H$78)/(29582000*$H$16+45154000*$H$17)</f>
        <v>0.8877577901338668</v>
      </c>
      <c r="I59" s="18">
        <f>(33299000*0.83+47828000*0.9+$I$78)/(33299000*$I$16+47828000*$I$17)</f>
        <v>0.87891910810383189</v>
      </c>
      <c r="J59" s="18">
        <f>(8575000*0.94+10546000*1.17+$J$78)/(8575000*$J$16+10546000*$J$17)</f>
        <v>0.90342981483518281</v>
      </c>
      <c r="K59" s="64">
        <f t="shared" si="57"/>
        <v>0.88759895651574194</v>
      </c>
      <c r="L59" s="34">
        <f>AVERAGE($G$59:$J$59)</f>
        <v>0.88759895651574217</v>
      </c>
      <c r="M59" s="34">
        <f t="shared" ref="M59:AL59" si="59">AVERAGE($G$59:$J$59)</f>
        <v>0.88759895651574217</v>
      </c>
      <c r="N59" s="34">
        <f t="shared" si="59"/>
        <v>0.88759895651574217</v>
      </c>
      <c r="O59" s="34">
        <f t="shared" si="59"/>
        <v>0.88759895651574217</v>
      </c>
      <c r="P59" s="34">
        <f t="shared" si="59"/>
        <v>0.88759895651574217</v>
      </c>
      <c r="Q59" s="34">
        <f t="shared" si="59"/>
        <v>0.88759895651574217</v>
      </c>
      <c r="R59" s="34">
        <f t="shared" si="59"/>
        <v>0.88759895651574217</v>
      </c>
      <c r="S59" s="34">
        <f t="shared" si="59"/>
        <v>0.88759895651574217</v>
      </c>
      <c r="T59" s="34">
        <f t="shared" si="59"/>
        <v>0.88759895651574217</v>
      </c>
      <c r="U59" s="34">
        <f t="shared" si="59"/>
        <v>0.88759895651574217</v>
      </c>
      <c r="V59" s="34">
        <f t="shared" si="59"/>
        <v>0.88759895651574217</v>
      </c>
      <c r="W59" s="34">
        <f t="shared" si="59"/>
        <v>0.88759895651574217</v>
      </c>
      <c r="X59" s="34">
        <f t="shared" si="59"/>
        <v>0.88759895651574217</v>
      </c>
      <c r="Y59" s="34">
        <f t="shared" si="59"/>
        <v>0.88759895651574217</v>
      </c>
      <c r="Z59" s="34">
        <f t="shared" si="59"/>
        <v>0.88759895651574217</v>
      </c>
      <c r="AA59" s="34">
        <f t="shared" si="59"/>
        <v>0.88759895651574217</v>
      </c>
      <c r="AB59" s="34">
        <f t="shared" si="59"/>
        <v>0.88759895651574217</v>
      </c>
      <c r="AC59" s="34">
        <f t="shared" si="59"/>
        <v>0.88759895651574217</v>
      </c>
      <c r="AD59" s="34">
        <f t="shared" si="59"/>
        <v>0.88759895651574217</v>
      </c>
      <c r="AE59" s="34">
        <f t="shared" si="59"/>
        <v>0.88759895651574217</v>
      </c>
      <c r="AF59" s="34">
        <f t="shared" si="59"/>
        <v>0.88759895651574217</v>
      </c>
      <c r="AG59" s="34">
        <f t="shared" si="59"/>
        <v>0.88759895651574217</v>
      </c>
      <c r="AH59" s="34">
        <f t="shared" si="59"/>
        <v>0.88759895651574217</v>
      </c>
      <c r="AI59" s="34">
        <f t="shared" si="59"/>
        <v>0.88759895651574217</v>
      </c>
      <c r="AJ59" s="34">
        <f t="shared" si="59"/>
        <v>0.88759895651574217</v>
      </c>
      <c r="AK59" s="34">
        <f t="shared" si="59"/>
        <v>0.88759895651574217</v>
      </c>
      <c r="AL59" s="34">
        <f t="shared" si="59"/>
        <v>0.88759895651574217</v>
      </c>
      <c r="AM59" s="13"/>
    </row>
    <row r="60" spans="2:39" x14ac:dyDescent="0.25">
      <c r="B60" t="s">
        <v>90</v>
      </c>
      <c r="C60" t="s">
        <v>70</v>
      </c>
      <c r="E60" s="18">
        <f>(29508000*0.95+44315000*1.02)/(29508000*$E$16+44315000*$E$17)</f>
        <v>0.81844607461845886</v>
      </c>
      <c r="F60" s="18">
        <f>(28349000*0.97+45867000*1.05)/(28349000*$F$16+45867000*$F$17)</f>
        <v>0.84572462324679454</v>
      </c>
      <c r="G60" s="18">
        <f>(28969000*0.85+45781000*0.74+$G$78)/(28969000*$G$16+45781000*$G$17)</f>
        <v>0.88028911299008705</v>
      </c>
      <c r="H60" s="18">
        <f>(29582000*0.67+45154000*0.53+$H$78)/(29582000*$H$16+45154000*$H$17)</f>
        <v>0.8877577901338668</v>
      </c>
      <c r="I60" s="18">
        <f>(33299000*0.83+47828000*0.9+$I$78)/(33299000*$I$16+47828000*$I$17)</f>
        <v>0.87891910810383189</v>
      </c>
      <c r="J60" s="18">
        <f>(8575000*0.94+10546000*1.17+$J$78)/(8575000*$J$16+10546000*$J$17)</f>
        <v>0.90342981483518281</v>
      </c>
      <c r="K60" s="64">
        <f t="shared" si="57"/>
        <v>0.88759895651574194</v>
      </c>
      <c r="L60" s="34">
        <f>AVERAGE($G$60:$J$60)</f>
        <v>0.88759895651574217</v>
      </c>
      <c r="M60" s="34">
        <f t="shared" ref="M60:AL60" si="60">AVERAGE($G$60:$J$60)</f>
        <v>0.88759895651574217</v>
      </c>
      <c r="N60" s="34">
        <f t="shared" si="60"/>
        <v>0.88759895651574217</v>
      </c>
      <c r="O60" s="34">
        <f t="shared" si="60"/>
        <v>0.88759895651574217</v>
      </c>
      <c r="P60" s="34">
        <f t="shared" si="60"/>
        <v>0.88759895651574217</v>
      </c>
      <c r="Q60" s="34">
        <f t="shared" si="60"/>
        <v>0.88759895651574217</v>
      </c>
      <c r="R60" s="34">
        <f t="shared" si="60"/>
        <v>0.88759895651574217</v>
      </c>
      <c r="S60" s="34">
        <f t="shared" si="60"/>
        <v>0.88759895651574217</v>
      </c>
      <c r="T60" s="34">
        <f t="shared" si="60"/>
        <v>0.88759895651574217</v>
      </c>
      <c r="U60" s="34">
        <f t="shared" si="60"/>
        <v>0.88759895651574217</v>
      </c>
      <c r="V60" s="34">
        <f t="shared" si="60"/>
        <v>0.88759895651574217</v>
      </c>
      <c r="W60" s="34">
        <f t="shared" si="60"/>
        <v>0.88759895651574217</v>
      </c>
      <c r="X60" s="34">
        <f t="shared" si="60"/>
        <v>0.88759895651574217</v>
      </c>
      <c r="Y60" s="34">
        <f t="shared" si="60"/>
        <v>0.88759895651574217</v>
      </c>
      <c r="Z60" s="34">
        <f t="shared" si="60"/>
        <v>0.88759895651574217</v>
      </c>
      <c r="AA60" s="34">
        <f t="shared" si="60"/>
        <v>0.88759895651574217</v>
      </c>
      <c r="AB60" s="34">
        <f t="shared" si="60"/>
        <v>0.88759895651574217</v>
      </c>
      <c r="AC60" s="34">
        <f t="shared" si="60"/>
        <v>0.88759895651574217</v>
      </c>
      <c r="AD60" s="34">
        <f t="shared" si="60"/>
        <v>0.88759895651574217</v>
      </c>
      <c r="AE60" s="34">
        <f t="shared" si="60"/>
        <v>0.88759895651574217</v>
      </c>
      <c r="AF60" s="34">
        <f t="shared" si="60"/>
        <v>0.88759895651574217</v>
      </c>
      <c r="AG60" s="34">
        <f t="shared" si="60"/>
        <v>0.88759895651574217</v>
      </c>
      <c r="AH60" s="34">
        <f t="shared" si="60"/>
        <v>0.88759895651574217</v>
      </c>
      <c r="AI60" s="34">
        <f t="shared" si="60"/>
        <v>0.88759895651574217</v>
      </c>
      <c r="AJ60" s="34">
        <f t="shared" si="60"/>
        <v>0.88759895651574217</v>
      </c>
      <c r="AK60" s="34">
        <f t="shared" si="60"/>
        <v>0.88759895651574217</v>
      </c>
      <c r="AL60" s="34">
        <f t="shared" si="60"/>
        <v>0.88759895651574217</v>
      </c>
      <c r="AM60" s="13"/>
    </row>
    <row r="61" spans="2:39" x14ac:dyDescent="0.25">
      <c r="F61" s="18"/>
      <c r="K61" s="26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</row>
    <row r="62" spans="2:39" ht="15.75" thickBot="1" x14ac:dyDescent="0.3">
      <c r="B62" s="14" t="s">
        <v>92</v>
      </c>
      <c r="K62" s="26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</row>
    <row r="63" spans="2:39" x14ac:dyDescent="0.25">
      <c r="B63" t="s">
        <v>83</v>
      </c>
      <c r="C63" t="s">
        <v>84</v>
      </c>
      <c r="E63" s="6">
        <f>E51*E57</f>
        <v>930379.16367362498</v>
      </c>
      <c r="F63" s="6">
        <f t="shared" ref="F63:J63" si="61">F51*F57</f>
        <v>786093.32084385853</v>
      </c>
      <c r="G63" s="6">
        <f t="shared" si="61"/>
        <v>912393.30322878237</v>
      </c>
      <c r="H63" s="6">
        <f t="shared" si="61"/>
        <v>894008.46484977403</v>
      </c>
      <c r="I63" s="6">
        <f t="shared" si="61"/>
        <v>972305.67497559893</v>
      </c>
      <c r="J63" s="6">
        <f t="shared" si="61"/>
        <v>279691.68746796821</v>
      </c>
      <c r="K63" s="15">
        <f>SUM(L63:AM63)</f>
        <v>22395270.989716418</v>
      </c>
      <c r="L63" s="16">
        <f>L51*L57</f>
        <v>274381.59057216335</v>
      </c>
      <c r="M63" s="16">
        <f t="shared" ref="M63:AJ66" si="62">M51*M57</f>
        <v>219505.27245773069</v>
      </c>
      <c r="N63" s="16">
        <f t="shared" si="62"/>
        <v>219505.27245773069</v>
      </c>
      <c r="O63" s="16">
        <f t="shared" si="62"/>
        <v>263136.4009975564</v>
      </c>
      <c r="P63" s="16">
        <f t="shared" si="62"/>
        <v>804027.89193697809</v>
      </c>
      <c r="Q63" s="16">
        <f t="shared" si="62"/>
        <v>1070088.0307233962</v>
      </c>
      <c r="R63" s="16">
        <f t="shared" si="62"/>
        <v>1067164.2929345346</v>
      </c>
      <c r="S63" s="16">
        <f t="shared" si="62"/>
        <v>1067164.2929345346</v>
      </c>
      <c r="T63" s="16">
        <f t="shared" si="62"/>
        <v>1073279.9969989697</v>
      </c>
      <c r="U63" s="16">
        <f t="shared" si="62"/>
        <v>1250584.8069899932</v>
      </c>
      <c r="V63" s="16">
        <f t="shared" si="62"/>
        <v>1117664.9081874099</v>
      </c>
      <c r="W63" s="16">
        <f t="shared" si="62"/>
        <v>1054306.8918148414</v>
      </c>
      <c r="X63" s="16">
        <f t="shared" si="62"/>
        <v>1054306.8918148414</v>
      </c>
      <c r="Y63" s="16">
        <f t="shared" si="62"/>
        <v>1057195.4038472108</v>
      </c>
      <c r="Z63" s="16">
        <f t="shared" si="62"/>
        <v>1453941.856317092</v>
      </c>
      <c r="AA63" s="16">
        <f t="shared" si="62"/>
        <v>1491458.5298844099</v>
      </c>
      <c r="AB63" s="16">
        <f t="shared" si="62"/>
        <v>1491458.5298844099</v>
      </c>
      <c r="AC63" s="16">
        <f t="shared" si="62"/>
        <v>1495544.7176375175</v>
      </c>
      <c r="AD63" s="16">
        <f t="shared" si="62"/>
        <v>1491458.5298844099</v>
      </c>
      <c r="AE63" s="16">
        <f t="shared" si="62"/>
        <v>1491458.5298844099</v>
      </c>
      <c r="AF63" s="16">
        <f t="shared" si="62"/>
        <v>1491458.5298844099</v>
      </c>
      <c r="AG63" s="16">
        <f t="shared" si="62"/>
        <v>396179.82167187455</v>
      </c>
      <c r="AH63" s="16">
        <f t="shared" si="62"/>
        <v>0</v>
      </c>
      <c r="AI63" s="16">
        <f t="shared" si="62"/>
        <v>0</v>
      </c>
      <c r="AJ63" s="16">
        <f t="shared" si="62"/>
        <v>0</v>
      </c>
      <c r="AK63" s="16">
        <f t="shared" ref="AK63:AL63" si="63">AK51*AK57</f>
        <v>0</v>
      </c>
      <c r="AL63" s="16">
        <f t="shared" si="63"/>
        <v>0</v>
      </c>
      <c r="AM63" s="13"/>
    </row>
    <row r="64" spans="2:39" x14ac:dyDescent="0.25">
      <c r="B64" t="s">
        <v>85</v>
      </c>
      <c r="C64" t="s">
        <v>84</v>
      </c>
      <c r="E64" s="6"/>
      <c r="F64" s="6"/>
      <c r="G64" s="6"/>
      <c r="H64" s="6">
        <f t="shared" ref="H64:J64" si="64">H52*H58</f>
        <v>3739.0756578292517</v>
      </c>
      <c r="I64" s="6">
        <f t="shared" si="64"/>
        <v>5511.4153464945493</v>
      </c>
      <c r="J64" s="6">
        <f t="shared" si="64"/>
        <v>231.32873852495456</v>
      </c>
      <c r="K64" s="15">
        <f t="shared" ref="K64:K66" si="65">SUM(L64:AM64)</f>
        <v>36393.825584658895</v>
      </c>
      <c r="L64" s="16">
        <f t="shared" ref="L64:AA66" si="66">L52*L58</f>
        <v>372.69554566814389</v>
      </c>
      <c r="M64" s="16">
        <f t="shared" si="66"/>
        <v>258.6304149262773</v>
      </c>
      <c r="N64" s="16">
        <f t="shared" si="66"/>
        <v>258.6304149262773</v>
      </c>
      <c r="O64" s="16">
        <f t="shared" si="66"/>
        <v>254.00741277888667</v>
      </c>
      <c r="P64" s="16">
        <f t="shared" si="66"/>
        <v>776.13376126882065</v>
      </c>
      <c r="Q64" s="16">
        <f t="shared" si="66"/>
        <v>1032.9634786341392</v>
      </c>
      <c r="R64" s="16">
        <f t="shared" si="66"/>
        <v>1030.1411740477072</v>
      </c>
      <c r="S64" s="16">
        <f t="shared" si="66"/>
        <v>1030.1411740477072</v>
      </c>
      <c r="T64" s="16">
        <f t="shared" si="66"/>
        <v>1057.7723671099138</v>
      </c>
      <c r="U64" s="16">
        <f t="shared" si="66"/>
        <v>1848.4609617663543</v>
      </c>
      <c r="V64" s="16">
        <f t="shared" si="66"/>
        <v>1479.3458621568918</v>
      </c>
      <c r="W64" s="16">
        <f t="shared" si="66"/>
        <v>1301.2309566918407</v>
      </c>
      <c r="X64" s="16">
        <f t="shared" si="66"/>
        <v>1301.2309566918407</v>
      </c>
      <c r="Y64" s="16">
        <f t="shared" si="66"/>
        <v>1304.7959730115444</v>
      </c>
      <c r="Z64" s="16">
        <f t="shared" si="66"/>
        <v>3036.0035701406614</v>
      </c>
      <c r="AA64" s="16">
        <f t="shared" si="66"/>
        <v>3198.8594352007749</v>
      </c>
      <c r="AB64" s="16">
        <f t="shared" si="62"/>
        <v>3198.8594352007749</v>
      </c>
      <c r="AC64" s="16">
        <f t="shared" si="62"/>
        <v>3207.6234336533803</v>
      </c>
      <c r="AD64" s="16">
        <f t="shared" si="62"/>
        <v>3198.8594352007749</v>
      </c>
      <c r="AE64" s="16">
        <f t="shared" si="62"/>
        <v>3198.8594352007749</v>
      </c>
      <c r="AF64" s="16">
        <f t="shared" si="62"/>
        <v>3198.8594352007749</v>
      </c>
      <c r="AG64" s="16">
        <f t="shared" si="62"/>
        <v>849.7209511346291</v>
      </c>
      <c r="AH64" s="16">
        <f t="shared" si="62"/>
        <v>0</v>
      </c>
      <c r="AI64" s="16">
        <f t="shared" si="62"/>
        <v>0</v>
      </c>
      <c r="AJ64" s="16">
        <f t="shared" si="62"/>
        <v>0</v>
      </c>
      <c r="AK64" s="16">
        <f t="shared" ref="AK64:AL64" si="67">AK52*AK58</f>
        <v>0</v>
      </c>
      <c r="AL64" s="16">
        <f t="shared" si="67"/>
        <v>0</v>
      </c>
      <c r="AM64" s="13"/>
    </row>
    <row r="65" spans="2:39" x14ac:dyDescent="0.25">
      <c r="B65" t="s">
        <v>88</v>
      </c>
      <c r="C65" t="s">
        <v>89</v>
      </c>
      <c r="E65" s="6">
        <f t="shared" ref="E65:J66" si="68">E53*E59</f>
        <v>24453531.817450315</v>
      </c>
      <c r="F65" s="6">
        <f t="shared" si="68"/>
        <v>23895949.229838181</v>
      </c>
      <c r="G65" s="6">
        <f t="shared" si="68"/>
        <v>25304790.842013042</v>
      </c>
      <c r="H65" s="6">
        <f t="shared" si="68"/>
        <v>26302487.806086205</v>
      </c>
      <c r="I65" s="6">
        <f t="shared" si="68"/>
        <v>28995541.376345415</v>
      </c>
      <c r="J65" s="6">
        <f t="shared" si="68"/>
        <v>8251927.9287045598</v>
      </c>
      <c r="K65" s="15">
        <f t="shared" si="65"/>
        <v>351649142.98734868</v>
      </c>
      <c r="L65" s="16">
        <f t="shared" si="66"/>
        <v>6516849.4645721624</v>
      </c>
      <c r="M65" s="16">
        <f t="shared" si="62"/>
        <v>6865966.4001742424</v>
      </c>
      <c r="N65" s="16">
        <f t="shared" si="62"/>
        <v>6865966.4001742424</v>
      </c>
      <c r="O65" s="16">
        <f t="shared" si="62"/>
        <v>5828900.3755128384</v>
      </c>
      <c r="P65" s="16">
        <f t="shared" si="62"/>
        <v>17810528.925178114</v>
      </c>
      <c r="Q65" s="16">
        <f t="shared" si="62"/>
        <v>23704194.860418871</v>
      </c>
      <c r="R65" s="16">
        <f t="shared" si="62"/>
        <v>23639429.300690953</v>
      </c>
      <c r="S65" s="16">
        <f t="shared" si="62"/>
        <v>23639429.300690953</v>
      </c>
      <c r="T65" s="16">
        <f t="shared" si="62"/>
        <v>23400056.04161704</v>
      </c>
      <c r="U65" s="16">
        <f t="shared" si="62"/>
        <v>16639415.215745011</v>
      </c>
      <c r="V65" s="16">
        <f t="shared" si="62"/>
        <v>15473470.831534708</v>
      </c>
      <c r="W65" s="16">
        <f t="shared" si="62"/>
        <v>14925286.734946053</v>
      </c>
      <c r="X65" s="16">
        <f t="shared" si="62"/>
        <v>14925286.734946053</v>
      </c>
      <c r="Y65" s="16">
        <f t="shared" si="62"/>
        <v>14966177.931480151</v>
      </c>
      <c r="Z65" s="16">
        <f t="shared" si="62"/>
        <v>18484692.222496223</v>
      </c>
      <c r="AA65" s="16">
        <f t="shared" si="62"/>
        <v>18818839.796236325</v>
      </c>
      <c r="AB65" s="16">
        <f t="shared" si="62"/>
        <v>18818839.796236325</v>
      </c>
      <c r="AC65" s="16">
        <f t="shared" si="62"/>
        <v>18870398.261431493</v>
      </c>
      <c r="AD65" s="16">
        <f t="shared" si="62"/>
        <v>18818839.796236325</v>
      </c>
      <c r="AE65" s="16">
        <f t="shared" si="62"/>
        <v>18818839.796236325</v>
      </c>
      <c r="AF65" s="16">
        <f t="shared" si="62"/>
        <v>18818839.796236325</v>
      </c>
      <c r="AG65" s="16">
        <f t="shared" si="62"/>
        <v>4998895.0045579253</v>
      </c>
      <c r="AH65" s="16">
        <f t="shared" si="62"/>
        <v>0</v>
      </c>
      <c r="AI65" s="16">
        <f t="shared" si="62"/>
        <v>0</v>
      </c>
      <c r="AJ65" s="16">
        <f t="shared" si="62"/>
        <v>0</v>
      </c>
      <c r="AK65" s="16">
        <f t="shared" ref="AK65:AL65" si="69">AK53*AK59</f>
        <v>0</v>
      </c>
      <c r="AL65" s="16">
        <f t="shared" si="69"/>
        <v>0</v>
      </c>
      <c r="AM65" s="13"/>
    </row>
    <row r="66" spans="2:39" x14ac:dyDescent="0.25">
      <c r="B66" t="s">
        <v>90</v>
      </c>
      <c r="C66" t="s">
        <v>89</v>
      </c>
      <c r="E66" s="6">
        <f t="shared" si="68"/>
        <v>36295628.071104795</v>
      </c>
      <c r="F66" s="6">
        <f t="shared" si="68"/>
        <v>38467784.488380447</v>
      </c>
      <c r="G66" s="6">
        <f t="shared" si="68"/>
        <v>40141183.552347973</v>
      </c>
      <c r="H66" s="6">
        <f t="shared" si="68"/>
        <v>40432928.551646963</v>
      </c>
      <c r="I66" s="6">
        <f t="shared" si="68"/>
        <v>41791724.671229102</v>
      </c>
      <c r="J66" s="6">
        <f t="shared" si="68"/>
        <v>9781434.6052205246</v>
      </c>
      <c r="K66" s="15">
        <f t="shared" si="65"/>
        <v>582309616.40719306</v>
      </c>
      <c r="L66" s="16">
        <f t="shared" si="66"/>
        <v>9808362.1452324688</v>
      </c>
      <c r="M66" s="16">
        <f t="shared" si="62"/>
        <v>9808362.1452324688</v>
      </c>
      <c r="N66" s="16">
        <f t="shared" si="62"/>
        <v>9808362.1452324688</v>
      </c>
      <c r="O66" s="16">
        <f t="shared" si="62"/>
        <v>8562700.7096646875</v>
      </c>
      <c r="P66" s="16">
        <f t="shared" si="62"/>
        <v>26163807.723975435</v>
      </c>
      <c r="Q66" s="16">
        <f t="shared" si="62"/>
        <v>34821649.5526364</v>
      </c>
      <c r="R66" s="16">
        <f t="shared" si="62"/>
        <v>34726508.433640122</v>
      </c>
      <c r="S66" s="16">
        <f t="shared" si="62"/>
        <v>34726508.433640122</v>
      </c>
      <c r="T66" s="16">
        <f t="shared" si="62"/>
        <v>34563337.855822861</v>
      </c>
      <c r="U66" s="16">
        <f t="shared" si="62"/>
        <v>30005889.50812285</v>
      </c>
      <c r="V66" s="16">
        <f t="shared" si="62"/>
        <v>28993655.703469478</v>
      </c>
      <c r="W66" s="16">
        <f t="shared" si="62"/>
        <v>28538540.175518084</v>
      </c>
      <c r="X66" s="16">
        <f t="shared" si="62"/>
        <v>28538540.175518084</v>
      </c>
      <c r="Y66" s="16">
        <f t="shared" si="62"/>
        <v>28616727.956820868</v>
      </c>
      <c r="Z66" s="16">
        <f t="shared" si="62"/>
        <v>32000232.772551805</v>
      </c>
      <c r="AA66" s="16">
        <f t="shared" si="62"/>
        <v>32325207.318547994</v>
      </c>
      <c r="AB66" s="16">
        <f t="shared" si="62"/>
        <v>32325207.318547994</v>
      </c>
      <c r="AC66" s="16">
        <f t="shared" si="62"/>
        <v>32413769.530379631</v>
      </c>
      <c r="AD66" s="16">
        <f t="shared" si="62"/>
        <v>32325207.318547994</v>
      </c>
      <c r="AE66" s="16">
        <f t="shared" si="62"/>
        <v>32325207.318547994</v>
      </c>
      <c r="AF66" s="16">
        <f t="shared" si="62"/>
        <v>32325207.318547994</v>
      </c>
      <c r="AG66" s="16">
        <f t="shared" si="62"/>
        <v>8586624.8469954077</v>
      </c>
      <c r="AH66" s="16">
        <f t="shared" si="62"/>
        <v>0</v>
      </c>
      <c r="AI66" s="16">
        <f t="shared" si="62"/>
        <v>0</v>
      </c>
      <c r="AJ66" s="16">
        <f t="shared" si="62"/>
        <v>0</v>
      </c>
      <c r="AK66" s="16">
        <f t="shared" ref="AK66:AL66" si="70">AK54*AK60</f>
        <v>0</v>
      </c>
      <c r="AL66" s="16">
        <f t="shared" si="70"/>
        <v>0</v>
      </c>
      <c r="AM66" s="13"/>
    </row>
    <row r="67" spans="2:39" x14ac:dyDescent="0.25">
      <c r="K67" s="26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</row>
    <row r="68" spans="2:39" ht="15.75" thickBot="1" x14ac:dyDescent="0.3">
      <c r="B68" s="14" t="s">
        <v>155</v>
      </c>
      <c r="K68" s="26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</row>
    <row r="69" spans="2:39" x14ac:dyDescent="0.25">
      <c r="B69" t="s">
        <v>83</v>
      </c>
      <c r="C69" t="s">
        <v>93</v>
      </c>
      <c r="E69" s="6">
        <f>E63*E14</f>
        <v>15872268.532272041</v>
      </c>
      <c r="F69" s="6">
        <f t="shared" ref="F69:J69" si="71">F63*F14</f>
        <v>12349526.070457019</v>
      </c>
      <c r="G69" s="6">
        <f t="shared" si="71"/>
        <v>14808143.311403139</v>
      </c>
      <c r="H69" s="6">
        <f t="shared" si="71"/>
        <v>18443394.629850838</v>
      </c>
      <c r="I69" s="6">
        <f t="shared" si="71"/>
        <v>24550718.293133873</v>
      </c>
      <c r="J69" s="6">
        <f t="shared" si="71"/>
        <v>6651068.3279882846</v>
      </c>
      <c r="K69" s="15">
        <f>SUM(L69:AM69)</f>
        <v>557961103.60890555</v>
      </c>
      <c r="L69" s="16">
        <f>L63*L14</f>
        <v>6036394.9925875934</v>
      </c>
      <c r="M69" s="16">
        <f t="shared" ref="M69:AJ72" si="72">M63*M14</f>
        <v>4829115.9940700755</v>
      </c>
      <c r="N69" s="16">
        <f t="shared" si="72"/>
        <v>5048621.2665278064</v>
      </c>
      <c r="O69" s="16">
        <f t="shared" si="72"/>
        <v>6578410.0249389103</v>
      </c>
      <c r="P69" s="16">
        <f t="shared" si="72"/>
        <v>20100697.298424453</v>
      </c>
      <c r="Q69" s="16">
        <f t="shared" si="72"/>
        <v>26752200.768084906</v>
      </c>
      <c r="R69" s="16">
        <f t="shared" si="72"/>
        <v>26679107.323363364</v>
      </c>
      <c r="S69" s="16">
        <f t="shared" si="72"/>
        <v>26679107.323363364</v>
      </c>
      <c r="T69" s="16">
        <f t="shared" si="72"/>
        <v>26831999.924974244</v>
      </c>
      <c r="U69" s="16">
        <f t="shared" si="72"/>
        <v>31264620.174749829</v>
      </c>
      <c r="V69" s="16">
        <f t="shared" si="72"/>
        <v>27941622.704685248</v>
      </c>
      <c r="W69" s="16">
        <f t="shared" si="72"/>
        <v>26357672.295371037</v>
      </c>
      <c r="X69" s="16">
        <f t="shared" si="72"/>
        <v>26357672.295371037</v>
      </c>
      <c r="Y69" s="16">
        <f t="shared" si="72"/>
        <v>26429885.096180271</v>
      </c>
      <c r="Z69" s="16">
        <f t="shared" si="72"/>
        <v>36348546.407927297</v>
      </c>
      <c r="AA69" s="16">
        <f t="shared" si="72"/>
        <v>37286463.247110248</v>
      </c>
      <c r="AB69" s="16">
        <f t="shared" si="72"/>
        <v>37286463.247110248</v>
      </c>
      <c r="AC69" s="16">
        <f t="shared" si="72"/>
        <v>37388617.940937936</v>
      </c>
      <c r="AD69" s="16">
        <f t="shared" si="72"/>
        <v>37286463.247110248</v>
      </c>
      <c r="AE69" s="16">
        <f t="shared" si="72"/>
        <v>37286463.247110248</v>
      </c>
      <c r="AF69" s="16">
        <f t="shared" si="72"/>
        <v>37286463.247110248</v>
      </c>
      <c r="AG69" s="16">
        <f t="shared" si="72"/>
        <v>9904495.5417968631</v>
      </c>
      <c r="AH69" s="16">
        <f t="shared" si="72"/>
        <v>0</v>
      </c>
      <c r="AI69" s="16">
        <f t="shared" si="72"/>
        <v>0</v>
      </c>
      <c r="AJ69" s="16">
        <f t="shared" si="72"/>
        <v>0</v>
      </c>
      <c r="AK69" s="16">
        <f t="shared" ref="AK69:AL69" si="73">AK63*AK14</f>
        <v>0</v>
      </c>
      <c r="AL69" s="16">
        <f t="shared" si="73"/>
        <v>0</v>
      </c>
      <c r="AM69" s="13"/>
    </row>
    <row r="70" spans="2:39" x14ac:dyDescent="0.25">
      <c r="B70" t="s">
        <v>85</v>
      </c>
      <c r="C70" t="s">
        <v>93</v>
      </c>
      <c r="E70" s="6">
        <f>E64*E15</f>
        <v>0</v>
      </c>
      <c r="F70" s="6">
        <f t="shared" ref="F70:J70" si="74">F64*F15</f>
        <v>0</v>
      </c>
      <c r="G70" s="6">
        <f t="shared" si="74"/>
        <v>0</v>
      </c>
      <c r="H70" s="6">
        <f t="shared" si="74"/>
        <v>6958419.7992202369</v>
      </c>
      <c r="I70" s="6">
        <f t="shared" si="74"/>
        <v>9876456.3009182326</v>
      </c>
      <c r="J70" s="6">
        <f t="shared" si="74"/>
        <v>422868.93402361695</v>
      </c>
      <c r="K70" s="15">
        <f t="shared" ref="K70:K73" si="75">SUM(L70:AM70)</f>
        <v>63772712.800872192</v>
      </c>
      <c r="L70" s="16">
        <f t="shared" ref="L70:AA72" si="76">L64*L15</f>
        <v>696940.67039942904</v>
      </c>
      <c r="M70" s="16">
        <f t="shared" si="76"/>
        <v>478466.26761361299</v>
      </c>
      <c r="N70" s="16">
        <f t="shared" si="76"/>
        <v>465534.74686729914</v>
      </c>
      <c r="O70" s="16">
        <f t="shared" si="76"/>
        <v>444512.97236305167</v>
      </c>
      <c r="P70" s="16">
        <f t="shared" si="76"/>
        <v>1358234.0822204361</v>
      </c>
      <c r="Q70" s="16">
        <f t="shared" si="76"/>
        <v>1807686.0876097435</v>
      </c>
      <c r="R70" s="16">
        <f t="shared" si="76"/>
        <v>1802747.0545834876</v>
      </c>
      <c r="S70" s="16">
        <f t="shared" si="76"/>
        <v>1802747.0545834876</v>
      </c>
      <c r="T70" s="16">
        <f t="shared" si="76"/>
        <v>1851101.6424423491</v>
      </c>
      <c r="U70" s="16">
        <f t="shared" si="76"/>
        <v>3234806.6830911199</v>
      </c>
      <c r="V70" s="16">
        <f t="shared" si="76"/>
        <v>2588855.2587745609</v>
      </c>
      <c r="W70" s="16">
        <f t="shared" si="76"/>
        <v>2277154.1742107212</v>
      </c>
      <c r="X70" s="16">
        <f t="shared" si="76"/>
        <v>2277154.1742107212</v>
      </c>
      <c r="Y70" s="16">
        <f t="shared" si="76"/>
        <v>2283392.9527702029</v>
      </c>
      <c r="Z70" s="16">
        <f t="shared" si="76"/>
        <v>5313006.2477461575</v>
      </c>
      <c r="AA70" s="16">
        <f t="shared" si="76"/>
        <v>5598004.0116013559</v>
      </c>
      <c r="AB70" s="16">
        <f t="shared" si="72"/>
        <v>5598004.0116013559</v>
      </c>
      <c r="AC70" s="16">
        <f t="shared" si="72"/>
        <v>5613341.0088934153</v>
      </c>
      <c r="AD70" s="16">
        <f t="shared" si="72"/>
        <v>5598004.0116013559</v>
      </c>
      <c r="AE70" s="16">
        <f t="shared" si="72"/>
        <v>5598004.0116013559</v>
      </c>
      <c r="AF70" s="16">
        <f t="shared" si="72"/>
        <v>5598004.0116013559</v>
      </c>
      <c r="AG70" s="16">
        <f t="shared" si="72"/>
        <v>1487011.664485601</v>
      </c>
      <c r="AH70" s="16">
        <f t="shared" si="72"/>
        <v>0</v>
      </c>
      <c r="AI70" s="16">
        <f t="shared" si="72"/>
        <v>0</v>
      </c>
      <c r="AJ70" s="16">
        <f t="shared" si="72"/>
        <v>0</v>
      </c>
      <c r="AK70" s="16">
        <f t="shared" ref="AK70:AL70" si="77">AK64*AK15</f>
        <v>0</v>
      </c>
      <c r="AL70" s="16">
        <f t="shared" si="77"/>
        <v>0</v>
      </c>
      <c r="AM70" s="13"/>
    </row>
    <row r="71" spans="2:39" x14ac:dyDescent="0.25">
      <c r="B71" t="s">
        <v>88</v>
      </c>
      <c r="C71" t="s">
        <v>93</v>
      </c>
      <c r="E71" s="6">
        <f t="shared" ref="E71:J72" si="78">E65*E16</f>
        <v>25676208.40832283</v>
      </c>
      <c r="F71" s="6">
        <f t="shared" si="78"/>
        <v>24373868.214434944</v>
      </c>
      <c r="G71" s="6">
        <f t="shared" si="78"/>
        <v>23027359.666231871</v>
      </c>
      <c r="H71" s="6">
        <f t="shared" si="78"/>
        <v>21831064.879051547</v>
      </c>
      <c r="I71" s="6">
        <f t="shared" si="78"/>
        <v>28995541.376345415</v>
      </c>
      <c r="J71" s="6">
        <f t="shared" si="78"/>
        <v>8747043.6044268347</v>
      </c>
      <c r="K71" s="15">
        <f t="shared" si="75"/>
        <v>316810071.16184241</v>
      </c>
      <c r="L71" s="16">
        <f t="shared" si="76"/>
        <v>6191006.9913435541</v>
      </c>
      <c r="M71" s="16">
        <f t="shared" si="72"/>
        <v>6179369.7601568187</v>
      </c>
      <c r="N71" s="16">
        <f t="shared" si="72"/>
        <v>6179369.7601568187</v>
      </c>
      <c r="O71" s="16">
        <f t="shared" si="72"/>
        <v>5246010.3379615545</v>
      </c>
      <c r="P71" s="16">
        <f t="shared" si="72"/>
        <v>16029476.032660304</v>
      </c>
      <c r="Q71" s="16">
        <f t="shared" si="72"/>
        <v>21333775.374376986</v>
      </c>
      <c r="R71" s="16">
        <f t="shared" si="72"/>
        <v>21275486.370621856</v>
      </c>
      <c r="S71" s="16">
        <f t="shared" si="72"/>
        <v>21275486.370621856</v>
      </c>
      <c r="T71" s="16">
        <f t="shared" si="72"/>
        <v>21060050.437455337</v>
      </c>
      <c r="U71" s="16">
        <f t="shared" si="72"/>
        <v>14975473.69417051</v>
      </c>
      <c r="V71" s="16">
        <f t="shared" si="72"/>
        <v>13926123.748381237</v>
      </c>
      <c r="W71" s="16">
        <f t="shared" si="72"/>
        <v>13432758.061451448</v>
      </c>
      <c r="X71" s="16">
        <f t="shared" si="72"/>
        <v>13432758.061451448</v>
      </c>
      <c r="Y71" s="16">
        <f t="shared" si="72"/>
        <v>13469560.138332136</v>
      </c>
      <c r="Z71" s="16">
        <f t="shared" si="72"/>
        <v>16636223.000246601</v>
      </c>
      <c r="AA71" s="16">
        <f t="shared" si="72"/>
        <v>16936955.816612694</v>
      </c>
      <c r="AB71" s="16">
        <f t="shared" si="72"/>
        <v>16936955.816612694</v>
      </c>
      <c r="AC71" s="16">
        <f t="shared" si="72"/>
        <v>16983358.435288344</v>
      </c>
      <c r="AD71" s="16">
        <f t="shared" si="72"/>
        <v>16936955.816612694</v>
      </c>
      <c r="AE71" s="16">
        <f t="shared" si="72"/>
        <v>16936955.816612694</v>
      </c>
      <c r="AF71" s="16">
        <f t="shared" si="72"/>
        <v>16936955.816612694</v>
      </c>
      <c r="AG71" s="16">
        <f t="shared" si="72"/>
        <v>4499005.5041021332</v>
      </c>
      <c r="AH71" s="16">
        <f t="shared" si="72"/>
        <v>0</v>
      </c>
      <c r="AI71" s="16">
        <f t="shared" si="72"/>
        <v>0</v>
      </c>
      <c r="AJ71" s="16">
        <f t="shared" si="72"/>
        <v>0</v>
      </c>
      <c r="AK71" s="16">
        <f t="shared" ref="AK71:AL71" si="79">AK65*AK16</f>
        <v>0</v>
      </c>
      <c r="AL71" s="16">
        <f t="shared" si="79"/>
        <v>0</v>
      </c>
      <c r="AM71" s="13"/>
    </row>
    <row r="72" spans="2:39" x14ac:dyDescent="0.25">
      <c r="B72" s="8" t="s">
        <v>90</v>
      </c>
      <c r="C72" t="s">
        <v>93</v>
      </c>
      <c r="E72" s="6">
        <f t="shared" si="78"/>
        <v>47910229.053858332</v>
      </c>
      <c r="F72" s="6">
        <f t="shared" si="78"/>
        <v>50777475.524662189</v>
      </c>
      <c r="G72" s="6">
        <f t="shared" si="78"/>
        <v>46162361.085200168</v>
      </c>
      <c r="H72" s="6">
        <f t="shared" si="78"/>
        <v>41645916.408196375</v>
      </c>
      <c r="I72" s="6">
        <f t="shared" si="78"/>
        <v>56836745.552871585</v>
      </c>
      <c r="J72" s="6">
        <f t="shared" si="78"/>
        <v>16530624.482822686</v>
      </c>
      <c r="K72" s="15">
        <f t="shared" si="75"/>
        <v>651329776.40766823</v>
      </c>
      <c r="L72" s="16">
        <f t="shared" si="76"/>
        <v>16674215.646895196</v>
      </c>
      <c r="M72" s="16">
        <f t="shared" si="72"/>
        <v>14222125.110587079</v>
      </c>
      <c r="N72" s="16">
        <f t="shared" si="72"/>
        <v>12260452.681540586</v>
      </c>
      <c r="O72" s="16">
        <f t="shared" si="72"/>
        <v>9418970.7806311566</v>
      </c>
      <c r="P72" s="16">
        <f t="shared" si="72"/>
        <v>28780188.496372979</v>
      </c>
      <c r="Q72" s="16">
        <f t="shared" si="72"/>
        <v>38303814.507900044</v>
      </c>
      <c r="R72" s="16">
        <f t="shared" si="72"/>
        <v>38199159.277004138</v>
      </c>
      <c r="S72" s="16">
        <f t="shared" si="72"/>
        <v>38199159.277004138</v>
      </c>
      <c r="T72" s="16">
        <f t="shared" si="72"/>
        <v>38019671.64140515</v>
      </c>
      <c r="U72" s="16">
        <f t="shared" si="72"/>
        <v>33006478.458935138</v>
      </c>
      <c r="V72" s="16">
        <f t="shared" si="72"/>
        <v>31893021.273816429</v>
      </c>
      <c r="W72" s="16">
        <f t="shared" si="72"/>
        <v>31392394.193069894</v>
      </c>
      <c r="X72" s="16">
        <f t="shared" si="72"/>
        <v>31392394.193069894</v>
      </c>
      <c r="Y72" s="16">
        <f t="shared" si="72"/>
        <v>31478400.752502955</v>
      </c>
      <c r="Z72" s="16">
        <f t="shared" si="72"/>
        <v>35200256.04980699</v>
      </c>
      <c r="AA72" s="16">
        <f t="shared" si="72"/>
        <v>35557728.050402798</v>
      </c>
      <c r="AB72" s="16">
        <f t="shared" si="72"/>
        <v>35557728.050402798</v>
      </c>
      <c r="AC72" s="16">
        <f t="shared" si="72"/>
        <v>35655146.483417593</v>
      </c>
      <c r="AD72" s="16">
        <f t="shared" si="72"/>
        <v>35557728.050402798</v>
      </c>
      <c r="AE72" s="16">
        <f t="shared" si="72"/>
        <v>35557728.050402798</v>
      </c>
      <c r="AF72" s="16">
        <f t="shared" si="72"/>
        <v>35557728.050402798</v>
      </c>
      <c r="AG72" s="16">
        <f t="shared" si="72"/>
        <v>9445287.3316949494</v>
      </c>
      <c r="AH72" s="16">
        <f t="shared" si="72"/>
        <v>0</v>
      </c>
      <c r="AI72" s="16">
        <f t="shared" si="72"/>
        <v>0</v>
      </c>
      <c r="AJ72" s="16">
        <f t="shared" si="72"/>
        <v>0</v>
      </c>
      <c r="AK72" s="16">
        <f t="shared" ref="AK72:AL72" si="80">AK66*AK17</f>
        <v>0</v>
      </c>
      <c r="AL72" s="16">
        <f t="shared" si="80"/>
        <v>0</v>
      </c>
      <c r="AM72" s="13"/>
    </row>
    <row r="73" spans="2:39" x14ac:dyDescent="0.25">
      <c r="B73" t="s">
        <v>19</v>
      </c>
      <c r="C73" t="s">
        <v>93</v>
      </c>
      <c r="E73" s="6">
        <f>SUM(E69:E72)</f>
        <v>89458705.994453192</v>
      </c>
      <c r="F73" s="6">
        <f t="shared" ref="F73:J73" si="81">SUM(F69:F72)</f>
        <v>87500869.80955416</v>
      </c>
      <c r="G73" s="6">
        <f t="shared" si="81"/>
        <v>83997864.062835187</v>
      </c>
      <c r="H73" s="6">
        <f t="shared" si="81"/>
        <v>88878795.716318995</v>
      </c>
      <c r="I73" s="6">
        <f t="shared" si="81"/>
        <v>120259461.5232691</v>
      </c>
      <c r="J73" s="6">
        <f t="shared" si="81"/>
        <v>32351605.349261422</v>
      </c>
      <c r="K73" s="15">
        <f t="shared" si="75"/>
        <v>1589873663.9792886</v>
      </c>
      <c r="L73" s="16">
        <f>SUM(L69:L72)</f>
        <v>29598558.301225774</v>
      </c>
      <c r="M73" s="16">
        <f t="shared" ref="M73:AJ73" si="82">SUM(M69:M72)</f>
        <v>25709077.132427588</v>
      </c>
      <c r="N73" s="16">
        <f t="shared" si="82"/>
        <v>23953978.455092512</v>
      </c>
      <c r="O73" s="16">
        <f t="shared" si="82"/>
        <v>21687904.115894675</v>
      </c>
      <c r="P73" s="16">
        <f t="shared" si="82"/>
        <v>66268595.909678176</v>
      </c>
      <c r="Q73" s="16">
        <f t="shared" si="82"/>
        <v>88197476.737971678</v>
      </c>
      <c r="R73" s="16">
        <f t="shared" si="82"/>
        <v>87956500.025572836</v>
      </c>
      <c r="S73" s="16">
        <f t="shared" si="82"/>
        <v>87956500.025572836</v>
      </c>
      <c r="T73" s="16">
        <f t="shared" si="82"/>
        <v>87762823.646277085</v>
      </c>
      <c r="U73" s="16">
        <f t="shared" si="82"/>
        <v>82481379.010946602</v>
      </c>
      <c r="V73" s="16">
        <f t="shared" si="82"/>
        <v>76349622.985657483</v>
      </c>
      <c r="W73" s="16">
        <f t="shared" si="82"/>
        <v>73459978.724103093</v>
      </c>
      <c r="X73" s="16">
        <f t="shared" si="82"/>
        <v>73459978.724103093</v>
      </c>
      <c r="Y73" s="16">
        <f t="shared" si="82"/>
        <v>73661238.93978557</v>
      </c>
      <c r="Z73" s="16">
        <f t="shared" si="82"/>
        <v>93498031.705727041</v>
      </c>
      <c r="AA73" s="16">
        <f t="shared" si="82"/>
        <v>95379151.125727087</v>
      </c>
      <c r="AB73" s="16">
        <f t="shared" si="82"/>
        <v>95379151.125727087</v>
      </c>
      <c r="AC73" s="16">
        <f t="shared" si="82"/>
        <v>95640463.868537277</v>
      </c>
      <c r="AD73" s="16">
        <f t="shared" si="82"/>
        <v>95379151.125727087</v>
      </c>
      <c r="AE73" s="16">
        <f t="shared" si="82"/>
        <v>95379151.125727087</v>
      </c>
      <c r="AF73" s="16">
        <f t="shared" si="82"/>
        <v>95379151.125727087</v>
      </c>
      <c r="AG73" s="16">
        <f t="shared" si="82"/>
        <v>25335800.042079546</v>
      </c>
      <c r="AH73" s="16">
        <f t="shared" si="82"/>
        <v>0</v>
      </c>
      <c r="AI73" s="16">
        <f t="shared" si="82"/>
        <v>0</v>
      </c>
      <c r="AJ73" s="16">
        <f t="shared" si="82"/>
        <v>0</v>
      </c>
      <c r="AK73" s="16">
        <f t="shared" ref="AK73" si="83">SUM(AK69:AK72)</f>
        <v>0</v>
      </c>
      <c r="AL73" s="16">
        <f t="shared" ref="AL73" si="84">SUM(AL69:AL72)</f>
        <v>0</v>
      </c>
      <c r="AM73" s="13"/>
    </row>
    <row r="74" spans="2:39" x14ac:dyDescent="0.25">
      <c r="K74" s="26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</row>
    <row r="75" spans="2:39" x14ac:dyDescent="0.25">
      <c r="B75" t="s">
        <v>94</v>
      </c>
      <c r="C75" t="s">
        <v>70</v>
      </c>
      <c r="E75" s="33">
        <f>E69/E73</f>
        <v>0.17742564410954242</v>
      </c>
      <c r="F75" s="33">
        <f t="shared" ref="F75:J75" si="85">F69/F73</f>
        <v>0.14113603781694731</v>
      </c>
      <c r="G75" s="33">
        <f t="shared" si="85"/>
        <v>0.17629190309322393</v>
      </c>
      <c r="H75" s="33">
        <f t="shared" si="85"/>
        <v>0.20751175216997741</v>
      </c>
      <c r="I75" s="33">
        <f t="shared" si="85"/>
        <v>0.20414791470177618</v>
      </c>
      <c r="J75" s="33">
        <f t="shared" si="85"/>
        <v>0.20558696411459923</v>
      </c>
      <c r="K75" s="65">
        <f>AVERAGE(L75:AM75)</f>
        <v>0.33507172494142429</v>
      </c>
      <c r="L75" s="43">
        <f>IFERROR(L69/L73,"")</f>
        <v>0.20394219647980646</v>
      </c>
      <c r="M75" s="43">
        <f t="shared" ref="M75:AJ75" si="86">IFERROR(M69/M73,"")</f>
        <v>0.18783700282959495</v>
      </c>
      <c r="N75" s="43">
        <f t="shared" si="86"/>
        <v>0.21076337177110935</v>
      </c>
      <c r="O75" s="43">
        <f t="shared" si="86"/>
        <v>0.3033216114284511</v>
      </c>
      <c r="P75" s="43">
        <f t="shared" si="86"/>
        <v>0.30332161142845115</v>
      </c>
      <c r="Q75" s="43">
        <f t="shared" si="86"/>
        <v>0.30332161142845115</v>
      </c>
      <c r="R75" s="43">
        <f t="shared" si="86"/>
        <v>0.30332161142845121</v>
      </c>
      <c r="S75" s="43">
        <f t="shared" si="86"/>
        <v>0.30332161142845121</v>
      </c>
      <c r="T75" s="43">
        <f t="shared" si="86"/>
        <v>0.30573309757123412</v>
      </c>
      <c r="U75" s="43">
        <f t="shared" si="86"/>
        <v>0.37905064815417927</v>
      </c>
      <c r="V75" s="43">
        <f t="shared" si="86"/>
        <v>0.36596936058131119</v>
      </c>
      <c r="W75" s="43">
        <f t="shared" si="86"/>
        <v>0.35880315721794198</v>
      </c>
      <c r="X75" s="43">
        <f t="shared" si="86"/>
        <v>0.35880315721794198</v>
      </c>
      <c r="Y75" s="43">
        <f t="shared" si="86"/>
        <v>0.35880315721794198</v>
      </c>
      <c r="Z75" s="43">
        <f t="shared" si="86"/>
        <v>0.38876269098722466</v>
      </c>
      <c r="AA75" s="43">
        <f t="shared" si="86"/>
        <v>0.39092886450582792</v>
      </c>
      <c r="AB75" s="43">
        <f t="shared" si="86"/>
        <v>0.39092886450582792</v>
      </c>
      <c r="AC75" s="43">
        <f t="shared" si="86"/>
        <v>0.39092886450582787</v>
      </c>
      <c r="AD75" s="43">
        <f t="shared" si="86"/>
        <v>0.39092886450582792</v>
      </c>
      <c r="AE75" s="43">
        <f t="shared" si="86"/>
        <v>0.39092886450582792</v>
      </c>
      <c r="AF75" s="43">
        <f t="shared" si="86"/>
        <v>0.39092886450582792</v>
      </c>
      <c r="AG75" s="43">
        <f t="shared" si="86"/>
        <v>0.39092886450582787</v>
      </c>
      <c r="AH75" s="43" t="str">
        <f t="shared" si="86"/>
        <v/>
      </c>
      <c r="AI75" s="43" t="str">
        <f t="shared" si="86"/>
        <v/>
      </c>
      <c r="AJ75" s="43" t="str">
        <f t="shared" si="86"/>
        <v/>
      </c>
      <c r="AK75" s="43" t="str">
        <f t="shared" ref="AK75:AL75" si="87">IFERROR(AK69/AK73,"")</f>
        <v/>
      </c>
      <c r="AL75" s="43" t="str">
        <f t="shared" si="87"/>
        <v/>
      </c>
      <c r="AM75" s="13"/>
    </row>
    <row r="76" spans="2:39" x14ac:dyDescent="0.25">
      <c r="K76" s="26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2:39" ht="15.75" thickBot="1" x14ac:dyDescent="0.3">
      <c r="B77" s="14" t="s">
        <v>95</v>
      </c>
      <c r="K77" s="26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</row>
    <row r="78" spans="2:39" x14ac:dyDescent="0.25">
      <c r="B78" t="s">
        <v>96</v>
      </c>
      <c r="C78" t="s">
        <v>93</v>
      </c>
      <c r="E78" s="6"/>
      <c r="F78" s="6"/>
      <c r="G78" s="6">
        <v>11050000</v>
      </c>
      <c r="H78" s="6">
        <v>19334000</v>
      </c>
      <c r="I78" s="6">
        <v>15754000</v>
      </c>
      <c r="J78" s="6">
        <v>3914000</v>
      </c>
      <c r="K78" s="15">
        <f>SUM(L78:AM78)</f>
        <v>283065478.438169</v>
      </c>
      <c r="L78" s="16">
        <f>30.4*L32</f>
        <v>4047516.8</v>
      </c>
      <c r="M78" s="16">
        <f>33*M32</f>
        <v>4393686</v>
      </c>
      <c r="N78" s="16">
        <f>35*N32</f>
        <v>4659970</v>
      </c>
      <c r="O78" s="16">
        <f>34*O32</f>
        <v>4445911.2386406166</v>
      </c>
      <c r="P78" s="16">
        <f>29.4*P32</f>
        <v>11746794.890329866</v>
      </c>
      <c r="Q78" s="16">
        <f t="shared" ref="Q78:AJ78" si="88">29.4*Q32</f>
        <v>15633916.108584473</v>
      </c>
      <c r="R78" s="16">
        <f t="shared" si="88"/>
        <v>15591200.490801457</v>
      </c>
      <c r="S78" s="16">
        <f t="shared" si="88"/>
        <v>15591200.490801457</v>
      </c>
      <c r="T78" s="16">
        <f t="shared" si="88"/>
        <v>15591200.490801457</v>
      </c>
      <c r="U78" s="16">
        <f t="shared" si="88"/>
        <v>15633916.108584473</v>
      </c>
      <c r="V78" s="16">
        <f t="shared" si="88"/>
        <v>15591200.490801457</v>
      </c>
      <c r="W78" s="16">
        <f t="shared" si="88"/>
        <v>15591200.490801457</v>
      </c>
      <c r="X78" s="16">
        <f t="shared" si="88"/>
        <v>15591200.490801457</v>
      </c>
      <c r="Y78" s="16">
        <f t="shared" si="88"/>
        <v>15633916.108584473</v>
      </c>
      <c r="Z78" s="16">
        <f t="shared" si="88"/>
        <v>15591200.490801457</v>
      </c>
      <c r="AA78" s="16">
        <f t="shared" si="88"/>
        <v>15591200.490801457</v>
      </c>
      <c r="AB78" s="16">
        <f t="shared" si="88"/>
        <v>15591200.490801457</v>
      </c>
      <c r="AC78" s="16">
        <f t="shared" si="88"/>
        <v>15633916.108584473</v>
      </c>
      <c r="AD78" s="16">
        <f t="shared" si="88"/>
        <v>15591200.490801457</v>
      </c>
      <c r="AE78" s="16">
        <f t="shared" si="88"/>
        <v>15591200.490801457</v>
      </c>
      <c r="AF78" s="16">
        <f t="shared" si="88"/>
        <v>15591200.490801457</v>
      </c>
      <c r="AG78" s="16">
        <f t="shared" si="88"/>
        <v>4141529.1852431758</v>
      </c>
      <c r="AH78" s="16">
        <f t="shared" si="88"/>
        <v>0</v>
      </c>
      <c r="AI78" s="16">
        <f t="shared" si="88"/>
        <v>0</v>
      </c>
      <c r="AJ78" s="16">
        <f t="shared" si="88"/>
        <v>0</v>
      </c>
      <c r="AK78" s="16">
        <f t="shared" ref="AK78:AL78" si="89">29.4*AK32</f>
        <v>0</v>
      </c>
      <c r="AL78" s="16">
        <f t="shared" si="89"/>
        <v>0</v>
      </c>
      <c r="AM78" s="13"/>
    </row>
    <row r="79" spans="2:39" x14ac:dyDescent="0.25">
      <c r="B79" s="8" t="s">
        <v>97</v>
      </c>
      <c r="C79" t="s">
        <v>93</v>
      </c>
      <c r="E79" s="6">
        <v>851000</v>
      </c>
      <c r="F79" s="6">
        <v>564000</v>
      </c>
      <c r="G79" s="6">
        <v>543000</v>
      </c>
      <c r="H79" s="6">
        <v>1493000</v>
      </c>
      <c r="I79" s="6">
        <v>1670000</v>
      </c>
      <c r="J79" s="6">
        <v>392000</v>
      </c>
      <c r="K79" s="15">
        <f t="shared" ref="K79:K80" si="90">SUM(L79:AM79)</f>
        <v>38206407.842579193</v>
      </c>
      <c r="L79" s="16">
        <f>1.55*L51</f>
        <v>468095.91894241225</v>
      </c>
      <c r="M79" s="16">
        <f t="shared" ref="M79:AJ79" si="91">1.55*M51</f>
        <v>374476.7351539298</v>
      </c>
      <c r="N79" s="16">
        <f t="shared" si="91"/>
        <v>374476.7351539298</v>
      </c>
      <c r="O79" s="16">
        <f t="shared" si="91"/>
        <v>448911.58760068228</v>
      </c>
      <c r="P79" s="16">
        <f t="shared" si="91"/>
        <v>1371674.2954465295</v>
      </c>
      <c r="Q79" s="16">
        <f t="shared" si="91"/>
        <v>1825573.7895761081</v>
      </c>
      <c r="R79" s="16">
        <f t="shared" si="91"/>
        <v>1820585.8830472119</v>
      </c>
      <c r="S79" s="16">
        <f t="shared" si="91"/>
        <v>1820585.8830472119</v>
      </c>
      <c r="T79" s="16">
        <f t="shared" si="91"/>
        <v>1831019.2948080082</v>
      </c>
      <c r="U79" s="16">
        <f t="shared" si="91"/>
        <v>2133501.8986612349</v>
      </c>
      <c r="V79" s="16">
        <f t="shared" si="91"/>
        <v>1906740.1029956331</v>
      </c>
      <c r="W79" s="16">
        <f t="shared" si="91"/>
        <v>1798651.1133719443</v>
      </c>
      <c r="X79" s="16">
        <f t="shared" si="91"/>
        <v>1798651.1133719443</v>
      </c>
      <c r="Y79" s="16">
        <f t="shared" si="91"/>
        <v>1803578.9246414565</v>
      </c>
      <c r="Z79" s="16">
        <f t="shared" si="91"/>
        <v>2480429.7106900462</v>
      </c>
      <c r="AA79" s="16">
        <f t="shared" si="91"/>
        <v>2544433.2823310434</v>
      </c>
      <c r="AB79" s="16">
        <f t="shared" si="91"/>
        <v>2544433.2823310434</v>
      </c>
      <c r="AC79" s="16">
        <f t="shared" si="91"/>
        <v>2551404.3324196208</v>
      </c>
      <c r="AD79" s="16">
        <f t="shared" si="91"/>
        <v>2544433.2823310434</v>
      </c>
      <c r="AE79" s="16">
        <f t="shared" si="91"/>
        <v>2544433.2823310434</v>
      </c>
      <c r="AF79" s="16">
        <f t="shared" si="91"/>
        <v>2544433.2823310434</v>
      </c>
      <c r="AG79" s="16">
        <f t="shared" si="91"/>
        <v>675884.11199607456</v>
      </c>
      <c r="AH79" s="16">
        <f t="shared" si="91"/>
        <v>0</v>
      </c>
      <c r="AI79" s="16">
        <f t="shared" si="91"/>
        <v>0</v>
      </c>
      <c r="AJ79" s="16">
        <f t="shared" si="91"/>
        <v>0</v>
      </c>
      <c r="AK79" s="16">
        <f t="shared" ref="AK79:AL79" si="92">1.55*AK51</f>
        <v>0</v>
      </c>
      <c r="AL79" s="16">
        <f t="shared" si="92"/>
        <v>0</v>
      </c>
      <c r="AM79" s="13"/>
    </row>
    <row r="80" spans="2:39" x14ac:dyDescent="0.25">
      <c r="B80" s="32" t="s">
        <v>95</v>
      </c>
      <c r="C80" t="s">
        <v>93</v>
      </c>
      <c r="E80" s="6">
        <v>88115000</v>
      </c>
      <c r="F80" s="6">
        <v>87449000</v>
      </c>
      <c r="G80" s="6">
        <v>72882000</v>
      </c>
      <c r="H80" s="6">
        <v>67643000</v>
      </c>
      <c r="I80" s="6">
        <v>103544000</v>
      </c>
      <c r="J80" s="6">
        <v>26815000</v>
      </c>
      <c r="K80" s="15">
        <f t="shared" si="90"/>
        <v>1268601777.6985402</v>
      </c>
      <c r="L80" s="16">
        <f>L73-SUM(L78:L79)</f>
        <v>25082945.582283363</v>
      </c>
      <c r="M80" s="16">
        <f t="shared" ref="M80:AJ80" si="93">M73-SUM(M78:M79)</f>
        <v>20940914.39727366</v>
      </c>
      <c r="N80" s="16">
        <f t="shared" si="93"/>
        <v>18919531.719938584</v>
      </c>
      <c r="O80" s="16">
        <f t="shared" si="93"/>
        <v>16793081.289653376</v>
      </c>
      <c r="P80" s="16">
        <f t="shared" si="93"/>
        <v>53150126.723901778</v>
      </c>
      <c r="Q80" s="16">
        <f t="shared" si="93"/>
        <v>70737986.839811102</v>
      </c>
      <c r="R80" s="16">
        <f t="shared" si="93"/>
        <v>70544713.65172416</v>
      </c>
      <c r="S80" s="16">
        <f t="shared" si="93"/>
        <v>70544713.65172416</v>
      </c>
      <c r="T80" s="16">
        <f t="shared" si="93"/>
        <v>70340603.860667616</v>
      </c>
      <c r="U80" s="16">
        <f t="shared" si="93"/>
        <v>64713961.003700897</v>
      </c>
      <c r="V80" s="16">
        <f t="shared" si="93"/>
        <v>58851682.391860396</v>
      </c>
      <c r="W80" s="16">
        <f t="shared" si="93"/>
        <v>56070127.119929686</v>
      </c>
      <c r="X80" s="16">
        <f t="shared" si="93"/>
        <v>56070127.119929686</v>
      </c>
      <c r="Y80" s="16">
        <f t="shared" si="93"/>
        <v>56223743.906559639</v>
      </c>
      <c r="Z80" s="16">
        <f t="shared" si="93"/>
        <v>75426401.504235536</v>
      </c>
      <c r="AA80" s="16">
        <f t="shared" si="93"/>
        <v>77243517.352594584</v>
      </c>
      <c r="AB80" s="16">
        <f t="shared" si="93"/>
        <v>77243517.352594584</v>
      </c>
      <c r="AC80" s="16">
        <f t="shared" si="93"/>
        <v>77455143.42753318</v>
      </c>
      <c r="AD80" s="16">
        <f t="shared" si="93"/>
        <v>77243517.352594584</v>
      </c>
      <c r="AE80" s="16">
        <f t="shared" si="93"/>
        <v>77243517.352594584</v>
      </c>
      <c r="AF80" s="16">
        <f t="shared" si="93"/>
        <v>77243517.352594584</v>
      </c>
      <c r="AG80" s="16">
        <f t="shared" si="93"/>
        <v>20518386.744840294</v>
      </c>
      <c r="AH80" s="16">
        <f t="shared" si="93"/>
        <v>0</v>
      </c>
      <c r="AI80" s="16">
        <f t="shared" si="93"/>
        <v>0</v>
      </c>
      <c r="AJ80" s="16">
        <f t="shared" si="93"/>
        <v>0</v>
      </c>
      <c r="AK80" s="16">
        <f t="shared" ref="AK80" si="94">AK73-SUM(AK78:AK79)</f>
        <v>0</v>
      </c>
      <c r="AL80" s="16">
        <f t="shared" ref="AL80" si="95">AL73-SUM(AL78:AL79)</f>
        <v>0</v>
      </c>
      <c r="AM80" s="13"/>
    </row>
    <row r="81" spans="2:39" x14ac:dyDescent="0.25">
      <c r="E81" s="45"/>
      <c r="F81" s="45"/>
      <c r="G81" s="45"/>
      <c r="H81" s="45"/>
      <c r="I81" s="45"/>
      <c r="J81" s="45"/>
      <c r="K81" s="26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</row>
    <row r="82" spans="2:39" ht="15.75" thickBot="1" x14ac:dyDescent="0.3">
      <c r="B82" s="14" t="s">
        <v>131</v>
      </c>
      <c r="E82" s="45"/>
      <c r="F82" s="45"/>
      <c r="G82" s="45"/>
      <c r="H82" s="45"/>
      <c r="I82" s="45"/>
      <c r="J82" s="45"/>
      <c r="K82" s="26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  <row r="83" spans="2:39" x14ac:dyDescent="0.25">
      <c r="G83" s="45"/>
      <c r="H83" s="45"/>
      <c r="I83" s="45"/>
      <c r="J83" s="45"/>
      <c r="K83" s="26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</row>
    <row r="84" spans="2:39" x14ac:dyDescent="0.25">
      <c r="B84" s="3" t="s">
        <v>132</v>
      </c>
      <c r="G84" s="37"/>
      <c r="K84" s="26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</row>
    <row r="85" spans="2:39" x14ac:dyDescent="0.25">
      <c r="B85" t="s">
        <v>135</v>
      </c>
      <c r="C85" t="s">
        <v>134</v>
      </c>
      <c r="E85" s="37">
        <f>E86/E32</f>
        <v>79.110220047422715</v>
      </c>
      <c r="F85" s="37">
        <f t="shared" ref="F85:J85" si="96">F86/F32</f>
        <v>83.465320799666401</v>
      </c>
      <c r="G85" s="37">
        <f t="shared" si="96"/>
        <v>86.147933304097251</v>
      </c>
      <c r="H85" s="37">
        <f t="shared" si="96"/>
        <v>77.192886145786559</v>
      </c>
      <c r="I85" s="37">
        <f t="shared" si="96"/>
        <v>88.413962010378327</v>
      </c>
      <c r="J85" s="37">
        <f t="shared" si="96"/>
        <v>89.59524491981837</v>
      </c>
      <c r="K85" s="58">
        <f>AVERAGEIF(L85:AM85,"&gt;0")</f>
        <v>93.75454545454545</v>
      </c>
      <c r="L85" s="13">
        <f>91</f>
        <v>91</v>
      </c>
      <c r="M85" s="13">
        <f>93</f>
        <v>93</v>
      </c>
      <c r="N85" s="13">
        <f>M85</f>
        <v>93</v>
      </c>
      <c r="O85" s="13">
        <f>N85</f>
        <v>93</v>
      </c>
      <c r="P85" s="41">
        <f>IF(AND(P31*275&lt;=SUM(P20:P28),P32&gt;0),$O$85,IF(AND(P31*275&gt;SUM(P20:P28),P32&gt;0,SUM(P20:P28)&gt;=0.5*P31*275),$O$85,IF(AND(P31*275&gt;SUM(P20:P28),P32&gt;0,SUM(P20:P28)&lt;0.5*P31*275),$O$85*1.2,IF(P32=0,0))))</f>
        <v>93</v>
      </c>
      <c r="Q85" s="41">
        <f>IF(AND(Q31*366&lt;=SUM(Q20:Q28),Q32&gt;0),$O$85,IF(AND(Q31*366&gt;SUM(Q20:Q28),Q32&gt;0,SUM(Q20:Q28)&gt;=0.5*Q31*366),$O$85,IF(AND(Q31*366&gt;SUM(Q20:Q28),Q32&gt;0,SUM(Q20:Q28)&lt;0.5*Q31*366),$O$85*1.2,IF(Q32=0,0))))</f>
        <v>93</v>
      </c>
      <c r="R85" s="41">
        <f>IF(AND(R31*365&lt;=SUM(R20:R28),R32&gt;0),$O$85,IF(AND(R31*365&gt;SUM(R20:R28),R32&gt;0,SUM(R20:R28)&gt;=0.5*R31*365),$O$85,IF(AND(R31*365&gt;SUM(R20:R28),R32&gt;0,SUM(R20:R28)&lt;0.5*R31*365),$O$85*1.2,IF(R32=0,0))))</f>
        <v>93</v>
      </c>
      <c r="S85" s="41">
        <f t="shared" ref="S85:AL85" si="97">IF(AND(S31*365&lt;=SUM(S20:S28),S32&gt;0),$O$85,IF(AND(S31*365&gt;SUM(S20:S28),S32&gt;0,SUM(S20:S28)&gt;=0.5*S31*365),$O$85,IF(AND(S31*365&gt;SUM(S20:S28),S32&gt;0,SUM(S20:S28)&lt;0.5*S31*365),$O$85*1.2,IF(S32=0,0))))</f>
        <v>93</v>
      </c>
      <c r="T85" s="41">
        <f t="shared" si="97"/>
        <v>93</v>
      </c>
      <c r="U85" s="41">
        <f>IF(AND(U31*366&lt;=SUM(U20:U28),U32&gt;0),$O$85,IF(AND(U31*366&gt;SUM(U20:U28),U32&gt;0,SUM(U20:U28)&gt;=0.5*U31*366),$O$85,IF(AND(U31*366&gt;SUM(U20:U28),U32&gt;0,SUM(U20:U28)&lt;0.5*U31*366),$O$85*1.2,IF(U32=0,0))))</f>
        <v>93</v>
      </c>
      <c r="V85" s="41">
        <f t="shared" si="97"/>
        <v>93</v>
      </c>
      <c r="W85" s="41">
        <f t="shared" si="97"/>
        <v>93</v>
      </c>
      <c r="X85" s="41">
        <f t="shared" si="97"/>
        <v>93</v>
      </c>
      <c r="Y85" s="41">
        <f>IF(AND(Y31*366&lt;=SUM(Y20:Y28),Y32&gt;0),$O$85,IF(AND(Y31*366&gt;SUM(Y20:Y28),Y32&gt;0,SUM(Y20:Y28)&gt;=0.5*Y31*366),$O$85,IF(AND(Y31*366&gt;SUM(Y20:Y28),Y32&gt;0,SUM(Y20:Y28)&lt;0.5*Y31*366),$O$85*1.2,IF(Y32=0,0))))</f>
        <v>93</v>
      </c>
      <c r="Z85" s="41">
        <f t="shared" si="97"/>
        <v>93</v>
      </c>
      <c r="AA85" s="41">
        <f t="shared" si="97"/>
        <v>93</v>
      </c>
      <c r="AB85" s="41">
        <f t="shared" si="97"/>
        <v>93</v>
      </c>
      <c r="AC85" s="41">
        <f>IF(AND(AC31*366&lt;=SUM(AC20:AC28),AC32&gt;0),$O$85,IF(AND(AC31*366&gt;SUM(AC20:AC28),AC32&gt;0,SUM(AC20:AC28)&gt;=0.5*AC31*366),$O$85,IF(AND(AC31*366&gt;SUM(AC20:AC28),AC32&gt;0,SUM(AC20:AC28)&lt;0.5*AC31*366),$O$85*1.2,IF(AC32=0,0))))</f>
        <v>93</v>
      </c>
      <c r="AD85" s="41">
        <f t="shared" si="97"/>
        <v>93</v>
      </c>
      <c r="AE85" s="41">
        <f t="shared" si="97"/>
        <v>93</v>
      </c>
      <c r="AF85" s="41">
        <f t="shared" si="97"/>
        <v>93</v>
      </c>
      <c r="AG85" s="41">
        <f>IF(AND(AG31*366&lt;=SUM(AG20:AG28),AG32&gt;0),$O$85,IF(AND(AG31*366&gt;SUM(AG20:AG28),AG32&gt;0,SUM(AG20:AG28)&gt;=0.5*AG31*366),$O$85,IF(AND(AG31*366&gt;SUM(AG20:AG28),AG32&gt;0,SUM(AG20:AG28)&lt;0.5*AG31*366),$O$85*1.2,IF(AG32=0,0))))</f>
        <v>111.6</v>
      </c>
      <c r="AH85" s="41">
        <f t="shared" si="97"/>
        <v>0</v>
      </c>
      <c r="AI85" s="41">
        <f t="shared" si="97"/>
        <v>0</v>
      </c>
      <c r="AJ85" s="41">
        <f t="shared" si="97"/>
        <v>0</v>
      </c>
      <c r="AK85" s="41">
        <f>IF(AND(AK31*366&lt;=SUM(AK20:AK28),AK32&gt;0),$O$85,IF(AND(AK31*366&gt;SUM(AK20:AK28),AK32&gt;0,SUM(AK20:AK28)&gt;=0.5*AK31*366),$O$85,IF(AND(AK31*366&gt;SUM(AK20:AK28),AK32&gt;0,SUM(AK20:AK28)&lt;0.5*AK31*366),$O$85*1.2,IF(AK32=0,0))))</f>
        <v>0</v>
      </c>
      <c r="AL85" s="41">
        <f t="shared" si="97"/>
        <v>0</v>
      </c>
      <c r="AM85" s="13"/>
    </row>
    <row r="86" spans="2:39" x14ac:dyDescent="0.25">
      <c r="B86" s="42" t="s">
        <v>136</v>
      </c>
      <c r="C86" t="s">
        <v>93</v>
      </c>
      <c r="E86" s="6">
        <v>41905000</v>
      </c>
      <c r="F86" s="6">
        <v>44635000</v>
      </c>
      <c r="G86" s="6">
        <v>45771000</v>
      </c>
      <c r="H86" s="6">
        <v>39372000</v>
      </c>
      <c r="I86" s="6">
        <v>47724000</v>
      </c>
      <c r="J86" s="6">
        <v>11878000</v>
      </c>
      <c r="K86" s="15">
        <f>SUM(L86:AM86)</f>
        <v>891566485.11719489</v>
      </c>
      <c r="L86" s="16">
        <f>L85*L32</f>
        <v>12115922</v>
      </c>
      <c r="M86" s="16">
        <f t="shared" ref="M86:AJ86" si="98">M85*M32</f>
        <v>12382206</v>
      </c>
      <c r="N86" s="16">
        <f t="shared" si="98"/>
        <v>12382206</v>
      </c>
      <c r="O86" s="16">
        <f t="shared" si="98"/>
        <v>12160874.858634628</v>
      </c>
      <c r="P86" s="16">
        <f t="shared" si="98"/>
        <v>37158228.734716922</v>
      </c>
      <c r="Q86" s="16">
        <f t="shared" si="98"/>
        <v>49454224.425114155</v>
      </c>
      <c r="R86" s="16">
        <f t="shared" si="98"/>
        <v>49319103.59335155</v>
      </c>
      <c r="S86" s="16">
        <f t="shared" si="98"/>
        <v>49319103.59335155</v>
      </c>
      <c r="T86" s="16">
        <f t="shared" si="98"/>
        <v>49319103.59335155</v>
      </c>
      <c r="U86" s="16">
        <f t="shared" si="98"/>
        <v>49454224.425114155</v>
      </c>
      <c r="V86" s="16">
        <f t="shared" si="98"/>
        <v>49319103.59335155</v>
      </c>
      <c r="W86" s="16">
        <f t="shared" si="98"/>
        <v>49319103.59335155</v>
      </c>
      <c r="X86" s="16">
        <f t="shared" si="98"/>
        <v>49319103.59335155</v>
      </c>
      <c r="Y86" s="16">
        <f t="shared" si="98"/>
        <v>49454224.425114155</v>
      </c>
      <c r="Z86" s="16">
        <f t="shared" si="98"/>
        <v>49319103.59335155</v>
      </c>
      <c r="AA86" s="16">
        <f t="shared" si="98"/>
        <v>49319103.59335155</v>
      </c>
      <c r="AB86" s="16">
        <f t="shared" si="98"/>
        <v>49319103.59335155</v>
      </c>
      <c r="AC86" s="16">
        <f t="shared" si="98"/>
        <v>49454224.425114155</v>
      </c>
      <c r="AD86" s="16">
        <f t="shared" si="98"/>
        <v>49319103.59335155</v>
      </c>
      <c r="AE86" s="16">
        <f t="shared" si="98"/>
        <v>49319103.59335155</v>
      </c>
      <c r="AF86" s="16">
        <f t="shared" si="98"/>
        <v>49319103.59335155</v>
      </c>
      <c r="AG86" s="16">
        <f t="shared" si="98"/>
        <v>15720906.703167973</v>
      </c>
      <c r="AH86" s="16">
        <f t="shared" si="98"/>
        <v>0</v>
      </c>
      <c r="AI86" s="16">
        <f t="shared" si="98"/>
        <v>0</v>
      </c>
      <c r="AJ86" s="16">
        <f t="shared" si="98"/>
        <v>0</v>
      </c>
      <c r="AK86" s="16">
        <f t="shared" ref="AK86" si="99">AK85*AK32</f>
        <v>0</v>
      </c>
      <c r="AL86" s="16">
        <f t="shared" ref="AL86" si="100">AL85*AL32</f>
        <v>0</v>
      </c>
      <c r="AM86" s="13"/>
    </row>
    <row r="87" spans="2:39" x14ac:dyDescent="0.25">
      <c r="B87" s="42" t="s">
        <v>133</v>
      </c>
      <c r="C87" t="s">
        <v>93</v>
      </c>
      <c r="E87" s="6">
        <f>E86+SUM(E78:E79)</f>
        <v>42756000</v>
      </c>
      <c r="F87" s="6">
        <f t="shared" ref="F87:J87" si="101">F86+SUM(F78:F79)</f>
        <v>45199000</v>
      </c>
      <c r="G87" s="6">
        <f t="shared" si="101"/>
        <v>57364000</v>
      </c>
      <c r="H87" s="6">
        <f t="shared" si="101"/>
        <v>60199000</v>
      </c>
      <c r="I87" s="6">
        <f t="shared" si="101"/>
        <v>65148000</v>
      </c>
      <c r="J87" s="6">
        <f t="shared" si="101"/>
        <v>16184000</v>
      </c>
      <c r="K87" s="15">
        <f>SUM(L87:AM87)</f>
        <v>1212838371.397943</v>
      </c>
      <c r="L87" s="16">
        <f>L86+SUM(L78:L79)</f>
        <v>16631534.718942411</v>
      </c>
      <c r="M87" s="16">
        <f t="shared" ref="M87:AJ87" si="102">M86+SUM(M78:M79)</f>
        <v>17150368.735153928</v>
      </c>
      <c r="N87" s="16">
        <f t="shared" si="102"/>
        <v>17416652.735153928</v>
      </c>
      <c r="O87" s="16">
        <f t="shared" si="102"/>
        <v>17055697.684875928</v>
      </c>
      <c r="P87" s="16">
        <f t="shared" si="102"/>
        <v>50276697.92049332</v>
      </c>
      <c r="Q87" s="16">
        <f t="shared" si="102"/>
        <v>66913714.323274732</v>
      </c>
      <c r="R87" s="16">
        <f t="shared" si="102"/>
        <v>66730889.96720022</v>
      </c>
      <c r="S87" s="16">
        <f t="shared" si="102"/>
        <v>66730889.96720022</v>
      </c>
      <c r="T87" s="16">
        <f t="shared" si="102"/>
        <v>66741323.378961012</v>
      </c>
      <c r="U87" s="16">
        <f t="shared" si="102"/>
        <v>67221642.432359859</v>
      </c>
      <c r="V87" s="16">
        <f t="shared" si="102"/>
        <v>66817044.187148646</v>
      </c>
      <c r="W87" s="16">
        <f t="shared" si="102"/>
        <v>66708955.19752495</v>
      </c>
      <c r="X87" s="16">
        <f t="shared" si="102"/>
        <v>66708955.19752495</v>
      </c>
      <c r="Y87" s="16">
        <f t="shared" si="102"/>
        <v>66891719.458340086</v>
      </c>
      <c r="Z87" s="16">
        <f t="shared" si="102"/>
        <v>67390733.794843048</v>
      </c>
      <c r="AA87" s="16">
        <f t="shared" si="102"/>
        <v>67454737.366484046</v>
      </c>
      <c r="AB87" s="16">
        <f t="shared" si="102"/>
        <v>67454737.366484046</v>
      </c>
      <c r="AC87" s="16">
        <f t="shared" si="102"/>
        <v>67639544.866118252</v>
      </c>
      <c r="AD87" s="16">
        <f t="shared" si="102"/>
        <v>67454737.366484046</v>
      </c>
      <c r="AE87" s="16">
        <f t="shared" si="102"/>
        <v>67454737.366484046</v>
      </c>
      <c r="AF87" s="16">
        <f t="shared" si="102"/>
        <v>67454737.366484046</v>
      </c>
      <c r="AG87" s="16">
        <f t="shared" si="102"/>
        <v>20538320.000407223</v>
      </c>
      <c r="AH87" s="16">
        <f t="shared" si="102"/>
        <v>0</v>
      </c>
      <c r="AI87" s="16">
        <f t="shared" si="102"/>
        <v>0</v>
      </c>
      <c r="AJ87" s="16">
        <f t="shared" si="102"/>
        <v>0</v>
      </c>
      <c r="AK87" s="16">
        <f t="shared" ref="AK87" si="103">AK86+SUM(AK78:AK79)</f>
        <v>0</v>
      </c>
      <c r="AL87" s="16">
        <f t="shared" ref="AL87" si="104">AL86+SUM(AL78:AL79)</f>
        <v>0</v>
      </c>
      <c r="AM87" s="13"/>
    </row>
    <row r="88" spans="2:39" x14ac:dyDescent="0.25">
      <c r="B88" t="s">
        <v>137</v>
      </c>
      <c r="C88" t="s">
        <v>43</v>
      </c>
      <c r="E88" s="11">
        <f>E87/(E63+E64*E15/E14+E65*E16/E14+E66*E17/E14)</f>
        <v>8.1536766253384751</v>
      </c>
      <c r="F88" s="11">
        <f t="shared" ref="F88:J88" si="105">F87/(F63+F64*F15/F14+F65*F16/F14+F66*F17/F14)</f>
        <v>8.1150769306120356</v>
      </c>
      <c r="G88" s="11">
        <f t="shared" si="105"/>
        <v>11.083826123287443</v>
      </c>
      <c r="H88" s="11">
        <f t="shared" si="105"/>
        <v>13.973022023879361</v>
      </c>
      <c r="I88" s="11">
        <f t="shared" si="105"/>
        <v>13.678649306788305</v>
      </c>
      <c r="J88" s="11">
        <f t="shared" si="105"/>
        <v>11.896025431974001</v>
      </c>
      <c r="K88" s="56">
        <f>AVERAGE(L88:AM88)</f>
        <v>18.774164846133594</v>
      </c>
      <c r="L88" s="24">
        <f>IFERROR(L87/(L63+L64*L15/L14+L65*L16/L14+L66*L17/L14),"")</f>
        <v>12.361877902734884</v>
      </c>
      <c r="M88" s="24">
        <f t="shared" ref="M88:AJ88" si="106">IFERROR(M87/(M63+M64*M15/M14+M65*M16/M14+M66*M17/M14),"")</f>
        <v>14.676065975836876</v>
      </c>
      <c r="N88" s="24">
        <f t="shared" si="106"/>
        <v>16.723026350697005</v>
      </c>
      <c r="O88" s="24">
        <f t="shared" si="106"/>
        <v>19.660380267423026</v>
      </c>
      <c r="P88" s="24">
        <f t="shared" si="106"/>
        <v>18.967014930050254</v>
      </c>
      <c r="Q88" s="24">
        <f t="shared" si="106"/>
        <v>18.967014930050251</v>
      </c>
      <c r="R88" s="24">
        <f t="shared" si="106"/>
        <v>18.967014930050254</v>
      </c>
      <c r="S88" s="24">
        <f t="shared" si="106"/>
        <v>18.967014930050254</v>
      </c>
      <c r="T88" s="24">
        <f t="shared" si="106"/>
        <v>19.011843684507582</v>
      </c>
      <c r="U88" s="24">
        <f t="shared" si="106"/>
        <v>20.374793449876265</v>
      </c>
      <c r="V88" s="24">
        <f t="shared" si="106"/>
        <v>21.878642478594966</v>
      </c>
      <c r="W88" s="24">
        <f t="shared" si="106"/>
        <v>22.702482479632458</v>
      </c>
      <c r="X88" s="24">
        <f t="shared" si="106"/>
        <v>22.702482479632458</v>
      </c>
      <c r="Y88" s="24">
        <f t="shared" si="106"/>
        <v>22.702482479632462</v>
      </c>
      <c r="Z88" s="24">
        <f t="shared" si="106"/>
        <v>18.019292108454927</v>
      </c>
      <c r="AA88" s="24">
        <f t="shared" si="106"/>
        <v>17.68068193371904</v>
      </c>
      <c r="AB88" s="24">
        <f t="shared" si="106"/>
        <v>17.68068193371904</v>
      </c>
      <c r="AC88" s="24">
        <f t="shared" si="106"/>
        <v>17.680681933719043</v>
      </c>
      <c r="AD88" s="24">
        <f t="shared" si="106"/>
        <v>17.68068193371904</v>
      </c>
      <c r="AE88" s="24">
        <f t="shared" si="106"/>
        <v>17.68068193371904</v>
      </c>
      <c r="AF88" s="24">
        <f t="shared" si="106"/>
        <v>17.68068193371904</v>
      </c>
      <c r="AG88" s="24">
        <f t="shared" si="106"/>
        <v>20.266105635400972</v>
      </c>
      <c r="AH88" s="24" t="str">
        <f t="shared" si="106"/>
        <v/>
      </c>
      <c r="AI88" s="24" t="str">
        <f t="shared" si="106"/>
        <v/>
      </c>
      <c r="AJ88" s="24" t="str">
        <f t="shared" si="106"/>
        <v/>
      </c>
      <c r="AK88" s="24" t="str">
        <f t="shared" ref="AK88" si="107">IFERROR(AK87/(AK63+AK64*AK15/AK14+AK65*AK16/AK14+AK66*AK17/AK14),"")</f>
        <v/>
      </c>
      <c r="AL88" s="24" t="str">
        <f t="shared" ref="AL88" si="108">IFERROR(AL87/(AL63+AL64*AL15/AL14+AL65*AL16/AL14+AL66*AL17/AL14),"")</f>
        <v/>
      </c>
      <c r="AM88" s="13"/>
    </row>
    <row r="89" spans="2:39" x14ac:dyDescent="0.25">
      <c r="K89" s="26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</row>
    <row r="90" spans="2:39" x14ac:dyDescent="0.25">
      <c r="B90" t="s">
        <v>143</v>
      </c>
      <c r="C90" t="s">
        <v>93</v>
      </c>
      <c r="E90" s="47">
        <v>2933000</v>
      </c>
      <c r="F90" s="47">
        <v>3683000</v>
      </c>
      <c r="G90" s="47">
        <v>4424000</v>
      </c>
      <c r="H90" s="47">
        <v>3520000</v>
      </c>
      <c r="I90" s="47">
        <v>3625000</v>
      </c>
      <c r="J90" s="47">
        <v>1058000</v>
      </c>
      <c r="K90" s="15">
        <f>SUM(L90:AM90)</f>
        <v>71474000</v>
      </c>
      <c r="L90" s="48">
        <f>SUM($E$90:$J$90)/21*1.04</f>
        <v>952986.66666666674</v>
      </c>
      <c r="M90" s="48">
        <f t="shared" ref="M90:N90" si="109">SUM($E$90:$J$90)/21*1.04</f>
        <v>952986.66666666674</v>
      </c>
      <c r="N90" s="48">
        <f t="shared" si="109"/>
        <v>952986.66666666674</v>
      </c>
      <c r="O90" s="48">
        <f>SUM($E$90:$J$90)/21*1.04</f>
        <v>952986.66666666674</v>
      </c>
      <c r="P90" s="48">
        <f>IF(P32&gt;0,SUM($E$90:$J$90)/21*1.04*3,0)</f>
        <v>2858960</v>
      </c>
      <c r="Q90" s="48">
        <f>IF(Q32&gt;0,SUM($E$90:$J$90)/21*1.04*4,0)</f>
        <v>3811946.666666667</v>
      </c>
      <c r="R90" s="48">
        <f t="shared" ref="R90:AJ90" si="110">IF(R32&gt;0,SUM($E$90:$J$90)/21*1.04*4,0)</f>
        <v>3811946.666666667</v>
      </c>
      <c r="S90" s="48">
        <f t="shared" si="110"/>
        <v>3811946.666666667</v>
      </c>
      <c r="T90" s="48">
        <f t="shared" si="110"/>
        <v>3811946.666666667</v>
      </c>
      <c r="U90" s="48">
        <f t="shared" si="110"/>
        <v>3811946.666666667</v>
      </c>
      <c r="V90" s="48">
        <f t="shared" si="110"/>
        <v>3811946.666666667</v>
      </c>
      <c r="W90" s="48">
        <f t="shared" si="110"/>
        <v>3811946.666666667</v>
      </c>
      <c r="X90" s="48">
        <f t="shared" si="110"/>
        <v>3811946.666666667</v>
      </c>
      <c r="Y90" s="48">
        <f t="shared" si="110"/>
        <v>3811946.666666667</v>
      </c>
      <c r="Z90" s="48">
        <f t="shared" si="110"/>
        <v>3811946.666666667</v>
      </c>
      <c r="AA90" s="48">
        <f t="shared" si="110"/>
        <v>3811946.666666667</v>
      </c>
      <c r="AB90" s="48">
        <f t="shared" si="110"/>
        <v>3811946.666666667</v>
      </c>
      <c r="AC90" s="48">
        <f t="shared" si="110"/>
        <v>3811946.666666667</v>
      </c>
      <c r="AD90" s="48">
        <f t="shared" si="110"/>
        <v>3811946.666666667</v>
      </c>
      <c r="AE90" s="48">
        <f t="shared" si="110"/>
        <v>3811946.666666667</v>
      </c>
      <c r="AF90" s="48">
        <f t="shared" si="110"/>
        <v>3811946.666666667</v>
      </c>
      <c r="AG90" s="48">
        <f t="shared" si="110"/>
        <v>3811946.666666667</v>
      </c>
      <c r="AH90" s="48">
        <f t="shared" si="110"/>
        <v>0</v>
      </c>
      <c r="AI90" s="48">
        <f t="shared" si="110"/>
        <v>0</v>
      </c>
      <c r="AJ90" s="48">
        <f t="shared" si="110"/>
        <v>0</v>
      </c>
      <c r="AK90" s="48">
        <f t="shared" ref="AK90:AL90" si="111">IF(AK32&gt;0,SUM($E$90:$J$90)/21*1.04*4,0)</f>
        <v>0</v>
      </c>
      <c r="AL90" s="48">
        <f t="shared" si="111"/>
        <v>0</v>
      </c>
      <c r="AM90" s="13"/>
    </row>
    <row r="91" spans="2:39" x14ac:dyDescent="0.25">
      <c r="B91" s="8" t="s">
        <v>139</v>
      </c>
      <c r="C91" t="s">
        <v>93</v>
      </c>
      <c r="E91" s="6">
        <v>9175000</v>
      </c>
      <c r="F91" s="53">
        <v>12222000</v>
      </c>
      <c r="G91" s="6">
        <v>13621000</v>
      </c>
      <c r="H91" s="6">
        <v>13994000</v>
      </c>
      <c r="I91" s="6">
        <v>16182000</v>
      </c>
      <c r="J91" s="6">
        <v>3414000</v>
      </c>
      <c r="K91" s="15">
        <f t="shared" ref="K91:K92" si="112">SUM(L91:AM91)</f>
        <v>250182842.43915483</v>
      </c>
      <c r="L91" s="16">
        <f>AVERAGE($E$91/$E$110,$F$91/$F$110,$G$91/$G$110,$I$91/$I$110,$J$91/$J$110)*L110</f>
        <v>4226635.647650009</v>
      </c>
      <c r="M91" s="16">
        <f t="shared" ref="M91:P91" si="113">AVERAGE($E$91/$E$110,$F$91/$F$110,$G$91/$G$110,$I$91/$I$110,$J$91/$J$110)*M110</f>
        <v>4226635.647650009</v>
      </c>
      <c r="N91" s="16">
        <f t="shared" si="113"/>
        <v>4226635.647650009</v>
      </c>
      <c r="O91" s="16">
        <f t="shared" si="113"/>
        <v>4226635.647650009</v>
      </c>
      <c r="P91" s="16">
        <f t="shared" si="113"/>
        <v>10266299.848554794</v>
      </c>
      <c r="Q91" s="16">
        <f>IF(Auxiliary!C11&gt;6,14000000*1.03,IF(Auxiliary!C11=6,13000000*1.03,IF(Auxiliary!C11=5,12000000,IF(Auxiliary!C11=4,12000000,IF(Auxiliary!C11=3,11000000,IF(Auxiliary!C11=2,9000000,IF(Auxiliary!C11=1,7000000,0)))))))</f>
        <v>14420000</v>
      </c>
      <c r="R91" s="16">
        <f>IF(Auxiliary!D11&gt;6,14000000*1.03,IF(Auxiliary!D11=6,13000000*1.03,IF(Auxiliary!D11=5,12000000,IF(Auxiliary!D11=4,12000000,IF(Auxiliary!D11=3,11000000,IF(Auxiliary!D11=2,9000000,IF(Auxiliary!D11=1,7000000,0)))))))</f>
        <v>14420000</v>
      </c>
      <c r="S91" s="16">
        <f>IF(Auxiliary!E11&gt;6,14000000*1.03,IF(Auxiliary!E11=6,13000000*1.03,IF(Auxiliary!E11=5,12000000,IF(Auxiliary!E11=4,12000000,IF(Auxiliary!E11=3,11000000,IF(Auxiliary!E11=2,9000000,IF(Auxiliary!E11=1,7000000,0)))))))</f>
        <v>14420000</v>
      </c>
      <c r="T91" s="16">
        <f>IF(Auxiliary!F11&gt;6,14000000*1.03,IF(Auxiliary!F11=6,13000000*1.03,IF(Auxiliary!F11=5,12000000,IF(Auxiliary!F11=4,12000000,IF(Auxiliary!F11=3,11000000,IF(Auxiliary!F11=2,9000000,IF(Auxiliary!F11=1,7000000,0)))))))</f>
        <v>14420000</v>
      </c>
      <c r="U91" s="16">
        <f>IF(Auxiliary!G11&gt;6,14000000*1.03,IF(Auxiliary!G11=6,13000000*1.03,IF(Auxiliary!G11=5,12000000,IF(Auxiliary!G11=4,12000000,IF(Auxiliary!G11=3,11000000,IF(Auxiliary!G11=2,9000000,IF(Auxiliary!G11=1,7000000,0)))))))</f>
        <v>14420000</v>
      </c>
      <c r="V91" s="16">
        <f>IF(Auxiliary!H11&gt;6,14000000*1.03,IF(Auxiliary!H11=6,13000000*1.03,IF(Auxiliary!H11=5,12000000,IF(Auxiliary!H11=4,12000000,IF(Auxiliary!H11=3,11000000,IF(Auxiliary!H11=2,9000000,IF(Auxiliary!H11=1,7000000,0)))))))</f>
        <v>14420000</v>
      </c>
      <c r="W91" s="16">
        <f>IF(Auxiliary!I11&gt;6,14000000*1.03,IF(Auxiliary!I11=6,13000000*1.03,IF(Auxiliary!I11=5,12000000,IF(Auxiliary!I11=4,12000000,IF(Auxiliary!I11=3,11000000,IF(Auxiliary!I11=2,9000000,IF(Auxiliary!I11=1,7000000,0)))))))</f>
        <v>14420000</v>
      </c>
      <c r="X91" s="16">
        <f>IF(Auxiliary!J11&gt;6,14000000*1.03,IF(Auxiliary!J11=6,13000000*1.03,IF(Auxiliary!J11=5,12000000,IF(Auxiliary!J11=4,12000000,IF(Auxiliary!J11=3,11000000,IF(Auxiliary!J11=2,9000000,IF(Auxiliary!J11=1,7000000,0)))))))</f>
        <v>14420000</v>
      </c>
      <c r="Y91" s="16">
        <f>IF(Auxiliary!K11&gt;6,14000000*1.03,IF(Auxiliary!K11=6,13000000*1.03,IF(Auxiliary!K11=5,12000000,IF(Auxiliary!K11=4,12000000,IF(Auxiliary!K11=3,11000000,IF(Auxiliary!K11=2,9000000,IF(Auxiliary!K11=1,7000000,0)))))))</f>
        <v>14420000</v>
      </c>
      <c r="Z91" s="16">
        <f>IF(Auxiliary!L11&gt;6,14000000*1.03,IF(Auxiliary!L11=6,13000000*1.03,IF(Auxiliary!L11=5,12000000,IF(Auxiliary!L11=4,12000000,IF(Auxiliary!L11=3,11000000,IF(Auxiliary!L11=2,9000000,IF(Auxiliary!L11=1,7000000,0)))))))</f>
        <v>14420000</v>
      </c>
      <c r="AA91" s="16">
        <f>IF(Auxiliary!M11&gt;6,14000000*1.03,IF(Auxiliary!M11=6,13000000*1.03,IF(Auxiliary!M11=5,12000000,IF(Auxiliary!M11=4,12000000,IF(Auxiliary!M11=3,11000000,IF(Auxiliary!M11=2,9000000,IF(Auxiliary!M11=1,7000000,0)))))))</f>
        <v>14420000</v>
      </c>
      <c r="AB91" s="16">
        <f>IF(Auxiliary!N11&gt;6,14000000*1.03,IF(Auxiliary!N11=6,13000000*1.03,IF(Auxiliary!N11=5,12000000,IF(Auxiliary!N11=4,12000000,IF(Auxiliary!N11=3,11000000,IF(Auxiliary!N11=2,9000000,IF(Auxiliary!N11=1,7000000,0)))))))</f>
        <v>13390000</v>
      </c>
      <c r="AC91" s="16">
        <f>IF(Auxiliary!O11&gt;6,14000000*1.03,IF(Auxiliary!O11=6,13000000*1.03,IF(Auxiliary!O11=5,12000000,IF(Auxiliary!O11=4,12000000,IF(Auxiliary!O11=3,11000000,IF(Auxiliary!O11=2,9000000,IF(Auxiliary!O11=1,7000000,0)))))))</f>
        <v>12000000</v>
      </c>
      <c r="AD91" s="16">
        <f>IF(Auxiliary!P11&gt;6,14000000*1.03,IF(Auxiliary!P11=6,13000000*1.03,IF(Auxiliary!P11=5,12000000,IF(Auxiliary!P11=4,12000000,IF(Auxiliary!P11=3,11000000,IF(Auxiliary!P11=2,9000000,IF(Auxiliary!P11=1,7000000,0)))))))</f>
        <v>12000000</v>
      </c>
      <c r="AE91" s="16">
        <f>IF(Auxiliary!Q11&gt;6,14000000*1.03,IF(Auxiliary!Q11=6,13000000*1.03,IF(Auxiliary!Q11=5,12000000,IF(Auxiliary!Q11=4,12000000,IF(Auxiliary!Q11=3,11000000,IF(Auxiliary!Q11=2,9000000,IF(Auxiliary!Q11=1,7000000,0)))))))</f>
        <v>11000000</v>
      </c>
      <c r="AF91" s="16">
        <f>IF(Auxiliary!R11&gt;6,14000000*1.03,IF(Auxiliary!R11=6,13000000*1.03,IF(Auxiliary!R11=5,12000000,IF(Auxiliary!R11=4,12000000,IF(Auxiliary!R11=3,11000000,IF(Auxiliary!R11=2,9000000,IF(Auxiliary!R11=1,7000000,0)))))))</f>
        <v>9000000</v>
      </c>
      <c r="AG91" s="16">
        <f>IF(Auxiliary!S11&gt;6,14000000*1.03,IF(Auxiliary!S11=6,13000000*1.03,IF(Auxiliary!S11=5,12000000,IF(Auxiliary!S11=4,12000000,IF(Auxiliary!S11=3,11000000,IF(Auxiliary!S11=2,9000000,IF(Auxiliary!S11=1,7000000,0)))))))</f>
        <v>7000000</v>
      </c>
      <c r="AH91" s="16">
        <f>IF(Auxiliary!T11&gt;6,14000000*1.03,IF(Auxiliary!T11=6,13000000*1.03,IF(Auxiliary!T11=5,12000000,IF(Auxiliary!T11=4,12000000,IF(Auxiliary!T11=3,11000000,IF(Auxiliary!T11=2,9000000,IF(Auxiliary!T11=1,7000000,0)))))))</f>
        <v>0</v>
      </c>
      <c r="AI91" s="16">
        <f>IF(Auxiliary!U11&gt;6,14000000*1.03,IF(Auxiliary!U11=6,13000000*1.03,IF(Auxiliary!U11=5,12000000,IF(Auxiliary!U11=4,12000000,IF(Auxiliary!U11=3,11000000,IF(Auxiliary!U11=2,9000000,IF(Auxiliary!U11=1,7000000,0)))))))</f>
        <v>0</v>
      </c>
      <c r="AJ91" s="16">
        <f>IF(Auxiliary!V11&gt;6,14000000*1.03,IF(Auxiliary!V11=6,13000000*1.03,IF(Auxiliary!V11=5,12000000,IF(Auxiliary!V11=4,12000000,IF(Auxiliary!V11=3,11000000,IF(Auxiliary!V11=2,9000000,IF(Auxiliary!V11=1,7000000,0)))))))</f>
        <v>0</v>
      </c>
      <c r="AK91" s="16">
        <f>IF(Auxiliary!W11&gt;6,14000000*1.03,IF(Auxiliary!W11=6,13000000*1.03,IF(Auxiliary!W11=5,12000000,IF(Auxiliary!W11=4,12000000,IF(Auxiliary!W11=3,11000000,IF(Auxiliary!W11=2,9000000,IF(Auxiliary!W11=1,7000000,0)))))))</f>
        <v>0</v>
      </c>
      <c r="AL91" s="16">
        <f>IF(Auxiliary!X11&gt;6,14000000*1.03,IF(Auxiliary!X11=6,13000000*1.03,IF(Auxiliary!X11=5,12000000,IF(Auxiliary!X11=4,12000000,IF(Auxiliary!X11=3,11000000,IF(Auxiliary!X11=2,9000000,IF(Auxiliary!X11=1,7000000,0)))))))</f>
        <v>0</v>
      </c>
      <c r="AM91" s="13"/>
    </row>
    <row r="92" spans="2:39" x14ac:dyDescent="0.25">
      <c r="B92" t="s">
        <v>145</v>
      </c>
      <c r="C92" t="s">
        <v>93</v>
      </c>
      <c r="E92" s="6">
        <f>E87+SUM(E90:E91)</f>
        <v>54864000</v>
      </c>
      <c r="F92" s="6">
        <f t="shared" ref="F92:J92" si="114">F87+SUM(F90:F91)</f>
        <v>61104000</v>
      </c>
      <c r="G92" s="6">
        <f t="shared" si="114"/>
        <v>75409000</v>
      </c>
      <c r="H92" s="6">
        <f t="shared" si="114"/>
        <v>77713000</v>
      </c>
      <c r="I92" s="6">
        <f t="shared" si="114"/>
        <v>84955000</v>
      </c>
      <c r="J92" s="6">
        <f t="shared" si="114"/>
        <v>20656000</v>
      </c>
      <c r="K92" s="15">
        <f t="shared" si="112"/>
        <v>1534495213.8370979</v>
      </c>
      <c r="L92" s="16">
        <f>L87+SUM(L90:L91)</f>
        <v>21811157.033259086</v>
      </c>
      <c r="M92" s="16">
        <f t="shared" ref="M92:AJ92" si="115">M87+SUM(M90:M91)</f>
        <v>22329991.049470603</v>
      </c>
      <c r="N92" s="16">
        <f t="shared" si="115"/>
        <v>22596275.049470603</v>
      </c>
      <c r="O92" s="16">
        <f t="shared" si="115"/>
        <v>22235319.999192603</v>
      </c>
      <c r="P92" s="16">
        <f t="shared" si="115"/>
        <v>63401957.76904811</v>
      </c>
      <c r="Q92" s="16">
        <f t="shared" si="115"/>
        <v>85145660.989941403</v>
      </c>
      <c r="R92" s="16">
        <f t="shared" si="115"/>
        <v>84962836.633866891</v>
      </c>
      <c r="S92" s="16">
        <f t="shared" si="115"/>
        <v>84962836.633866891</v>
      </c>
      <c r="T92" s="16">
        <f t="shared" si="115"/>
        <v>84973270.045627683</v>
      </c>
      <c r="U92" s="16">
        <f t="shared" si="115"/>
        <v>85453589.099026531</v>
      </c>
      <c r="V92" s="16">
        <f t="shared" si="115"/>
        <v>85048990.853815317</v>
      </c>
      <c r="W92" s="16">
        <f t="shared" si="115"/>
        <v>84940901.864191622</v>
      </c>
      <c r="X92" s="16">
        <f t="shared" si="115"/>
        <v>84940901.864191622</v>
      </c>
      <c r="Y92" s="16">
        <f t="shared" si="115"/>
        <v>85123666.12500675</v>
      </c>
      <c r="Z92" s="16">
        <f t="shared" si="115"/>
        <v>85622680.461509719</v>
      </c>
      <c r="AA92" s="16">
        <f t="shared" si="115"/>
        <v>85686684.033150718</v>
      </c>
      <c r="AB92" s="16">
        <f t="shared" si="115"/>
        <v>84656684.033150718</v>
      </c>
      <c r="AC92" s="16">
        <f t="shared" si="115"/>
        <v>83451491.532784924</v>
      </c>
      <c r="AD92" s="16">
        <f t="shared" si="115"/>
        <v>83266684.033150718</v>
      </c>
      <c r="AE92" s="16">
        <f t="shared" si="115"/>
        <v>82266684.033150718</v>
      </c>
      <c r="AF92" s="16">
        <f t="shared" si="115"/>
        <v>80266684.033150718</v>
      </c>
      <c r="AG92" s="16">
        <f t="shared" si="115"/>
        <v>31350266.667073891</v>
      </c>
      <c r="AH92" s="16">
        <f t="shared" si="115"/>
        <v>0</v>
      </c>
      <c r="AI92" s="16">
        <f t="shared" si="115"/>
        <v>0</v>
      </c>
      <c r="AJ92" s="16">
        <f t="shared" si="115"/>
        <v>0</v>
      </c>
      <c r="AK92" s="16">
        <f t="shared" ref="AK92" si="116">AK87+SUM(AK90:AK91)</f>
        <v>0</v>
      </c>
      <c r="AL92" s="16">
        <f t="shared" ref="AL92" si="117">AL87+SUM(AL90:AL91)</f>
        <v>0</v>
      </c>
      <c r="AM92" s="13"/>
    </row>
    <row r="93" spans="2:39" x14ac:dyDescent="0.25">
      <c r="K93" s="26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</row>
    <row r="94" spans="2:39" ht="15.75" thickBot="1" x14ac:dyDescent="0.3">
      <c r="B94" s="14" t="s">
        <v>151</v>
      </c>
      <c r="K94" s="26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</row>
    <row r="95" spans="2:39" x14ac:dyDescent="0.25">
      <c r="B95" t="s">
        <v>151</v>
      </c>
      <c r="C95" t="s">
        <v>93</v>
      </c>
      <c r="E95" s="6">
        <f>E73-E92</f>
        <v>34594705.994453192</v>
      </c>
      <c r="F95" s="6">
        <f t="shared" ref="F95:J95" si="118">F73-F92</f>
        <v>26396869.80955416</v>
      </c>
      <c r="G95" s="6">
        <f t="shared" si="118"/>
        <v>8588864.0628351867</v>
      </c>
      <c r="H95" s="6">
        <f t="shared" si="118"/>
        <v>11165795.716318995</v>
      </c>
      <c r="I95" s="6">
        <f t="shared" si="118"/>
        <v>35304461.523269102</v>
      </c>
      <c r="J95" s="6">
        <f t="shared" si="118"/>
        <v>11695605.349261422</v>
      </c>
      <c r="K95" s="15">
        <f>SUM(L95:AM95)</f>
        <v>55378450.142190464</v>
      </c>
      <c r="L95" s="16">
        <f>L73-L92</f>
        <v>7787401.2679666877</v>
      </c>
      <c r="M95" s="16">
        <f t="shared" ref="M95:AJ95" si="119">M73-M92</f>
        <v>3379086.0829569846</v>
      </c>
      <c r="N95" s="16">
        <f t="shared" si="119"/>
        <v>1357703.4056219086</v>
      </c>
      <c r="O95" s="16">
        <f t="shared" si="119"/>
        <v>-547415.88329792768</v>
      </c>
      <c r="P95" s="16">
        <f t="shared" si="119"/>
        <v>2866638.1406300664</v>
      </c>
      <c r="Q95" s="16">
        <f t="shared" si="119"/>
        <v>3051815.7480302751</v>
      </c>
      <c r="R95" s="16">
        <f t="shared" si="119"/>
        <v>2993663.3917059451</v>
      </c>
      <c r="S95" s="16">
        <f t="shared" si="119"/>
        <v>2993663.3917059451</v>
      </c>
      <c r="T95" s="16">
        <f t="shared" si="119"/>
        <v>2789553.6006494015</v>
      </c>
      <c r="U95" s="16">
        <f t="shared" si="119"/>
        <v>-2972210.0880799294</v>
      </c>
      <c r="V95" s="16">
        <f t="shared" si="119"/>
        <v>-8699367.8681578338</v>
      </c>
      <c r="W95" s="16">
        <f t="shared" si="119"/>
        <v>-11480923.140088528</v>
      </c>
      <c r="X95" s="16">
        <f t="shared" si="119"/>
        <v>-11480923.140088528</v>
      </c>
      <c r="Y95" s="16">
        <f t="shared" si="119"/>
        <v>-11462427.18522118</v>
      </c>
      <c r="Z95" s="16">
        <f t="shared" si="119"/>
        <v>7875351.2442173213</v>
      </c>
      <c r="AA95" s="16">
        <f t="shared" si="119"/>
        <v>9692467.0925763696</v>
      </c>
      <c r="AB95" s="16">
        <f t="shared" si="119"/>
        <v>10722467.09257637</v>
      </c>
      <c r="AC95" s="16">
        <f t="shared" si="119"/>
        <v>12188972.335752353</v>
      </c>
      <c r="AD95" s="16">
        <f t="shared" si="119"/>
        <v>12112467.09257637</v>
      </c>
      <c r="AE95" s="16">
        <f t="shared" si="119"/>
        <v>13112467.09257637</v>
      </c>
      <c r="AF95" s="16">
        <f t="shared" si="119"/>
        <v>15112467.09257637</v>
      </c>
      <c r="AG95" s="16">
        <f t="shared" si="119"/>
        <v>-6014466.624994345</v>
      </c>
      <c r="AH95" s="16">
        <f t="shared" si="119"/>
        <v>0</v>
      </c>
      <c r="AI95" s="16">
        <f t="shared" si="119"/>
        <v>0</v>
      </c>
      <c r="AJ95" s="16">
        <f t="shared" si="119"/>
        <v>0</v>
      </c>
      <c r="AK95" s="16">
        <f t="shared" ref="AK95:AL95" si="120">AK73-AK92</f>
        <v>0</v>
      </c>
      <c r="AL95" s="16">
        <f t="shared" si="120"/>
        <v>0</v>
      </c>
      <c r="AM95" s="13"/>
    </row>
    <row r="96" spans="2:39" x14ac:dyDescent="0.25">
      <c r="B96" t="s">
        <v>152</v>
      </c>
      <c r="C96" t="s">
        <v>70</v>
      </c>
      <c r="E96" s="18">
        <f>E95/E80</f>
        <v>0.39260859098284279</v>
      </c>
      <c r="F96" s="18">
        <f t="shared" ref="F96:J96" si="121">F95/F80</f>
        <v>0.30185445013155277</v>
      </c>
      <c r="G96" s="18">
        <f t="shared" si="121"/>
        <v>0.11784616315187819</v>
      </c>
      <c r="H96" s="18">
        <f t="shared" si="121"/>
        <v>0.16506949301951412</v>
      </c>
      <c r="I96" s="18">
        <f t="shared" si="121"/>
        <v>0.34096095885101119</v>
      </c>
      <c r="J96" s="18">
        <f t="shared" si="121"/>
        <v>0.43615906579382518</v>
      </c>
      <c r="K96" s="64">
        <f>AVERAGE(L96:AM96)</f>
        <v>3.0937263688149298E-2</v>
      </c>
      <c r="L96" s="28">
        <f>IFERROR(L95/L80,"")</f>
        <v>0.31046597946084531</v>
      </c>
      <c r="M96" s="28">
        <f t="shared" ref="M96:AJ96" si="122">IFERROR(M95/M80,"")</f>
        <v>0.16136287168992558</v>
      </c>
      <c r="N96" s="28">
        <f t="shared" si="122"/>
        <v>7.176199843207938E-2</v>
      </c>
      <c r="O96" s="28">
        <f t="shared" si="122"/>
        <v>-3.2597703414632064E-2</v>
      </c>
      <c r="P96" s="28">
        <f t="shared" si="122"/>
        <v>5.3934737644584584E-2</v>
      </c>
      <c r="Q96" s="28">
        <f t="shared" si="122"/>
        <v>4.3142530405074E-2</v>
      </c>
      <c r="R96" s="28">
        <f t="shared" si="122"/>
        <v>4.2436395822449811E-2</v>
      </c>
      <c r="S96" s="28">
        <f t="shared" si="122"/>
        <v>4.2436395822449811E-2</v>
      </c>
      <c r="T96" s="28">
        <f t="shared" si="122"/>
        <v>3.9657800012280496E-2</v>
      </c>
      <c r="U96" s="28">
        <f t="shared" si="122"/>
        <v>-4.5928421657112799E-2</v>
      </c>
      <c r="V96" s="28">
        <f t="shared" si="122"/>
        <v>-0.14781850772308622</v>
      </c>
      <c r="W96" s="28">
        <f t="shared" si="122"/>
        <v>-0.20476006975214658</v>
      </c>
      <c r="X96" s="28">
        <f t="shared" si="122"/>
        <v>-0.20476006975214658</v>
      </c>
      <c r="Y96" s="28">
        <f t="shared" si="122"/>
        <v>-0.20387164547901721</v>
      </c>
      <c r="Z96" s="28">
        <f t="shared" si="122"/>
        <v>0.10441106942872098</v>
      </c>
      <c r="AA96" s="28">
        <f t="shared" si="122"/>
        <v>0.12547935962487347</v>
      </c>
      <c r="AB96" s="28">
        <f t="shared" si="122"/>
        <v>0.13881381195565412</v>
      </c>
      <c r="AC96" s="28">
        <f t="shared" si="122"/>
        <v>0.1573681462117015</v>
      </c>
      <c r="AD96" s="28">
        <f t="shared" si="122"/>
        <v>0.15680884956709595</v>
      </c>
      <c r="AE96" s="28">
        <f t="shared" si="122"/>
        <v>0.16975491979115484</v>
      </c>
      <c r="AF96" s="28">
        <f t="shared" si="122"/>
        <v>0.19564706023927259</v>
      </c>
      <c r="AG96" s="28">
        <f t="shared" si="122"/>
        <v>-0.2931257071907365</v>
      </c>
      <c r="AH96" s="28" t="str">
        <f t="shared" si="122"/>
        <v/>
      </c>
      <c r="AI96" s="28" t="str">
        <f t="shared" si="122"/>
        <v/>
      </c>
      <c r="AJ96" s="28" t="str">
        <f t="shared" si="122"/>
        <v/>
      </c>
      <c r="AK96" s="28" t="str">
        <f t="shared" ref="AK96" si="123">IFERROR(AK95/AK80,"")</f>
        <v/>
      </c>
      <c r="AL96" s="28" t="str">
        <f t="shared" ref="AL96" si="124">IFERROR(AL95/AL80,"")</f>
        <v/>
      </c>
      <c r="AM96" s="13"/>
    </row>
    <row r="97" spans="2:39" x14ac:dyDescent="0.25">
      <c r="K97" s="26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</row>
    <row r="98" spans="2:39" ht="15.75" thickBot="1" x14ac:dyDescent="0.3">
      <c r="B98" s="14" t="s">
        <v>146</v>
      </c>
      <c r="E98" s="44"/>
      <c r="F98" s="44"/>
      <c r="G98" s="44"/>
      <c r="H98" s="44"/>
      <c r="I98" s="44"/>
      <c r="J98" s="44"/>
      <c r="K98" s="26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</row>
    <row r="99" spans="2:39" x14ac:dyDescent="0.25">
      <c r="B99" t="s">
        <v>150</v>
      </c>
      <c r="C99" t="s">
        <v>93</v>
      </c>
      <c r="E99" s="5"/>
      <c r="K99" s="15">
        <f>SUM(L99:AM99)</f>
        <v>25372035.553970803</v>
      </c>
      <c r="L99" s="16">
        <f t="shared" ref="L99:AJ99" si="125">2%*L80</f>
        <v>501658.91164566728</v>
      </c>
      <c r="M99" s="16">
        <f t="shared" si="125"/>
        <v>418818.28794547322</v>
      </c>
      <c r="N99" s="16">
        <f t="shared" si="125"/>
        <v>378390.63439877168</v>
      </c>
      <c r="O99" s="16">
        <f t="shared" si="125"/>
        <v>335861.62579306751</v>
      </c>
      <c r="P99" s="16">
        <f t="shared" si="125"/>
        <v>1063002.5344780355</v>
      </c>
      <c r="Q99" s="16">
        <f t="shared" si="125"/>
        <v>1414759.7367962222</v>
      </c>
      <c r="R99" s="16">
        <f t="shared" si="125"/>
        <v>1410894.2730344832</v>
      </c>
      <c r="S99" s="16">
        <f t="shared" si="125"/>
        <v>1410894.2730344832</v>
      </c>
      <c r="T99" s="16">
        <f t="shared" si="125"/>
        <v>1406812.0772133523</v>
      </c>
      <c r="U99" s="16">
        <f t="shared" si="125"/>
        <v>1294279.220074018</v>
      </c>
      <c r="V99" s="16">
        <f t="shared" si="125"/>
        <v>1177033.6478372079</v>
      </c>
      <c r="W99" s="16">
        <f t="shared" si="125"/>
        <v>1121402.5423985939</v>
      </c>
      <c r="X99" s="16">
        <f t="shared" si="125"/>
        <v>1121402.5423985939</v>
      </c>
      <c r="Y99" s="16">
        <f t="shared" si="125"/>
        <v>1124474.8781311929</v>
      </c>
      <c r="Z99" s="16">
        <f t="shared" si="125"/>
        <v>1508528.0300847108</v>
      </c>
      <c r="AA99" s="16">
        <f t="shared" si="125"/>
        <v>1544870.3470518917</v>
      </c>
      <c r="AB99" s="16">
        <f t="shared" si="125"/>
        <v>1544870.3470518917</v>
      </c>
      <c r="AC99" s="16">
        <f t="shared" si="125"/>
        <v>1549102.8685506636</v>
      </c>
      <c r="AD99" s="16">
        <f t="shared" si="125"/>
        <v>1544870.3470518917</v>
      </c>
      <c r="AE99" s="16">
        <f t="shared" si="125"/>
        <v>1544870.3470518917</v>
      </c>
      <c r="AF99" s="16">
        <f t="shared" si="125"/>
        <v>1544870.3470518917</v>
      </c>
      <c r="AG99" s="16">
        <f t="shared" si="125"/>
        <v>410367.73489680589</v>
      </c>
      <c r="AH99" s="16">
        <f t="shared" si="125"/>
        <v>0</v>
      </c>
      <c r="AI99" s="16">
        <f t="shared" si="125"/>
        <v>0</v>
      </c>
      <c r="AJ99" s="16">
        <f t="shared" si="125"/>
        <v>0</v>
      </c>
      <c r="AK99" s="16">
        <f t="shared" ref="AK99:AL99" si="126">2%*AK80</f>
        <v>0</v>
      </c>
      <c r="AL99" s="16">
        <f t="shared" si="126"/>
        <v>0</v>
      </c>
      <c r="AM99" s="13"/>
    </row>
    <row r="100" spans="2:39" x14ac:dyDescent="0.25">
      <c r="B100" t="s">
        <v>153</v>
      </c>
      <c r="C100" t="s">
        <v>93</v>
      </c>
      <c r="K100" s="15">
        <f t="shared" ref="K100:K101" si="127">SUM(L100:AM100)</f>
        <v>12805089.881390985</v>
      </c>
      <c r="L100" s="49">
        <f>IF(1%*L80&gt;=IF(L96&lt;0,0,IF(AND(L96&gt;=0,L96&lt;=10%),1%,IF(AND(L96&gt;10%,L96&lt;=15%),1.75%,IF(AND(L96&gt;15%,L96&lt;=20%),2.5%,IF(AND(L96&gt;20%,L96&lt;=25%),3.25%,IF(AND(L96&gt;25%,L96&lt;=30%),4%,IF(AND(L96&gt;30%,L96&lt;=35%),4.75%,IF(AND(L96&gt;35%,L96&lt;=40%),5.5%,IF(AND(L96&gt;40%,L96&lt;=45%),6.25%,IF(AND(L96&gt;45%,L96&lt;=50%),7%,IF(AND(L96&gt;50%,L96&lt;=55%),7.75%,IF(AND(L96&gt;55%,L96&lt;=60%),8.5%,IF(AND(L96&gt;60%,L96&lt;=65%),9.25%,IF(AND(L96&gt;65%,L96&lt;=70%),10%,IF(AND(L96&gt;70%,L96&lt;=75%),10.75%,IF(AND(L96&gt;75%,L96&lt;=80%),11.5%,IF(L96&gt;80%,12%)))))))))))))))))*L95,1%*L80,IF(L96&lt;0,0,IF(AND(L96&gt;=0,L96&lt;=10%),1%,IF(AND(L96&gt;10%,L96&lt;=15%),1.75%,IF(AND(L96&gt;15%,L96&lt;=20%),2.5%,IF(AND(L96&gt;20%,L96&lt;=25%),3.25%,IF(AND(L96&gt;25%,L96&lt;=30%),4%,IF(AND(L96&gt;30%,L96&lt;=35%),4.75%,IF(AND(L96&gt;35%,L96&lt;=40%),5.5%,IF(AND(L96&gt;40%,L96&lt;=45%),6.25%,IF(AND(L96&gt;45%,L96&lt;=50%),7%,IF(AND(L96&gt;50%,L96&lt;=55%),7.75%,IF(AND(L96&gt;55%,L96&lt;=60%),8.5%,IF(AND(L96&gt;60%,L96&lt;=65%),9.25%,IF(AND(L96&gt;65%,L96&lt;=70%),10%,IF(AND(L96&gt;70%,L96&lt;=75%),10.75%,IF(AND(L96&gt;75%,L96&lt;=80%),11.5%,IF(L96&gt;80%,12%)))))))))))))))))*L95)</f>
        <v>369901.56022841769</v>
      </c>
      <c r="M100" s="49">
        <f t="shared" ref="M100:AJ100" si="128">IF(1%*M80&gt;=IF(M96&lt;0,0,IF(AND(M96&gt;=0,M96&lt;=10%),1%,IF(AND(M96&gt;10%,M96&lt;=15%),1.75%,IF(AND(M96&gt;15%,M96&lt;=20%),2.5%,IF(AND(M96&gt;20%,M96&lt;=25%),3.25%,IF(AND(M96&gt;25%,M96&lt;=30%),4%,IF(AND(M96&gt;30%,M96&lt;=35%),4.75%,IF(AND(M96&gt;35%,M96&lt;=40%),5.5%,IF(AND(M96&gt;40%,M96&lt;=45%),6.25%,IF(AND(M96&gt;45%,M96&lt;=50%),7%,IF(AND(M96&gt;50%,M96&lt;=55%),7.75%,IF(AND(M96&gt;55%,M96&lt;=60%),8.5%,IF(AND(M96&gt;60%,M96&lt;=65%),9.25%,IF(AND(M96&gt;65%,M96&lt;=70%),10%,IF(AND(M96&gt;70%,M96&lt;=75%),10.75%,IF(AND(M96&gt;75%,M96&lt;=80%),11.5%,IF(M96&gt;80%,12%)))))))))))))))))*M95,1%*M80,IF(M96&lt;0,0,IF(AND(M96&gt;=0,M96&lt;=10%),1%,IF(AND(M96&gt;10%,M96&lt;=15%),1.75%,IF(AND(M96&gt;15%,M96&lt;=20%),2.5%,IF(AND(M96&gt;20%,M96&lt;=25%),3.25%,IF(AND(M96&gt;25%,M96&lt;=30%),4%,IF(AND(M96&gt;30%,M96&lt;=35%),4.75%,IF(AND(M96&gt;35%,M96&lt;=40%),5.5%,IF(AND(M96&gt;40%,M96&lt;=45%),6.25%,IF(AND(M96&gt;45%,M96&lt;=50%),7%,IF(AND(M96&gt;50%,M96&lt;=55%),7.75%,IF(AND(M96&gt;55%,M96&lt;=60%),8.5%,IF(AND(M96&gt;60%,M96&lt;=65%),9.25%,IF(AND(M96&gt;65%,M96&lt;=70%),10%,IF(AND(M96&gt;70%,M96&lt;=75%),10.75%,IF(AND(M96&gt;75%,M96&lt;=80%),11.5%,IF(M96&gt;80%,12%)))))))))))))))))*M95)</f>
        <v>209409.14397273661</v>
      </c>
      <c r="N100" s="49">
        <f t="shared" si="128"/>
        <v>189195.31719938584</v>
      </c>
      <c r="O100" s="49">
        <f t="shared" si="128"/>
        <v>167930.81289653375</v>
      </c>
      <c r="P100" s="49">
        <f t="shared" si="128"/>
        <v>531501.26723901776</v>
      </c>
      <c r="Q100" s="49">
        <f t="shared" si="128"/>
        <v>707379.86839811108</v>
      </c>
      <c r="R100" s="49">
        <f t="shared" si="128"/>
        <v>705447.1365172416</v>
      </c>
      <c r="S100" s="49">
        <f t="shared" si="128"/>
        <v>705447.1365172416</v>
      </c>
      <c r="T100" s="49">
        <f t="shared" si="128"/>
        <v>703406.03860667616</v>
      </c>
      <c r="U100" s="49">
        <f t="shared" si="128"/>
        <v>647139.610037009</v>
      </c>
      <c r="V100" s="49">
        <f t="shared" si="128"/>
        <v>588516.82391860394</v>
      </c>
      <c r="W100" s="49">
        <f t="shared" si="128"/>
        <v>560701.27119929693</v>
      </c>
      <c r="X100" s="49">
        <f t="shared" si="128"/>
        <v>560701.27119929693</v>
      </c>
      <c r="Y100" s="49">
        <f t="shared" si="128"/>
        <v>562237.43906559644</v>
      </c>
      <c r="Z100" s="49">
        <f t="shared" si="128"/>
        <v>754264.0150423554</v>
      </c>
      <c r="AA100" s="49">
        <f t="shared" si="128"/>
        <v>772435.17352594587</v>
      </c>
      <c r="AB100" s="49">
        <f t="shared" si="128"/>
        <v>772435.17352594587</v>
      </c>
      <c r="AC100" s="49">
        <f t="shared" si="128"/>
        <v>774551.43427533179</v>
      </c>
      <c r="AD100" s="49">
        <f t="shared" si="128"/>
        <v>772435.17352594587</v>
      </c>
      <c r="AE100" s="49">
        <f t="shared" si="128"/>
        <v>772435.17352594587</v>
      </c>
      <c r="AF100" s="49">
        <f t="shared" si="128"/>
        <v>772435.17352594587</v>
      </c>
      <c r="AG100" s="49">
        <f t="shared" si="128"/>
        <v>205183.86744840295</v>
      </c>
      <c r="AH100" s="49">
        <f t="shared" si="128"/>
        <v>0</v>
      </c>
      <c r="AI100" s="49">
        <f t="shared" si="128"/>
        <v>0</v>
      </c>
      <c r="AJ100" s="49">
        <f t="shared" si="128"/>
        <v>0</v>
      </c>
      <c r="AK100" s="49">
        <f t="shared" ref="AK100:AL100" si="129">IF(1%*AK80&gt;=IF(AK96&lt;0,0,IF(AND(AK96&gt;=0,AK96&lt;=10%),1%,IF(AND(AK96&gt;10%,AK96&lt;=15%),1.75%,IF(AND(AK96&gt;15%,AK96&lt;=20%),2.5%,IF(AND(AK96&gt;20%,AK96&lt;=25%),3.25%,IF(AND(AK96&gt;25%,AK96&lt;=30%),4%,IF(AND(AK96&gt;30%,AK96&lt;=35%),4.75%,IF(AND(AK96&gt;35%,AK96&lt;=40%),5.5%,IF(AND(AK96&gt;40%,AK96&lt;=45%),6.25%,IF(AND(AK96&gt;45%,AK96&lt;=50%),7%,IF(AND(AK96&gt;50%,AK96&lt;=55%),7.75%,IF(AND(AK96&gt;55%,AK96&lt;=60%),8.5%,IF(AND(AK96&gt;60%,AK96&lt;=65%),9.25%,IF(AND(AK96&gt;65%,AK96&lt;=70%),10%,IF(AND(AK96&gt;70%,AK96&lt;=75%),10.75%,IF(AND(AK96&gt;75%,AK96&lt;=80%),11.5%,IF(AK96&gt;80%,12%)))))))))))))))))*AK95,1%*AK80,IF(AK96&lt;0,0,IF(AND(AK96&gt;=0,AK96&lt;=10%),1%,IF(AND(AK96&gt;10%,AK96&lt;=15%),1.75%,IF(AND(AK96&gt;15%,AK96&lt;=20%),2.5%,IF(AND(AK96&gt;20%,AK96&lt;=25%),3.25%,IF(AND(AK96&gt;25%,AK96&lt;=30%),4%,IF(AND(AK96&gt;30%,AK96&lt;=35%),4.75%,IF(AND(AK96&gt;35%,AK96&lt;=40%),5.5%,IF(AND(AK96&gt;40%,AK96&lt;=45%),6.25%,IF(AND(AK96&gt;45%,AK96&lt;=50%),7%,IF(AND(AK96&gt;50%,AK96&lt;=55%),7.75%,IF(AND(AK96&gt;55%,AK96&lt;=60%),8.5%,IF(AND(AK96&gt;60%,AK96&lt;=65%),9.25%,IF(AND(AK96&gt;65%,AK96&lt;=70%),10%,IF(AND(AK96&gt;70%,AK96&lt;=75%),10.75%,IF(AND(AK96&gt;75%,AK96&lt;=80%),11.5%,IF(AK96&gt;80%,12%)))))))))))))))))*AK95)</f>
        <v>0</v>
      </c>
      <c r="AL100" s="49">
        <f t="shared" si="129"/>
        <v>0</v>
      </c>
      <c r="AM100" s="13"/>
    </row>
    <row r="101" spans="2:39" x14ac:dyDescent="0.25">
      <c r="B101" t="s">
        <v>154</v>
      </c>
      <c r="C101" t="s">
        <v>93</v>
      </c>
      <c r="K101" s="15">
        <f t="shared" si="127"/>
        <v>2876876.5260906965</v>
      </c>
      <c r="L101" s="16">
        <f>IF(L96&lt;0,0,IF(AND(L96&gt;=0,L96&lt;=10%),2%,IF(AND(L96&gt;10%,L96&lt;=15%),2.4%,IF(AND(L96&gt;15%,L96&lt;=20%),2.8%,IF(AND(L96&gt;20%,L96&lt;=25%),3.2%,IF(AND(L96&gt;25%,L96&lt;=30%),3.6%,IF(AND(L96&gt;30%,L96&lt;=35%),4%,IF(AND(L96&gt;35%,L96&lt;=40%),4.4%,IF(AND(L96&gt;40%,L96&lt;=45%),4.8%,IF(AND(L96&gt;45%,L96&lt;=50%),5.2%,IF(AND(L96&gt;50%,L96&lt;=55%),5.36%,IF(AND(L96&gt;55%,L96&lt;=60%),6%,IF(AND(L96&gt;60%,L96&lt;=65%),6.4%,IF(AND(L96&gt;65%,L96&lt;=70%),6.8%,IF(AND(L96&gt;70%,L96&lt;=75%),7.2%,IF(AND(L96&gt;75%,L96&lt;=80%),7.6%,IF(AND(L96&gt;80%,L96&lt;=85%),8%,IF(L96&gt;85%,8.4%))))))))))))))))))*L95</f>
        <v>311496.05071866751</v>
      </c>
      <c r="M101" s="16">
        <f t="shared" ref="M101:AJ101" si="130">IF(M96&lt;0,0,IF(AND(M96&gt;=0,M96&lt;=10%),2%,IF(AND(M96&gt;10%,M96&lt;=15%),2.4%,IF(AND(M96&gt;15%,M96&lt;=20%),2.8%,IF(AND(M96&gt;20%,M96&lt;=25%),3.2%,IF(AND(M96&gt;25%,M96&lt;=30%),3.6%,IF(AND(M96&gt;30%,M96&lt;=35%),4%,IF(AND(M96&gt;35%,M96&lt;=40%),4.4%,IF(AND(M96&gt;40%,M96&lt;=45%),4.8%,IF(AND(M96&gt;45%,M96&lt;=50%),5.2%,IF(AND(M96&gt;50%,M96&lt;=55%),5.36%,IF(AND(M96&gt;55%,M96&lt;=60%),6%,IF(AND(M96&gt;60%,M96&lt;=65%),6.4%,IF(AND(M96&gt;65%,M96&lt;=70%),6.8%,IF(AND(M96&gt;70%,M96&lt;=75%),7.2%,IF(AND(M96&gt;75%,M96&lt;=80%),7.6%,IF(AND(M96&gt;80%,M96&lt;=85%),8%,IF(M96&gt;85%,8.4%))))))))))))))))))*M95</f>
        <v>94614.410322795564</v>
      </c>
      <c r="N101" s="16">
        <f t="shared" si="130"/>
        <v>27154.068112438174</v>
      </c>
      <c r="O101" s="16">
        <f t="shared" si="130"/>
        <v>0</v>
      </c>
      <c r="P101" s="16">
        <f t="shared" si="130"/>
        <v>57332.76281260133</v>
      </c>
      <c r="Q101" s="16">
        <f t="shared" si="130"/>
        <v>61036.314960605501</v>
      </c>
      <c r="R101" s="16">
        <f t="shared" si="130"/>
        <v>59873.267834118902</v>
      </c>
      <c r="S101" s="16">
        <f t="shared" si="130"/>
        <v>59873.267834118902</v>
      </c>
      <c r="T101" s="16">
        <f t="shared" si="130"/>
        <v>55791.072012988036</v>
      </c>
      <c r="U101" s="16">
        <f t="shared" si="130"/>
        <v>0</v>
      </c>
      <c r="V101" s="16">
        <f t="shared" si="130"/>
        <v>0</v>
      </c>
      <c r="W101" s="16">
        <f t="shared" si="130"/>
        <v>0</v>
      </c>
      <c r="X101" s="16">
        <f t="shared" si="130"/>
        <v>0</v>
      </c>
      <c r="Y101" s="16">
        <f t="shared" si="130"/>
        <v>0</v>
      </c>
      <c r="Z101" s="16">
        <f t="shared" si="130"/>
        <v>189008.42986121573</v>
      </c>
      <c r="AA101" s="16">
        <f t="shared" si="130"/>
        <v>232619.21022183288</v>
      </c>
      <c r="AB101" s="16">
        <f t="shared" si="130"/>
        <v>257339.21022183288</v>
      </c>
      <c r="AC101" s="16">
        <f t="shared" si="130"/>
        <v>341291.22540106584</v>
      </c>
      <c r="AD101" s="16">
        <f t="shared" si="130"/>
        <v>339149.07859213831</v>
      </c>
      <c r="AE101" s="16">
        <f t="shared" si="130"/>
        <v>367149.07859213831</v>
      </c>
      <c r="AF101" s="16">
        <f t="shared" si="130"/>
        <v>423149.07859213831</v>
      </c>
      <c r="AG101" s="16">
        <f t="shared" si="130"/>
        <v>0</v>
      </c>
      <c r="AH101" s="16">
        <f t="shared" si="130"/>
        <v>0</v>
      </c>
      <c r="AI101" s="16">
        <f t="shared" si="130"/>
        <v>0</v>
      </c>
      <c r="AJ101" s="16">
        <f t="shared" si="130"/>
        <v>0</v>
      </c>
      <c r="AK101" s="16">
        <f t="shared" ref="AK101:AL101" si="131">IF(AK96&lt;0,0,IF(AND(AK96&gt;=0,AK96&lt;=10%),2%,IF(AND(AK96&gt;10%,AK96&lt;=15%),2.4%,IF(AND(AK96&gt;15%,AK96&lt;=20%),2.8%,IF(AND(AK96&gt;20%,AK96&lt;=25%),3.2%,IF(AND(AK96&gt;25%,AK96&lt;=30%),3.6%,IF(AND(AK96&gt;30%,AK96&lt;=35%),4%,IF(AND(AK96&gt;35%,AK96&lt;=40%),4.4%,IF(AND(AK96&gt;40%,AK96&lt;=45%),4.8%,IF(AND(AK96&gt;45%,AK96&lt;=50%),5.2%,IF(AND(AK96&gt;50%,AK96&lt;=55%),5.36%,IF(AND(AK96&gt;55%,AK96&lt;=60%),6%,IF(AND(AK96&gt;60%,AK96&lt;=65%),6.4%,IF(AND(AK96&gt;65%,AK96&lt;=70%),6.8%,IF(AND(AK96&gt;70%,AK96&lt;=75%),7.2%,IF(AND(AK96&gt;75%,AK96&lt;=80%),7.6%,IF(AND(AK96&gt;80%,AK96&lt;=85%),8%,IF(AK96&gt;85%,8.4%))))))))))))))))))*AK95</f>
        <v>0</v>
      </c>
      <c r="AL101" s="16">
        <f t="shared" si="131"/>
        <v>0</v>
      </c>
      <c r="AM101" s="13"/>
    </row>
    <row r="102" spans="2:39" x14ac:dyDescent="0.25">
      <c r="K102" s="26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</row>
    <row r="103" spans="2:39" ht="15.75" thickBot="1" x14ac:dyDescent="0.3">
      <c r="B103" s="14" t="s">
        <v>147</v>
      </c>
      <c r="K103" s="26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</row>
    <row r="104" spans="2:39" x14ac:dyDescent="0.25">
      <c r="B104" t="s">
        <v>148</v>
      </c>
      <c r="C104" t="s">
        <v>93</v>
      </c>
      <c r="E104" s="6">
        <v>57755000</v>
      </c>
      <c r="F104" s="6">
        <v>29171000</v>
      </c>
      <c r="G104" s="6">
        <v>7647000</v>
      </c>
      <c r="H104" s="6">
        <v>7483000</v>
      </c>
      <c r="I104" s="6">
        <v>27096000</v>
      </c>
      <c r="J104" s="6">
        <v>3654000</v>
      </c>
      <c r="K104" s="15">
        <f>SUM(L104:AM104)</f>
        <v>14324448.180737969</v>
      </c>
      <c r="L104" s="16">
        <f>L73-L92-SUM(L99:L101)</f>
        <v>6604344.7453739354</v>
      </c>
      <c r="M104" s="16">
        <f t="shared" ref="M104:AJ104" si="132">M73-M92-SUM(M99:M101)</f>
        <v>2656244.2407159791</v>
      </c>
      <c r="N104" s="16">
        <f t="shared" si="132"/>
        <v>762963.38591131289</v>
      </c>
      <c r="O104" s="16">
        <f t="shared" si="132"/>
        <v>-1051208.3219875288</v>
      </c>
      <c r="P104" s="16">
        <f t="shared" si="132"/>
        <v>1214801.5761004118</v>
      </c>
      <c r="Q104" s="16">
        <f t="shared" si="132"/>
        <v>868639.82787533663</v>
      </c>
      <c r="R104" s="16">
        <f t="shared" si="132"/>
        <v>817448.71432010131</v>
      </c>
      <c r="S104" s="16">
        <f t="shared" si="132"/>
        <v>817448.71432010131</v>
      </c>
      <c r="T104" s="16">
        <f t="shared" si="132"/>
        <v>623544.41281638527</v>
      </c>
      <c r="U104" s="16">
        <f t="shared" si="132"/>
        <v>-4913628.9181909561</v>
      </c>
      <c r="V104" s="16">
        <f t="shared" si="132"/>
        <v>-10464918.339913646</v>
      </c>
      <c r="W104" s="16">
        <f t="shared" si="132"/>
        <v>-13163026.95368642</v>
      </c>
      <c r="X104" s="16">
        <f t="shared" si="132"/>
        <v>-13163026.95368642</v>
      </c>
      <c r="Y104" s="16">
        <f t="shared" si="132"/>
        <v>-13149139.50241797</v>
      </c>
      <c r="Z104" s="16">
        <f t="shared" si="132"/>
        <v>5423550.7692290395</v>
      </c>
      <c r="AA104" s="16">
        <f t="shared" si="132"/>
        <v>7142542.3617766984</v>
      </c>
      <c r="AB104" s="16">
        <f t="shared" si="132"/>
        <v>8147822.3617766984</v>
      </c>
      <c r="AC104" s="16">
        <f t="shared" si="132"/>
        <v>9524026.807525292</v>
      </c>
      <c r="AD104" s="16">
        <f t="shared" si="132"/>
        <v>9456012.4934063926</v>
      </c>
      <c r="AE104" s="16">
        <f t="shared" si="132"/>
        <v>10428012.493406393</v>
      </c>
      <c r="AF104" s="16">
        <f t="shared" si="132"/>
        <v>12372012.493406393</v>
      </c>
      <c r="AG104" s="16">
        <f t="shared" si="132"/>
        <v>-6630018.2273395536</v>
      </c>
      <c r="AH104" s="16">
        <f t="shared" si="132"/>
        <v>0</v>
      </c>
      <c r="AI104" s="16">
        <f t="shared" si="132"/>
        <v>0</v>
      </c>
      <c r="AJ104" s="16">
        <f t="shared" si="132"/>
        <v>0</v>
      </c>
      <c r="AK104" s="16">
        <f t="shared" ref="AK104:AL104" si="133">AK73-AK92-SUM(AK99:AK101)</f>
        <v>0</v>
      </c>
      <c r="AL104" s="16">
        <f t="shared" si="133"/>
        <v>0</v>
      </c>
      <c r="AM104" s="13"/>
    </row>
    <row r="105" spans="2:39" x14ac:dyDescent="0.25">
      <c r="B105" t="s">
        <v>140</v>
      </c>
      <c r="C105" t="s">
        <v>93</v>
      </c>
      <c r="E105" s="6">
        <v>1545000</v>
      </c>
      <c r="F105" s="6">
        <v>1726000</v>
      </c>
      <c r="G105" s="6">
        <v>719000</v>
      </c>
      <c r="H105" s="6">
        <v>1036000</v>
      </c>
      <c r="I105" s="6">
        <v>2129000</v>
      </c>
      <c r="J105" s="6">
        <v>705000</v>
      </c>
      <c r="K105" s="15">
        <f>SUM(L105:AM105)</f>
        <v>6148753.2318368386</v>
      </c>
      <c r="L105" s="16">
        <f>IF(L104&gt;=0,8%*L104,0)</f>
        <v>528347.57962991484</v>
      </c>
      <c r="M105" s="16">
        <f t="shared" ref="M105:AJ105" si="134">IF(M104&gt;=0,8%*M104,0)</f>
        <v>212499.53925727835</v>
      </c>
      <c r="N105" s="16">
        <f t="shared" si="134"/>
        <v>61037.070872905031</v>
      </c>
      <c r="O105" s="16">
        <f t="shared" si="134"/>
        <v>0</v>
      </c>
      <c r="P105" s="16">
        <f t="shared" si="134"/>
        <v>97184.12608803295</v>
      </c>
      <c r="Q105" s="16">
        <f t="shared" si="134"/>
        <v>69491.186230026928</v>
      </c>
      <c r="R105" s="16">
        <f t="shared" si="134"/>
        <v>65395.897145608105</v>
      </c>
      <c r="S105" s="16">
        <f t="shared" si="134"/>
        <v>65395.897145608105</v>
      </c>
      <c r="T105" s="16">
        <f t="shared" si="134"/>
        <v>49883.553025310823</v>
      </c>
      <c r="U105" s="16">
        <f t="shared" si="134"/>
        <v>0</v>
      </c>
      <c r="V105" s="16">
        <f t="shared" si="134"/>
        <v>0</v>
      </c>
      <c r="W105" s="16">
        <f t="shared" si="134"/>
        <v>0</v>
      </c>
      <c r="X105" s="16">
        <f t="shared" si="134"/>
        <v>0</v>
      </c>
      <c r="Y105" s="16">
        <f t="shared" si="134"/>
        <v>0</v>
      </c>
      <c r="Z105" s="16">
        <f t="shared" si="134"/>
        <v>433884.06153832318</v>
      </c>
      <c r="AA105" s="16">
        <f t="shared" si="134"/>
        <v>571403.38894213585</v>
      </c>
      <c r="AB105" s="16">
        <f t="shared" si="134"/>
        <v>651825.78894213587</v>
      </c>
      <c r="AC105" s="16">
        <f t="shared" si="134"/>
        <v>761922.14460202341</v>
      </c>
      <c r="AD105" s="16">
        <f t="shared" si="134"/>
        <v>756480.99947251147</v>
      </c>
      <c r="AE105" s="16">
        <f t="shared" si="134"/>
        <v>834240.99947251147</v>
      </c>
      <c r="AF105" s="16">
        <f t="shared" si="134"/>
        <v>989760.99947251147</v>
      </c>
      <c r="AG105" s="16">
        <f t="shared" si="134"/>
        <v>0</v>
      </c>
      <c r="AH105" s="16">
        <f t="shared" si="134"/>
        <v>0</v>
      </c>
      <c r="AI105" s="16">
        <f t="shared" si="134"/>
        <v>0</v>
      </c>
      <c r="AJ105" s="16">
        <f t="shared" si="134"/>
        <v>0</v>
      </c>
      <c r="AK105" s="16">
        <f t="shared" ref="AK105" si="135">IF(AK104&gt;=0,8%*AK104,0)</f>
        <v>0</v>
      </c>
      <c r="AL105" s="16">
        <f t="shared" ref="AL105" si="136">IF(AL104&gt;=0,8%*AL104,0)</f>
        <v>0</v>
      </c>
      <c r="AM105" s="13"/>
    </row>
    <row r="106" spans="2:39" x14ac:dyDescent="0.25">
      <c r="B106" t="s">
        <v>149</v>
      </c>
      <c r="C106" t="s">
        <v>70</v>
      </c>
      <c r="E106" s="18">
        <f>(E104-E107)/E104</f>
        <v>0.29670158427841747</v>
      </c>
      <c r="F106" s="18">
        <f t="shared" ref="F106:I106" si="137">(F104-F107)/F104</f>
        <v>0.36433444174008434</v>
      </c>
      <c r="G106" s="18">
        <f t="shared" si="137"/>
        <v>0.36105662351248857</v>
      </c>
      <c r="H106" s="18">
        <f t="shared" si="137"/>
        <v>0.57623947614593074</v>
      </c>
      <c r="I106" s="18">
        <f t="shared" si="137"/>
        <v>0.34746826099793326</v>
      </c>
      <c r="J106" s="18"/>
      <c r="K106" s="64">
        <f>AVERAGE(L106:AM106)</f>
        <v>0.29499999999999998</v>
      </c>
      <c r="L106" s="34">
        <v>0.29499999999999998</v>
      </c>
      <c r="M106" s="34">
        <v>0.29499999999999998</v>
      </c>
      <c r="N106" s="34">
        <v>0.29499999999999998</v>
      </c>
      <c r="O106" s="34">
        <v>0.29499999999999998</v>
      </c>
      <c r="P106" s="34">
        <v>0.29499999999999998</v>
      </c>
      <c r="Q106" s="34">
        <v>0.29499999999999998</v>
      </c>
      <c r="R106" s="34">
        <v>0.29499999999999998</v>
      </c>
      <c r="S106" s="34">
        <v>0.29499999999999998</v>
      </c>
      <c r="T106" s="34">
        <v>0.29499999999999998</v>
      </c>
      <c r="U106" s="34">
        <v>0.29499999999999998</v>
      </c>
      <c r="V106" s="34">
        <v>0.29499999999999998</v>
      </c>
      <c r="W106" s="34">
        <v>0.29499999999999998</v>
      </c>
      <c r="X106" s="34">
        <v>0.29499999999999998</v>
      </c>
      <c r="Y106" s="34">
        <v>0.29499999999999998</v>
      </c>
      <c r="Z106" s="34">
        <v>0.29499999999999998</v>
      </c>
      <c r="AA106" s="34">
        <v>0.29499999999999998</v>
      </c>
      <c r="AB106" s="34">
        <v>0.29499999999999998</v>
      </c>
      <c r="AC106" s="34">
        <v>0.29499999999999998</v>
      </c>
      <c r="AD106" s="34">
        <v>0.29499999999999998</v>
      </c>
      <c r="AE106" s="34">
        <v>0.29499999999999998</v>
      </c>
      <c r="AF106" s="34">
        <v>0.29499999999999998</v>
      </c>
      <c r="AG106" s="34">
        <v>0.29499999999999998</v>
      </c>
      <c r="AH106" s="34">
        <v>0.29499999999999998</v>
      </c>
      <c r="AI106" s="34">
        <v>0.29499999999999998</v>
      </c>
      <c r="AJ106" s="34">
        <v>0.29499999999999998</v>
      </c>
      <c r="AK106" s="34">
        <v>0.29499999999999998</v>
      </c>
      <c r="AL106" s="34">
        <v>0.29499999999999998</v>
      </c>
      <c r="AM106" s="13"/>
    </row>
    <row r="107" spans="2:39" x14ac:dyDescent="0.25">
      <c r="B107" t="s">
        <v>147</v>
      </c>
      <c r="C107" t="s">
        <v>93</v>
      </c>
      <c r="E107" s="6">
        <v>40619000</v>
      </c>
      <c r="F107" s="6">
        <v>18543000</v>
      </c>
      <c r="G107" s="6">
        <v>4886000</v>
      </c>
      <c r="H107" s="6">
        <v>3171000</v>
      </c>
      <c r="I107" s="6">
        <v>17681000</v>
      </c>
      <c r="J107" s="6">
        <v>4680000</v>
      </c>
      <c r="K107" s="15">
        <f>SUM(L107:AM107)</f>
        <v>-12683950.390105326</v>
      </c>
      <c r="L107" s="16">
        <f>IF(L104&gt;=0,(L104-L105)*(1-L106),L104)</f>
        <v>4283578.0018495349</v>
      </c>
      <c r="M107" s="16">
        <f t="shared" ref="M107:AJ107" si="138">IF(M104&gt;=0,(M104-M105)*(1-M106),M104)</f>
        <v>1722840.0145283844</v>
      </c>
      <c r="N107" s="16">
        <f t="shared" si="138"/>
        <v>494858.05210207758</v>
      </c>
      <c r="O107" s="16">
        <f t="shared" si="138"/>
        <v>-1051208.3219875288</v>
      </c>
      <c r="P107" s="16">
        <f t="shared" si="138"/>
        <v>787920.30225872714</v>
      </c>
      <c r="Q107" s="16">
        <f t="shared" si="138"/>
        <v>563399.79235994339</v>
      </c>
      <c r="R107" s="16">
        <f t="shared" si="138"/>
        <v>530197.23610801774</v>
      </c>
      <c r="S107" s="16">
        <f t="shared" si="138"/>
        <v>530197.23610801774</v>
      </c>
      <c r="T107" s="16">
        <f t="shared" si="138"/>
        <v>404430.90615270752</v>
      </c>
      <c r="U107" s="16">
        <f t="shared" si="138"/>
        <v>-4913628.9181909561</v>
      </c>
      <c r="V107" s="16">
        <f t="shared" si="138"/>
        <v>-10464918.339913646</v>
      </c>
      <c r="W107" s="16">
        <f t="shared" si="138"/>
        <v>-13163026.95368642</v>
      </c>
      <c r="X107" s="16">
        <f t="shared" si="138"/>
        <v>-13163026.95368642</v>
      </c>
      <c r="Y107" s="16">
        <f t="shared" si="138"/>
        <v>-13149139.50241797</v>
      </c>
      <c r="Z107" s="16">
        <f t="shared" si="138"/>
        <v>3517715.0289219557</v>
      </c>
      <c r="AA107" s="16">
        <f t="shared" si="138"/>
        <v>4632652.9758483674</v>
      </c>
      <c r="AB107" s="16">
        <f t="shared" si="138"/>
        <v>5284677.5838483674</v>
      </c>
      <c r="AC107" s="16">
        <f t="shared" si="138"/>
        <v>6177283.7873609057</v>
      </c>
      <c r="AD107" s="16">
        <f t="shared" si="138"/>
        <v>6133169.7032233868</v>
      </c>
      <c r="AE107" s="16">
        <f t="shared" si="138"/>
        <v>6763608.903223387</v>
      </c>
      <c r="AF107" s="16">
        <f t="shared" si="138"/>
        <v>8024487.3032233864</v>
      </c>
      <c r="AG107" s="16">
        <f t="shared" si="138"/>
        <v>-6630018.2273395536</v>
      </c>
      <c r="AH107" s="16">
        <f t="shared" si="138"/>
        <v>0</v>
      </c>
      <c r="AI107" s="16">
        <f t="shared" si="138"/>
        <v>0</v>
      </c>
      <c r="AJ107" s="16">
        <f t="shared" si="138"/>
        <v>0</v>
      </c>
      <c r="AK107" s="16">
        <f t="shared" ref="AK107" si="139">IF(AK104&gt;=0,(AK104-AK105)*(1-AK106),AK104)</f>
        <v>0</v>
      </c>
      <c r="AL107" s="16">
        <f t="shared" ref="AL107" si="140">IF(AL104&gt;=0,(AL104-AL105)*(1-AL106),AL104)</f>
        <v>0</v>
      </c>
      <c r="AM107" s="13"/>
    </row>
    <row r="108" spans="2:39" x14ac:dyDescent="0.25">
      <c r="K108" s="26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</row>
    <row r="109" spans="2:39" ht="15.75" thickBot="1" x14ac:dyDescent="0.3">
      <c r="B109" s="14" t="s">
        <v>156</v>
      </c>
      <c r="K109" s="26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</row>
    <row r="110" spans="2:39" x14ac:dyDescent="0.25">
      <c r="B110" t="s">
        <v>157</v>
      </c>
      <c r="C110" t="s">
        <v>93</v>
      </c>
      <c r="D110" s="6"/>
      <c r="E110" s="6">
        <v>9589000</v>
      </c>
      <c r="F110" s="6">
        <v>14709000</v>
      </c>
      <c r="G110" s="6">
        <v>10440000</v>
      </c>
      <c r="H110" s="6">
        <v>5909000</v>
      </c>
      <c r="I110" s="6">
        <v>13758000</v>
      </c>
      <c r="J110" s="6">
        <v>3949000</v>
      </c>
      <c r="K110" s="15">
        <f>SUM(L110:AM110)</f>
        <v>227468000</v>
      </c>
      <c r="L110" s="16">
        <f>(16300000-$J$110)/3</f>
        <v>4117000</v>
      </c>
      <c r="M110" s="16">
        <f t="shared" ref="M110:O110" si="141">(16300000-$J$110)/3</f>
        <v>4117000</v>
      </c>
      <c r="N110" s="16">
        <f t="shared" si="141"/>
        <v>4117000</v>
      </c>
      <c r="O110" s="16">
        <f t="shared" si="141"/>
        <v>4117000</v>
      </c>
      <c r="P110" s="16">
        <f>IF(Auxiliary!B11&gt;5,10000000,IF(Auxiliary!B11=5,11000000*0.75,IF(Auxiliary!B11=4,9000000*0.75,IF(Auxiliary!B11=3,7000000*0.75,IF(Auxiliary!B11=2,5000000*0.75,IF(Auxiliary!B11=1,2000000*0.75,0))))))</f>
        <v>10000000</v>
      </c>
      <c r="Q110" s="16">
        <f>IF(Auxiliary!C11&gt;6,14000000,IF(Auxiliary!C11=6,13000000,IF(Auxiliary!C11=5,11000000,IF(Auxiliary!C11=4,9000000,IF(Auxiliary!C11=3,7000000,IF(Auxiliary!C11=2,5000000,IF(Auxiliary!C11=1,2000000,0)))))))</f>
        <v>14000000</v>
      </c>
      <c r="R110" s="16">
        <f>IF(Auxiliary!D11&gt;6,14000000,IF(Auxiliary!D11=6,13000000,IF(Auxiliary!D11=5,11000000,IF(Auxiliary!D11=4,9000000,IF(Auxiliary!D11=3,7000000,IF(Auxiliary!D11=2,5000000,IF(Auxiliary!D11=1,2000000,0)))))))</f>
        <v>14000000</v>
      </c>
      <c r="S110" s="16">
        <f>IF(Auxiliary!E11&gt;6,14000000,IF(Auxiliary!E11=6,13000000,IF(Auxiliary!E11=5,11000000,IF(Auxiliary!E11=4,9000000,IF(Auxiliary!E11=3,7000000,IF(Auxiliary!E11=2,5000000,IF(Auxiliary!E11=1,2000000,0)))))))</f>
        <v>14000000</v>
      </c>
      <c r="T110" s="16">
        <f>IF(Auxiliary!F11&gt;6,14000000,IF(Auxiliary!F11=6,13000000,IF(Auxiliary!F11=5,11000000,IF(Auxiliary!F11=4,9000000,IF(Auxiliary!F11=3,7000000,IF(Auxiliary!F11=2,5000000,IF(Auxiliary!F11=1,2000000,0)))))))</f>
        <v>14000000</v>
      </c>
      <c r="U110" s="16">
        <f>IF(Auxiliary!G11&gt;6,14000000,IF(Auxiliary!G11=6,13000000,IF(Auxiliary!G11=5,11000000,IF(Auxiliary!G11=4,9000000,IF(Auxiliary!G11=3,7000000,IF(Auxiliary!G11=2,5000000,IF(Auxiliary!G11=1,2000000,0)))))))</f>
        <v>14000000</v>
      </c>
      <c r="V110" s="16">
        <f>IF(Auxiliary!H11&gt;6,14000000,IF(Auxiliary!H11=6,13000000,IF(Auxiliary!H11=5,11000000,IF(Auxiliary!H11=4,9000000,IF(Auxiliary!H11=3,7000000,IF(Auxiliary!H11=2,5000000,IF(Auxiliary!H11=1,2000000,0)))))))</f>
        <v>14000000</v>
      </c>
      <c r="W110" s="16">
        <f>IF(Auxiliary!I11&gt;6,14000000,IF(Auxiliary!I11=6,13000000,IF(Auxiliary!I11=5,11000000,IF(Auxiliary!I11=4,9000000,IF(Auxiliary!I11=3,7000000,IF(Auxiliary!I11=2,5000000,IF(Auxiliary!I11=1,2000000,0)))))))</f>
        <v>14000000</v>
      </c>
      <c r="X110" s="16">
        <f>IF(Auxiliary!J11&gt;6,14000000,IF(Auxiliary!J11=6,13000000,IF(Auxiliary!J11=5,11000000,IF(Auxiliary!J11=4,9000000,IF(Auxiliary!J11=3,7000000,IF(Auxiliary!J11=2,5000000,IF(Auxiliary!J11=1,2000000,0)))))))</f>
        <v>14000000</v>
      </c>
      <c r="Y110" s="16">
        <f>IF(Auxiliary!K11&gt;6,14000000,IF(Auxiliary!K11=6,13000000,IF(Auxiliary!K11=5,11000000,IF(Auxiliary!K11=4,9000000,IF(Auxiliary!K11=3,7000000,IF(Auxiliary!K11=2,5000000,IF(Auxiliary!K11=1,2000000,0)))))))</f>
        <v>14000000</v>
      </c>
      <c r="Z110" s="16">
        <f>IF(Auxiliary!L11&gt;6,14000000,IF(Auxiliary!L11=6,13000000,IF(Auxiliary!L11=5,11000000,IF(Auxiliary!L11=4,9000000,IF(Auxiliary!L11=3,7000000,IF(Auxiliary!L11=2,5000000,IF(Auxiliary!L11=1,2000000,0)))))))</f>
        <v>14000000</v>
      </c>
      <c r="AA110" s="16">
        <f>IF(Auxiliary!M11&gt;6,14000000,IF(Auxiliary!M11=6,13000000,IF(Auxiliary!M11=5,11000000,IF(Auxiliary!M11=4,9000000,IF(Auxiliary!M11=3,7000000,IF(Auxiliary!M11=2,5000000,IF(Auxiliary!M11=1,2000000,0)))))))</f>
        <v>14000000</v>
      </c>
      <c r="AB110" s="16">
        <f>IF(Auxiliary!N11&gt;6,14000000,IF(Auxiliary!N11=6,13000000,IF(Auxiliary!N11=5,11000000,IF(Auxiliary!N11=4,9000000,IF(Auxiliary!N11=3,7000000,IF(Auxiliary!N11=2,5000000,IF(Auxiliary!N11=1,2000000,0)))))))</f>
        <v>13000000</v>
      </c>
      <c r="AC110" s="16">
        <f>IF(Auxiliary!O11&gt;6,14000000,IF(Auxiliary!O11=6,13000000,IF(Auxiliary!O11=5,11000000,IF(Auxiliary!O11=4,9000000,IF(Auxiliary!O11=3,7000000,IF(Auxiliary!O11=2,5000000,IF(Auxiliary!O11=1,2000000,0)))))))</f>
        <v>11000000</v>
      </c>
      <c r="AD110" s="16">
        <f>IF(Auxiliary!P11&gt;6,14000000,IF(Auxiliary!P11=6,13000000,IF(Auxiliary!P11=5,11000000,IF(Auxiliary!P11=4,9000000,IF(Auxiliary!P11=3,7000000,IF(Auxiliary!P11=2,5000000,IF(Auxiliary!P11=1,2000000,0)))))))</f>
        <v>9000000</v>
      </c>
      <c r="AE110" s="16">
        <f>IF(Auxiliary!Q11&gt;6,14000000,IF(Auxiliary!Q11=6,13000000,IF(Auxiliary!Q11=5,11000000,IF(Auxiliary!Q11=4,9000000,IF(Auxiliary!Q11=3,7000000,IF(Auxiliary!Q11=2,5000000,IF(Auxiliary!Q11=1,2000000,0)))))))</f>
        <v>7000000</v>
      </c>
      <c r="AF110" s="16">
        <f>IF(Auxiliary!R11&gt;6,14000000,IF(Auxiliary!R11=6,13000000,IF(Auxiliary!R11=5,11000000,IF(Auxiliary!R11=4,9000000,IF(Auxiliary!R11=3,7000000,IF(Auxiliary!R11=2,5000000,IF(Auxiliary!R11=1,2000000,0)))))))</f>
        <v>5000000</v>
      </c>
      <c r="AG110" s="16">
        <f>IF(Auxiliary!S11&gt;6,14000000,IF(Auxiliary!S11=6,13000000,IF(Auxiliary!S11=5,11000000,IF(Auxiliary!S11=4,9000000,IF(Auxiliary!S11=3,7000000,IF(Auxiliary!S11=2,5000000,IF(Auxiliary!S11=1,2000000,0)))))))</f>
        <v>2000000</v>
      </c>
      <c r="AH110" s="16">
        <f>IF(Auxiliary!T11&gt;6,14000000,IF(Auxiliary!T11=6,13000000,IF(Auxiliary!T11=5,11000000,IF(Auxiliary!T11=4,9000000,IF(Auxiliary!T11=3,7000000,IF(Auxiliary!T11=2,5000000,IF(Auxiliary!T11=1,2000000,0)))))))</f>
        <v>0</v>
      </c>
      <c r="AI110" s="16">
        <f>IF(Auxiliary!U11&gt;6,14000000,IF(Auxiliary!U11=6,13000000,IF(Auxiliary!U11=5,11000000,IF(Auxiliary!U11=4,9000000,IF(Auxiliary!U11=3,7000000,IF(Auxiliary!U11=2,5000000,IF(Auxiliary!U11=1,2000000,0)))))))</f>
        <v>0</v>
      </c>
      <c r="AJ110" s="16">
        <f>IF(Auxiliary!V11&gt;6,14000000,IF(Auxiliary!V11=6,13000000,IF(Auxiliary!V11=5,11000000,IF(Auxiliary!V11=4,9000000,IF(Auxiliary!V11=3,7000000,IF(Auxiliary!V11=2,5000000,IF(Auxiliary!V11=1,2000000,0)))))))</f>
        <v>0</v>
      </c>
      <c r="AK110" s="16">
        <f>IF(Auxiliary!W11&gt;6,14000000,IF(Auxiliary!W11=6,13000000,IF(Auxiliary!W11=5,11000000,IF(Auxiliary!W11=4,9000000,IF(Auxiliary!W11=3,7000000,IF(Auxiliary!W11=2,5000000,IF(Auxiliary!W11=1,2000000,0)))))))</f>
        <v>0</v>
      </c>
      <c r="AL110" s="16">
        <f>IF(Auxiliary!X11&gt;6,14000000,IF(Auxiliary!X11=6,13000000,IF(Auxiliary!X11=5,11000000,IF(Auxiliary!X11=4,9000000,IF(Auxiliary!X11=3,7000000,IF(Auxiliary!X11=2,5000000,IF(Auxiliary!X11=1,2000000,0)))))))</f>
        <v>0</v>
      </c>
      <c r="AM110" s="13"/>
    </row>
    <row r="111" spans="2:39" x14ac:dyDescent="0.25">
      <c r="B111" t="s">
        <v>158</v>
      </c>
      <c r="C111" t="s">
        <v>93</v>
      </c>
      <c r="D111" s="6"/>
      <c r="E111" s="6">
        <v>3614000</v>
      </c>
      <c r="F111" s="6">
        <v>1691000</v>
      </c>
      <c r="G111" s="6">
        <v>700000</v>
      </c>
      <c r="H111" s="6">
        <v>514000</v>
      </c>
      <c r="I111" s="6">
        <v>3731000</v>
      </c>
      <c r="J111" s="6">
        <v>324000</v>
      </c>
      <c r="K111" s="15">
        <f t="shared" ref="K111:K112" si="142">SUM(L111:AM111)</f>
        <v>28076000</v>
      </c>
      <c r="L111" s="16">
        <f>(1400000-$J$111)/3</f>
        <v>358666.66666666669</v>
      </c>
      <c r="M111" s="16">
        <f t="shared" ref="M111:N111" si="143">(1400000-$J$111)/3</f>
        <v>358666.66666666669</v>
      </c>
      <c r="N111" s="16">
        <f t="shared" si="143"/>
        <v>358666.66666666669</v>
      </c>
      <c r="O111" s="16">
        <f>1500000/4</f>
        <v>375000</v>
      </c>
      <c r="P111" s="16">
        <f>IF(P32&gt;0,1500000*0.75,0)</f>
        <v>1125000</v>
      </c>
      <c r="Q111" s="16">
        <f>IF(Q32&gt;0,1500000,0)</f>
        <v>1500000</v>
      </c>
      <c r="R111" s="16">
        <f t="shared" ref="R111:AJ111" si="144">IF(R32&gt;0,1500000,0)</f>
        <v>1500000</v>
      </c>
      <c r="S111" s="16">
        <f t="shared" si="144"/>
        <v>1500000</v>
      </c>
      <c r="T111" s="16">
        <f t="shared" si="144"/>
        <v>1500000</v>
      </c>
      <c r="U111" s="16">
        <f t="shared" si="144"/>
        <v>1500000</v>
      </c>
      <c r="V111" s="16">
        <f t="shared" si="144"/>
        <v>1500000</v>
      </c>
      <c r="W111" s="16">
        <f t="shared" si="144"/>
        <v>1500000</v>
      </c>
      <c r="X111" s="16">
        <f t="shared" si="144"/>
        <v>1500000</v>
      </c>
      <c r="Y111" s="16">
        <f t="shared" si="144"/>
        <v>1500000</v>
      </c>
      <c r="Z111" s="16">
        <f t="shared" si="144"/>
        <v>1500000</v>
      </c>
      <c r="AA111" s="16">
        <f t="shared" si="144"/>
        <v>1500000</v>
      </c>
      <c r="AB111" s="16">
        <f t="shared" si="144"/>
        <v>1500000</v>
      </c>
      <c r="AC111" s="16">
        <f t="shared" si="144"/>
        <v>1500000</v>
      </c>
      <c r="AD111" s="16">
        <f t="shared" si="144"/>
        <v>1500000</v>
      </c>
      <c r="AE111" s="16">
        <f t="shared" si="144"/>
        <v>1500000</v>
      </c>
      <c r="AF111" s="16">
        <f t="shared" si="144"/>
        <v>1500000</v>
      </c>
      <c r="AG111" s="16">
        <f t="shared" si="144"/>
        <v>1500000</v>
      </c>
      <c r="AH111" s="16">
        <f t="shared" si="144"/>
        <v>0</v>
      </c>
      <c r="AI111" s="16">
        <f t="shared" si="144"/>
        <v>0</v>
      </c>
      <c r="AJ111" s="16">
        <f t="shared" si="144"/>
        <v>0</v>
      </c>
      <c r="AK111" s="16">
        <f t="shared" ref="AK111:AL111" si="145">IF(AK32&gt;0,1500000,0)</f>
        <v>0</v>
      </c>
      <c r="AL111" s="16">
        <f t="shared" si="145"/>
        <v>0</v>
      </c>
      <c r="AM111" s="13"/>
    </row>
    <row r="112" spans="2:39" x14ac:dyDescent="0.25">
      <c r="B112" t="s">
        <v>159</v>
      </c>
      <c r="C112" t="s">
        <v>93</v>
      </c>
      <c r="D112" s="6"/>
      <c r="F112" s="6"/>
      <c r="G112" s="6"/>
      <c r="H112" s="6"/>
      <c r="I112" s="6"/>
      <c r="J112" s="6"/>
      <c r="K112" s="15">
        <f t="shared" si="142"/>
        <v>13573200</v>
      </c>
      <c r="L112" s="13"/>
      <c r="M112" s="16"/>
      <c r="N112" s="16" t="str">
        <f>IF(AND(N32=0,M32&gt;0),5655500*1.2,IF(AND(N32=0,M32=0,L32&gt;0),5655500*1.2,""))</f>
        <v/>
      </c>
      <c r="O112" s="16" t="str">
        <f t="shared" ref="O112:AJ112" si="146">IF(AND(O32=0,N32&gt;0),5655500*1.2,IF(AND(O32=0,N32=0,M32&gt;0),5655500*1.2,""))</f>
        <v/>
      </c>
      <c r="P112" s="16" t="str">
        <f t="shared" si="146"/>
        <v/>
      </c>
      <c r="Q112" s="16" t="str">
        <f t="shared" si="146"/>
        <v/>
      </c>
      <c r="R112" s="16" t="str">
        <f t="shared" si="146"/>
        <v/>
      </c>
      <c r="S112" s="16" t="str">
        <f t="shared" si="146"/>
        <v/>
      </c>
      <c r="T112" s="16" t="str">
        <f t="shared" si="146"/>
        <v/>
      </c>
      <c r="U112" s="16" t="str">
        <f t="shared" si="146"/>
        <v/>
      </c>
      <c r="V112" s="16" t="str">
        <f t="shared" si="146"/>
        <v/>
      </c>
      <c r="W112" s="16" t="str">
        <f t="shared" si="146"/>
        <v/>
      </c>
      <c r="X112" s="16" t="str">
        <f t="shared" si="146"/>
        <v/>
      </c>
      <c r="Y112" s="16" t="str">
        <f t="shared" si="146"/>
        <v/>
      </c>
      <c r="Z112" s="16" t="str">
        <f t="shared" si="146"/>
        <v/>
      </c>
      <c r="AA112" s="16" t="str">
        <f t="shared" si="146"/>
        <v/>
      </c>
      <c r="AB112" s="16" t="str">
        <f t="shared" si="146"/>
        <v/>
      </c>
      <c r="AC112" s="16" t="str">
        <f t="shared" si="146"/>
        <v/>
      </c>
      <c r="AD112" s="16" t="str">
        <f t="shared" si="146"/>
        <v/>
      </c>
      <c r="AE112" s="16" t="str">
        <f t="shared" si="146"/>
        <v/>
      </c>
      <c r="AF112" s="16" t="str">
        <f t="shared" si="146"/>
        <v/>
      </c>
      <c r="AG112" s="16" t="str">
        <f t="shared" si="146"/>
        <v/>
      </c>
      <c r="AH112" s="16">
        <f t="shared" si="146"/>
        <v>6786600</v>
      </c>
      <c r="AI112" s="16">
        <f t="shared" si="146"/>
        <v>6786600</v>
      </c>
      <c r="AJ112" s="16" t="str">
        <f t="shared" si="146"/>
        <v/>
      </c>
      <c r="AK112" s="16" t="str">
        <f t="shared" ref="AK112" si="147">IF(AND(AK32=0,AJ32&gt;0),5655500*1.2,IF(AND(AK32=0,AJ32=0,AI32&gt;0),5655500*1.2,""))</f>
        <v/>
      </c>
      <c r="AL112" s="16" t="str">
        <f t="shared" ref="AL112" si="148">IF(AND(AL32=0,AK32&gt;0),5655500*1.2,IF(AND(AL32=0,AK32=0,AJ32&gt;0),5655500*1.2,""))</f>
        <v/>
      </c>
      <c r="AM112" s="13"/>
    </row>
    <row r="113" spans="2:39" x14ac:dyDescent="0.25">
      <c r="B113" t="s">
        <v>160</v>
      </c>
      <c r="C113" t="s">
        <v>43</v>
      </c>
      <c r="E113" s="54">
        <f>(E92-E91+SUM(E99:E101)+E105+SUM(E110:E112))/(E63+E64*E15/E14+E65*E16/E14+E66*E17/E14)</f>
        <v>11.525487749218389</v>
      </c>
      <c r="F113" s="54">
        <f t="shared" ref="F113:J113" si="149">(F92-F91+SUM(F99:F101)+F105+SUM(F110:F112))/(F63+F64*F15/F14+F65*F16/F14+F66*F17/F14)</f>
        <v>12.030688178199769</v>
      </c>
      <c r="G113" s="54">
        <f t="shared" si="149"/>
        <v>14.230014338291442</v>
      </c>
      <c r="H113" s="54">
        <f t="shared" si="149"/>
        <v>16.52140005009527</v>
      </c>
      <c r="I113" s="54">
        <f t="shared" si="149"/>
        <v>18.55881210284775</v>
      </c>
      <c r="J113" s="54">
        <f t="shared" si="149"/>
        <v>16.332778367428467</v>
      </c>
      <c r="K113" s="56">
        <f>AVERAGE(L113:AM113)</f>
        <v>24.754323575113691</v>
      </c>
      <c r="L113" s="55">
        <f>IFERROR((L92-L91+SUM(L99:L101)+L105+SUM(L110:L112))/(L63+L64*L15/L14+L65*L16/L14+L66*L17/L14),"")</f>
        <v>17.668935833854682</v>
      </c>
      <c r="M113" s="55">
        <f t="shared" ref="M113:AJ113" si="150">IFERROR((M92-M91+SUM(M99:M101)+M105+SUM(M110:M112))/(M63+M64*M15/M14+M65*M16/M14+M66*M17/M14),"")</f>
        <v>20.121920099853625</v>
      </c>
      <c r="N113" s="55">
        <f t="shared" si="150"/>
        <v>22.56514147209289</v>
      </c>
      <c r="O113" s="55">
        <f t="shared" si="150"/>
        <v>26.517634746195498</v>
      </c>
      <c r="P113" s="55">
        <f t="shared" si="150"/>
        <v>24.902322776341883</v>
      </c>
      <c r="Q113" s="55">
        <f t="shared" si="150"/>
        <v>25.079608671569225</v>
      </c>
      <c r="R113" s="55">
        <f t="shared" si="150"/>
        <v>25.09321289010197</v>
      </c>
      <c r="S113" s="55">
        <f t="shared" si="150"/>
        <v>25.09321289010197</v>
      </c>
      <c r="T113" s="55">
        <f t="shared" si="150"/>
        <v>25.144235087014092</v>
      </c>
      <c r="U113" s="55">
        <f t="shared" si="150"/>
        <v>26.816661224042914</v>
      </c>
      <c r="V113" s="55">
        <f t="shared" si="150"/>
        <v>28.780280074887344</v>
      </c>
      <c r="W113" s="55">
        <f t="shared" si="150"/>
        <v>29.847206329578309</v>
      </c>
      <c r="X113" s="55">
        <f t="shared" si="150"/>
        <v>29.847206329578309</v>
      </c>
      <c r="Y113" s="55">
        <f t="shared" si="150"/>
        <v>29.829249313213968</v>
      </c>
      <c r="Z113" s="55">
        <f t="shared" si="150"/>
        <v>23.954612563397085</v>
      </c>
      <c r="AA113" s="55">
        <f t="shared" si="150"/>
        <v>23.560707736432818</v>
      </c>
      <c r="AB113" s="55">
        <f t="shared" si="150"/>
        <v>23.326155009385477</v>
      </c>
      <c r="AC113" s="55">
        <f t="shared" si="150"/>
        <v>22.840321886591862</v>
      </c>
      <c r="AD113" s="55">
        <f t="shared" si="150"/>
        <v>22.326582546197898</v>
      </c>
      <c r="AE113" s="55">
        <f t="shared" si="150"/>
        <v>21.830079909708964</v>
      </c>
      <c r="AF113" s="55">
        <f t="shared" si="150"/>
        <v>21.361298216096891</v>
      </c>
      <c r="AG113" s="55">
        <f t="shared" si="150"/>
        <v>28.088533046263574</v>
      </c>
      <c r="AH113" s="55" t="str">
        <f t="shared" si="150"/>
        <v/>
      </c>
      <c r="AI113" s="55" t="str">
        <f t="shared" si="150"/>
        <v/>
      </c>
      <c r="AJ113" s="55" t="str">
        <f t="shared" si="150"/>
        <v/>
      </c>
      <c r="AK113" s="13"/>
      <c r="AL113" s="13"/>
      <c r="AM113" s="13"/>
    </row>
    <row r="114" spans="2:39" x14ac:dyDescent="0.25">
      <c r="K114" s="26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</row>
    <row r="115" spans="2:39" ht="15.75" thickBot="1" x14ac:dyDescent="0.3">
      <c r="B115" s="14" t="s">
        <v>162</v>
      </c>
      <c r="K115" s="26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</row>
    <row r="116" spans="2:39" x14ac:dyDescent="0.25">
      <c r="B116" t="s">
        <v>162</v>
      </c>
      <c r="C116" t="s">
        <v>93</v>
      </c>
      <c r="E116" s="6">
        <f>E107+E91-SUM(E110:E112)</f>
        <v>36591000</v>
      </c>
      <c r="F116" s="6">
        <f t="shared" ref="F116:J116" si="151">F107+F91-SUM(F110:F112)</f>
        <v>14365000</v>
      </c>
      <c r="G116" s="6">
        <f t="shared" si="151"/>
        <v>7367000</v>
      </c>
      <c r="H116" s="6">
        <f t="shared" si="151"/>
        <v>10742000</v>
      </c>
      <c r="I116" s="6">
        <f t="shared" si="151"/>
        <v>16374000</v>
      </c>
      <c r="J116" s="6">
        <f t="shared" si="151"/>
        <v>3821000</v>
      </c>
      <c r="K116" s="15">
        <f>SUM(L116:AM116)</f>
        <v>-31618307.950950492</v>
      </c>
      <c r="L116" s="16">
        <f>L107+L91-SUM(L110:L112)</f>
        <v>4034546.982832876</v>
      </c>
      <c r="M116" s="16">
        <f t="shared" ref="M116:AJ116" si="152">M107+M91-SUM(M110:M112)</f>
        <v>1473808.9955117265</v>
      </c>
      <c r="N116" s="16">
        <f t="shared" si="152"/>
        <v>245827.0330854198</v>
      </c>
      <c r="O116" s="16">
        <f t="shared" si="152"/>
        <v>-1316572.6743375198</v>
      </c>
      <c r="P116" s="16">
        <f t="shared" si="152"/>
        <v>-70779.849186480045</v>
      </c>
      <c r="Q116" s="16">
        <f t="shared" si="152"/>
        <v>-516600.20764005743</v>
      </c>
      <c r="R116" s="16">
        <f t="shared" si="152"/>
        <v>-549802.76389198191</v>
      </c>
      <c r="S116" s="16">
        <f t="shared" si="152"/>
        <v>-549802.76389198191</v>
      </c>
      <c r="T116" s="16">
        <f t="shared" si="152"/>
        <v>-675569.09384729341</v>
      </c>
      <c r="U116" s="16">
        <f t="shared" si="152"/>
        <v>-5993628.9181909561</v>
      </c>
      <c r="V116" s="16">
        <f t="shared" si="152"/>
        <v>-11544918.339913646</v>
      </c>
      <c r="W116" s="16">
        <f t="shared" si="152"/>
        <v>-14243026.95368642</v>
      </c>
      <c r="X116" s="16">
        <f t="shared" si="152"/>
        <v>-14243026.95368642</v>
      </c>
      <c r="Y116" s="16">
        <f t="shared" si="152"/>
        <v>-14229139.50241797</v>
      </c>
      <c r="Z116" s="16">
        <f t="shared" si="152"/>
        <v>2437715.0289219543</v>
      </c>
      <c r="AA116" s="16">
        <f t="shared" si="152"/>
        <v>3552652.9758483693</v>
      </c>
      <c r="AB116" s="16">
        <f t="shared" si="152"/>
        <v>4174677.5838483684</v>
      </c>
      <c r="AC116" s="16">
        <f t="shared" si="152"/>
        <v>5677283.7873609066</v>
      </c>
      <c r="AD116" s="16">
        <f t="shared" si="152"/>
        <v>7633169.7032233849</v>
      </c>
      <c r="AE116" s="16">
        <f t="shared" si="152"/>
        <v>9263608.9032233879</v>
      </c>
      <c r="AF116" s="16">
        <f t="shared" si="152"/>
        <v>10524487.303223386</v>
      </c>
      <c r="AG116" s="16">
        <f t="shared" si="152"/>
        <v>-3130018.2273395536</v>
      </c>
      <c r="AH116" s="16">
        <f t="shared" si="152"/>
        <v>-6786600</v>
      </c>
      <c r="AI116" s="16">
        <f t="shared" si="152"/>
        <v>-6786600</v>
      </c>
      <c r="AJ116" s="16">
        <f t="shared" si="152"/>
        <v>0</v>
      </c>
      <c r="AK116" s="16">
        <f t="shared" ref="AK116:AL116" si="153">AK107+AK91-SUM(AK110:AK112)</f>
        <v>0</v>
      </c>
      <c r="AL116" s="16">
        <f t="shared" si="153"/>
        <v>0</v>
      </c>
      <c r="AM116" s="13"/>
    </row>
    <row r="117" spans="2:39" x14ac:dyDescent="0.25">
      <c r="B117" s="3" t="s">
        <v>163</v>
      </c>
      <c r="C117" s="3" t="s">
        <v>93</v>
      </c>
      <c r="K117" s="15">
        <f>SUM(L117:AM117)</f>
        <v>-18134678.355625715</v>
      </c>
      <c r="L117" s="15">
        <f>L116</f>
        <v>4034546.982832876</v>
      </c>
      <c r="M117" s="15">
        <f>M116/(1+$D$4)^(0.25)</f>
        <v>1442909.1003770644</v>
      </c>
      <c r="N117" s="15">
        <f>N116/(1+$D$4)^(0.5)</f>
        <v>235627.06775987154</v>
      </c>
      <c r="O117" s="15">
        <f>O116/(1+$D$4)^(0.75)</f>
        <v>-1235486.9022118857</v>
      </c>
      <c r="P117" s="15">
        <f>P116/(1+$D$4)^(1)</f>
        <v>-65028.047030279951</v>
      </c>
      <c r="Q117" s="15">
        <f>Q116/(1+$D$4)^(2)</f>
        <v>-436050.44380015269</v>
      </c>
      <c r="R117" s="15">
        <f>R116/(1+$D$4)^(3)</f>
        <v>-426363.632285684</v>
      </c>
      <c r="S117" s="15">
        <f>S116/(1+$D$4)^(4)</f>
        <v>-391715.92834603589</v>
      </c>
      <c r="T117" s="15">
        <f>T116/(1+$D$4)^(5)</f>
        <v>-442206.54299685662</v>
      </c>
      <c r="U117" s="15">
        <f>U116/(1+$D$4)^(6)</f>
        <v>-3604427.7153033526</v>
      </c>
      <c r="V117" s="15">
        <f>V116/(1+$D$4)^(7)</f>
        <v>-6378644.7142156111</v>
      </c>
      <c r="W117" s="15">
        <f>W116/(1+$D$4)^(8)</f>
        <v>-7229877.2182212677</v>
      </c>
      <c r="X117" s="15">
        <f>X116/(1+$D$4)^(9)</f>
        <v>-6642353.7373041837</v>
      </c>
      <c r="Y117" s="15">
        <f>Y116/(1+$D$4)^(10)</f>
        <v>-6096624.1127823526</v>
      </c>
      <c r="Z117" s="15">
        <f>Z116/(1+$D$4)^(11)</f>
        <v>959587.97117850254</v>
      </c>
      <c r="AA117" s="15">
        <f>AA116/(1+$D$4)^(12)</f>
        <v>1284830.1705494944</v>
      </c>
      <c r="AB117" s="15">
        <f>AB116/(1+$D$4)^(13)</f>
        <v>1387097.3972805629</v>
      </c>
      <c r="AC117" s="15">
        <f>AC116/(1+$D$4)^(14)</f>
        <v>1733068.380523223</v>
      </c>
      <c r="AD117" s="15">
        <f>AD116/(1+$D$4)^(15)</f>
        <v>2140775.3291678946</v>
      </c>
      <c r="AE117" s="15">
        <f>AE116/(1+$D$4)^(16)</f>
        <v>2386917.7991841738</v>
      </c>
      <c r="AF117" s="15">
        <f>AF116/(1+$D$4)^(17)</f>
        <v>2491433.3771148901</v>
      </c>
      <c r="AG117" s="15">
        <f>AG116/(1+$D$4)^(18)</f>
        <v>-680747.84408937988</v>
      </c>
      <c r="AH117" s="15">
        <f>AH116/(1+$D$4)^(19)</f>
        <v>-1356071.9693397717</v>
      </c>
      <c r="AI117" s="15">
        <f>AI116/(1+$D$4)^(20)</f>
        <v>-1245873.1236674513</v>
      </c>
      <c r="AJ117" s="15">
        <f>AJ116/(1+$D$4)^(21)</f>
        <v>0</v>
      </c>
      <c r="AK117" s="15">
        <f t="shared" ref="AK117:AL117" si="154">AK116/(1+$D$4)^(21)</f>
        <v>0</v>
      </c>
      <c r="AL117" s="15">
        <f t="shared" si="154"/>
        <v>0</v>
      </c>
      <c r="AM117" s="13"/>
    </row>
  </sheetData>
  <pageMargins left="0.7" right="0.7" top="0.75" bottom="0.75" header="0.3" footer="0.3"/>
  <pageSetup orientation="portrait" r:id="rId1"/>
  <ignoredErrors>
    <ignoredError sqref="H31 V20:V21 U32:U36 V24:V25 V28 Z20:Z21 AD20:AD21 Z24:Z25 AD24:AD25 Z28 AD28 AE20:AE21 AH20:AH21 AH24:AH25 AH28 Q33:R33 Y32:Y36 AC32:AC33 AG32:AG34 AK32 K63:K66 K69:K73 K87 K95 K92 K106 K116 AC34:AC36 AG35:AG36 AK33:AK36 U85 AK85 AG85 AC85 Y85" formula="1"/>
    <ignoredError sqref="E87:G87 H87:J8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D756-7392-4A1E-8F7B-7585533D1503}">
  <dimension ref="A1:AC97"/>
  <sheetViews>
    <sheetView showGridLines="0" topLeftCell="A46" workbookViewId="0">
      <selection activeCell="F69" sqref="F69"/>
    </sheetView>
  </sheetViews>
  <sheetFormatPr defaultRowHeight="15" x14ac:dyDescent="0.25"/>
  <cols>
    <col min="1" max="1" width="10.42578125" customWidth="1"/>
    <col min="2" max="2" width="39.85546875" bestFit="1" customWidth="1"/>
    <col min="5" max="5" width="12.7109375" bestFit="1" customWidth="1"/>
    <col min="6" max="6" width="11.28515625" bestFit="1" customWidth="1"/>
    <col min="7" max="7" width="16" bestFit="1" customWidth="1"/>
    <col min="8" max="8" width="15.28515625" bestFit="1" customWidth="1"/>
    <col min="9" max="9" width="19.5703125" bestFit="1" customWidth="1"/>
    <col min="10" max="10" width="18.5703125" bestFit="1" customWidth="1"/>
    <col min="11" max="11" width="15.28515625" bestFit="1" customWidth="1"/>
    <col min="12" max="12" width="12.7109375" bestFit="1" customWidth="1"/>
    <col min="13" max="13" width="10.28515625" bestFit="1" customWidth="1"/>
    <col min="14" max="14" width="16" bestFit="1" customWidth="1"/>
    <col min="15" max="15" width="15.28515625" bestFit="1" customWidth="1"/>
    <col min="16" max="16" width="19.5703125" bestFit="1" customWidth="1"/>
    <col min="17" max="17" width="18.5703125" bestFit="1" customWidth="1"/>
    <col min="18" max="18" width="11.28515625" bestFit="1" customWidth="1"/>
    <col min="19" max="19" width="12.7109375" bestFit="1" customWidth="1"/>
    <col min="20" max="20" width="11.28515625" bestFit="1" customWidth="1"/>
    <col min="21" max="21" width="16" bestFit="1" customWidth="1"/>
    <col min="22" max="22" width="15.28515625" bestFit="1" customWidth="1"/>
    <col min="23" max="23" width="19.5703125" bestFit="1" customWidth="1"/>
    <col min="24" max="24" width="18.5703125" bestFit="1" customWidth="1"/>
  </cols>
  <sheetData>
    <row r="1" spans="1:29" ht="23.25" x14ac:dyDescent="0.35">
      <c r="A1" s="1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3" t="s">
        <v>9</v>
      </c>
    </row>
    <row r="3" spans="1:29" x14ac:dyDescent="0.25">
      <c r="A3" t="s">
        <v>10</v>
      </c>
    </row>
    <row r="4" spans="1:29" x14ac:dyDescent="0.25">
      <c r="A4" t="s">
        <v>0</v>
      </c>
      <c r="C4" s="3" t="s">
        <v>1</v>
      </c>
      <c r="D4" s="4">
        <f>WACC!C23</f>
        <v>8.8451097931970868E-2</v>
      </c>
    </row>
    <row r="6" spans="1:29" x14ac:dyDescent="0.25">
      <c r="B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L6" s="3" t="s">
        <v>3</v>
      </c>
      <c r="M6" s="3" t="s">
        <v>4</v>
      </c>
      <c r="N6" s="3" t="s">
        <v>5</v>
      </c>
      <c r="O6" s="3" t="s">
        <v>6</v>
      </c>
      <c r="P6" s="3" t="s">
        <v>7</v>
      </c>
      <c r="Q6" s="3" t="s">
        <v>8</v>
      </c>
      <c r="S6" s="3" t="s">
        <v>3</v>
      </c>
      <c r="T6" s="3" t="s">
        <v>4</v>
      </c>
      <c r="U6" s="3" t="s">
        <v>5</v>
      </c>
      <c r="V6" s="3" t="s">
        <v>6</v>
      </c>
      <c r="W6" s="3" t="s">
        <v>7</v>
      </c>
      <c r="X6" s="3" t="s">
        <v>8</v>
      </c>
    </row>
    <row r="7" spans="1:29" x14ac:dyDescent="0.25">
      <c r="B7" t="s">
        <v>11</v>
      </c>
      <c r="C7" s="5">
        <v>1</v>
      </c>
      <c r="E7" t="s">
        <v>12</v>
      </c>
      <c r="F7" s="6">
        <v>0</v>
      </c>
      <c r="G7">
        <v>0</v>
      </c>
      <c r="H7">
        <v>0</v>
      </c>
      <c r="I7" s="6">
        <f>F7*G7/[1]Auxiliary!$C$4</f>
        <v>0</v>
      </c>
      <c r="J7" s="6">
        <f>F7*H7/[1]Auxiliary!$C$4</f>
        <v>0</v>
      </c>
      <c r="L7" s="6" t="s">
        <v>13</v>
      </c>
      <c r="M7" s="6">
        <v>38000</v>
      </c>
      <c r="N7" s="6">
        <v>121</v>
      </c>
      <c r="O7">
        <v>0.82</v>
      </c>
      <c r="P7" s="6">
        <f>M7*N7/Auxiliary!$C$4</f>
        <v>147829.13272255147</v>
      </c>
      <c r="Q7" s="6">
        <f>M7*O7/Auxiliary!$C$4</f>
        <v>1001.8172630784478</v>
      </c>
      <c r="S7" t="s">
        <v>14</v>
      </c>
      <c r="T7" s="6">
        <v>3011000</v>
      </c>
      <c r="U7">
        <v>125</v>
      </c>
      <c r="V7">
        <v>0.93</v>
      </c>
      <c r="W7" s="6">
        <f>$T$7*U7/Auxiliary!$C$4</f>
        <v>12100737.239767356</v>
      </c>
      <c r="X7" s="6">
        <f>$T$7*V7/Auxiliary!$C$4</f>
        <v>90029.485063869128</v>
      </c>
    </row>
    <row r="8" spans="1:29" x14ac:dyDescent="0.25">
      <c r="B8" t="s">
        <v>15</v>
      </c>
      <c r="C8" s="5">
        <v>0.7</v>
      </c>
      <c r="E8" t="s">
        <v>16</v>
      </c>
      <c r="F8" s="7">
        <f>2914000+75000-250947</f>
        <v>2738053</v>
      </c>
      <c r="G8" s="8">
        <v>180</v>
      </c>
      <c r="H8" s="8">
        <v>1.17</v>
      </c>
      <c r="I8" s="7">
        <f>F8*G8/Auxiliary!$C$4</f>
        <v>15845480.65700488</v>
      </c>
      <c r="J8" s="7">
        <f>F8*H8/Auxiliary!$C$4</f>
        <v>102995.62427053171</v>
      </c>
      <c r="L8" t="s">
        <v>17</v>
      </c>
      <c r="M8" s="7">
        <v>901000</v>
      </c>
      <c r="N8" s="7">
        <v>98</v>
      </c>
      <c r="O8" s="9">
        <v>0.65</v>
      </c>
      <c r="P8" s="7">
        <f>M8*N8/Auxiliary!$C$4</f>
        <v>2838846.6205167137</v>
      </c>
      <c r="Q8" s="7">
        <f>M8*O8/Auxiliary!$C$4</f>
        <v>18829.084727916976</v>
      </c>
    </row>
    <row r="9" spans="1:29" x14ac:dyDescent="0.25">
      <c r="B9" t="s">
        <v>18</v>
      </c>
      <c r="C9" s="5">
        <v>0</v>
      </c>
      <c r="E9" t="s">
        <v>19</v>
      </c>
      <c r="F9" s="6">
        <f>SUM(F7:F8)</f>
        <v>2738053</v>
      </c>
      <c r="G9" s="10">
        <f>(G7*F7+G8*F8)/F9</f>
        <v>180</v>
      </c>
      <c r="H9" s="11">
        <f>(F7*H7+F8*H8)/F9</f>
        <v>1.17</v>
      </c>
      <c r="I9" s="6">
        <f>SUM(I7:I8)</f>
        <v>15845480.65700488</v>
      </c>
      <c r="J9" s="6">
        <f>SUM(J7:J8)</f>
        <v>102995.62427053171</v>
      </c>
      <c r="L9" t="s">
        <v>19</v>
      </c>
      <c r="M9" s="6">
        <f>SUM(M7:M8)</f>
        <v>939000</v>
      </c>
      <c r="N9" s="10">
        <f>(N7*M7+N8*M8)/M9</f>
        <v>98.9307774227902</v>
      </c>
      <c r="O9" s="11">
        <f>(O7*M7+O8*M8)/M9</f>
        <v>0.65687965921192759</v>
      </c>
      <c r="P9" s="6">
        <f>SUM(P7:P8)</f>
        <v>2986675.7532392652</v>
      </c>
      <c r="Q9" s="6">
        <f>SUM(Q7:Q8)</f>
        <v>19830.901990995422</v>
      </c>
    </row>
    <row r="11" spans="1:29" x14ac:dyDescent="0.25">
      <c r="B11" s="12" t="s">
        <v>20</v>
      </c>
      <c r="C11" s="12" t="s">
        <v>21</v>
      </c>
      <c r="D11" s="12"/>
      <c r="E11" s="12" t="s">
        <v>22</v>
      </c>
      <c r="F11" s="12" t="s">
        <v>23</v>
      </c>
      <c r="G11" s="12" t="s">
        <v>24</v>
      </c>
      <c r="H11" s="12" t="s">
        <v>25</v>
      </c>
      <c r="I11" s="12" t="s">
        <v>26</v>
      </c>
      <c r="J11" s="12" t="s">
        <v>27</v>
      </c>
      <c r="K11" s="12" t="s">
        <v>28</v>
      </c>
      <c r="L11" s="12" t="s">
        <v>29</v>
      </c>
      <c r="M11" s="12" t="s">
        <v>30</v>
      </c>
      <c r="N11" s="12" t="s">
        <v>31</v>
      </c>
      <c r="O11" s="12" t="s">
        <v>32</v>
      </c>
      <c r="P11" s="12" t="s">
        <v>33</v>
      </c>
      <c r="Q11" s="12" t="s">
        <v>34</v>
      </c>
      <c r="R11" s="12" t="s">
        <v>35</v>
      </c>
      <c r="S11" s="12" t="s">
        <v>36</v>
      </c>
      <c r="T11" s="12" t="s">
        <v>37</v>
      </c>
      <c r="U11" s="12" t="s">
        <v>38</v>
      </c>
      <c r="V11" s="12" t="s">
        <v>39</v>
      </c>
      <c r="W11" s="12" t="s">
        <v>40</v>
      </c>
      <c r="X11" s="12" t="s">
        <v>41</v>
      </c>
      <c r="Y11" s="12" t="s">
        <v>54</v>
      </c>
      <c r="Z11" s="12" t="s">
        <v>55</v>
      </c>
      <c r="AA11" s="12" t="s">
        <v>71</v>
      </c>
      <c r="AB11" s="12"/>
      <c r="AC11" s="12"/>
    </row>
    <row r="12" spans="1:29" x14ac:dyDescent="0.25"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9" ht="15.75" thickBot="1" x14ac:dyDescent="0.3">
      <c r="B13" s="14" t="s">
        <v>42</v>
      </c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9" x14ac:dyDescent="0.25">
      <c r="B14" t="s">
        <v>83</v>
      </c>
      <c r="C14" t="s">
        <v>43</v>
      </c>
      <c r="E14" s="11">
        <v>17.03</v>
      </c>
      <c r="F14">
        <v>15.74</v>
      </c>
      <c r="G14" s="11">
        <v>16.2</v>
      </c>
      <c r="H14" s="11">
        <v>21.26</v>
      </c>
      <c r="I14">
        <v>25.15</v>
      </c>
      <c r="J14">
        <v>24.27</v>
      </c>
      <c r="K14" s="25">
        <f t="shared" ref="K14" si="0">AVERAGE(L14:Y14)</f>
        <v>24.428571428571427</v>
      </c>
      <c r="L14" s="13">
        <f>'Central sheet'!L22</f>
        <v>22</v>
      </c>
      <c r="M14" s="13">
        <f>'Central sheet'!M22</f>
        <v>22</v>
      </c>
      <c r="N14" s="13">
        <f>'Central sheet'!N22</f>
        <v>23</v>
      </c>
      <c r="O14" s="13">
        <f>'Central sheet'!O22</f>
        <v>25</v>
      </c>
      <c r="P14" s="13">
        <f>'Central sheet'!P22</f>
        <v>25</v>
      </c>
      <c r="Q14" s="13">
        <f>'Central sheet'!Q22</f>
        <v>25</v>
      </c>
      <c r="R14" s="13">
        <f>'Central sheet'!R22</f>
        <v>25</v>
      </c>
      <c r="S14" s="13">
        <f>'Central sheet'!S22</f>
        <v>25</v>
      </c>
      <c r="T14" s="13">
        <f>'Central sheet'!T22</f>
        <v>25</v>
      </c>
      <c r="U14" s="13">
        <f>'Central sheet'!U22</f>
        <v>25</v>
      </c>
      <c r="V14" s="13">
        <f>'Central sheet'!V22</f>
        <v>25</v>
      </c>
      <c r="W14" s="13">
        <f>'Central sheet'!W22</f>
        <v>25</v>
      </c>
      <c r="X14" s="13">
        <f>'Central sheet'!X22</f>
        <v>25</v>
      </c>
      <c r="Y14" s="13">
        <f>'Central sheet'!Y22</f>
        <v>25</v>
      </c>
      <c r="Z14" s="13">
        <f>'Central sheet'!Z22</f>
        <v>25</v>
      </c>
      <c r="AA14" s="13"/>
    </row>
    <row r="15" spans="1:29" x14ac:dyDescent="0.25">
      <c r="B15" t="s">
        <v>85</v>
      </c>
      <c r="C15" t="s">
        <v>43</v>
      </c>
      <c r="E15" s="6">
        <v>1257</v>
      </c>
      <c r="F15" s="6">
        <v>1273</v>
      </c>
      <c r="G15" s="6">
        <v>1393</v>
      </c>
      <c r="H15" s="6">
        <v>1786</v>
      </c>
      <c r="I15" s="6">
        <v>1798</v>
      </c>
      <c r="J15" s="6">
        <v>1890</v>
      </c>
      <c r="K15" s="15">
        <f>AVERAGE(L15:Y15)</f>
        <v>1769.2857142857142</v>
      </c>
      <c r="L15" s="16">
        <f>'Central sheet'!L23</f>
        <v>1870</v>
      </c>
      <c r="M15" s="16">
        <f>'Central sheet'!M23</f>
        <v>1850</v>
      </c>
      <c r="N15" s="16">
        <f>'Central sheet'!N23</f>
        <v>1800</v>
      </c>
      <c r="O15" s="16">
        <f>'Central sheet'!O23</f>
        <v>1750</v>
      </c>
      <c r="P15" s="16">
        <f>'Central sheet'!P23</f>
        <v>1750</v>
      </c>
      <c r="Q15" s="16">
        <f>'Central sheet'!Q23</f>
        <v>1750</v>
      </c>
      <c r="R15" s="16">
        <f>'Central sheet'!R23</f>
        <v>1750</v>
      </c>
      <c r="S15" s="16">
        <f>'Central sheet'!S23</f>
        <v>1750</v>
      </c>
      <c r="T15" s="16">
        <f>'Central sheet'!T23</f>
        <v>1750</v>
      </c>
      <c r="U15" s="16">
        <f>'Central sheet'!U23</f>
        <v>1750</v>
      </c>
      <c r="V15" s="16">
        <f>'Central sheet'!V23</f>
        <v>1750</v>
      </c>
      <c r="W15" s="16">
        <f>'Central sheet'!W23</f>
        <v>1750</v>
      </c>
      <c r="X15" s="16">
        <f>'Central sheet'!X23</f>
        <v>1750</v>
      </c>
      <c r="Y15" s="16">
        <f>'Central sheet'!Y23</f>
        <v>1750</v>
      </c>
      <c r="Z15" s="16">
        <f>'Central sheet'!Z23</f>
        <v>1750</v>
      </c>
      <c r="AA15" s="13"/>
    </row>
    <row r="16" spans="1:29" x14ac:dyDescent="0.25"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2:27" ht="15.75" thickBot="1" x14ac:dyDescent="0.3">
      <c r="B17" s="14" t="s">
        <v>56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2:27" x14ac:dyDescent="0.25">
      <c r="B18" t="s">
        <v>12</v>
      </c>
      <c r="C18" t="s">
        <v>57</v>
      </c>
      <c r="J18" s="6">
        <v>75000</v>
      </c>
      <c r="K18" s="15">
        <f>L18</f>
        <v>0</v>
      </c>
      <c r="L18" s="13">
        <v>0</v>
      </c>
      <c r="M18" s="16">
        <f>IF(L18-L29*91&gt;=0,L18-L29*91,0)</f>
        <v>0</v>
      </c>
      <c r="N18" s="16">
        <f>IF(M18-M29*92&gt;=0,M18-M29*92,0)</f>
        <v>0</v>
      </c>
      <c r="O18" s="16">
        <f>IF(N18-N29*92&gt;=0,N18-N29*92,0)</f>
        <v>0</v>
      </c>
      <c r="P18" s="16">
        <f>IF(O18-O29*90&gt;=0,O18-O29*90,0)</f>
        <v>0</v>
      </c>
      <c r="Q18" s="16">
        <f>IF(P18-P29*275&gt;=0,P18-P29*275,0)</f>
        <v>0</v>
      </c>
      <c r="R18" s="16">
        <f>IF(Q18-Q29*366&gt;=0,Q18-Q29*366,0)</f>
        <v>0</v>
      </c>
      <c r="S18" s="16">
        <f>IF(R18-R29*365&gt;=0,R18-R29*365,0)</f>
        <v>0</v>
      </c>
      <c r="T18" s="16">
        <f t="shared" ref="T18:U18" si="1">IF(S18-S29*365&gt;=0,S18-S29*365,0)</f>
        <v>0</v>
      </c>
      <c r="U18" s="16">
        <f t="shared" si="1"/>
        <v>0</v>
      </c>
      <c r="V18" s="16">
        <f>IF(U18-U29*366&gt;=0,U18-U29*366,0)</f>
        <v>0</v>
      </c>
      <c r="W18" s="16">
        <f>IF(V18-V29*365&gt;=0,V18-V29*365,0)</f>
        <v>0</v>
      </c>
      <c r="X18" s="16">
        <f t="shared" ref="X18:Y18" si="2">IF(W18-W29*365&gt;=0,W18-W29*365,0)</f>
        <v>0</v>
      </c>
      <c r="Y18" s="16">
        <f t="shared" si="2"/>
        <v>0</v>
      </c>
      <c r="Z18" s="16">
        <f>IF(Y18-Y29*366&gt;=0,Y18-Y29*366,0)</f>
        <v>0</v>
      </c>
      <c r="AA18" s="13"/>
    </row>
    <row r="19" spans="2:27" x14ac:dyDescent="0.25">
      <c r="B19" t="s">
        <v>16</v>
      </c>
      <c r="C19" t="s">
        <v>57</v>
      </c>
      <c r="J19" s="6">
        <f>2914000</f>
        <v>2914000</v>
      </c>
      <c r="K19" s="15">
        <f>L19</f>
        <v>2738053</v>
      </c>
      <c r="L19" s="16">
        <f>F8</f>
        <v>2738053</v>
      </c>
      <c r="M19" s="16">
        <f>IF(L18-L29*91&gt;=0,L19,IF(L19+L18-L29*91&gt;=0,L19+L18-L29*91,0))</f>
        <v>2468368.6666666665</v>
      </c>
      <c r="N19" s="16">
        <f>IF(M18-M29*92&gt;=0,M19,IF(M19+M18-M29*92&gt;=0,M19+M18-M29*92,0))</f>
        <v>2198684.333333333</v>
      </c>
      <c r="O19" s="16">
        <f>IF(N18-N29*92&gt;=0,N19,IF(N19+N18-N29*92&gt;=0,N19+N18-N29*92,0))</f>
        <v>1928999.9999999998</v>
      </c>
      <c r="P19" s="16">
        <f>IF(O18-O29*90&gt;=0,O19,IF(O19+O18-O29*90&gt;=0,O19+O18-O29*90,0))</f>
        <v>1670644.5945205477</v>
      </c>
      <c r="Q19" s="16">
        <f>IF(P18-P29*275&gt;=0,P19,IF(P19+P18-P29*275&gt;=0,P19+P18-P29*275,0))</f>
        <v>881225.2999999997</v>
      </c>
      <c r="R19" s="16">
        <f>IF(Q18-Q29*366&gt;=0,Q19,IF(Q19+Q18-Q29*366&gt;=0,Q19+Q18-Q29*366,0))</f>
        <v>0</v>
      </c>
      <c r="S19" s="16">
        <f>IF(R18-R29*365&gt;=0,R19,IF(R19+R18-R29*365&gt;=0,R19+R18-R29*365,0))</f>
        <v>0</v>
      </c>
      <c r="T19" s="16">
        <f>IF(S18-S29*365&gt;=0,S19,IF(S19+S18-S29*365&gt;=0,S19+S18-S29*365,0))</f>
        <v>0</v>
      </c>
      <c r="U19" s="16">
        <f>IF(T18-T29*365&gt;=0,T19,IF(T19+T18-T29*365&gt;=0,T19+T18-T29*365,0))</f>
        <v>0</v>
      </c>
      <c r="V19" s="16">
        <f>IF(U18-U29*366&gt;=0,U19,IF(U19+U18-U29*366&gt;=0,U19+U18-U29*366,0))</f>
        <v>0</v>
      </c>
      <c r="W19" s="16">
        <f>IF(V18-V29*365&gt;=0,V19,IF(V19+V18-V29*365&gt;=0,V19+V18-V29*365,0))</f>
        <v>0</v>
      </c>
      <c r="X19" s="16">
        <f t="shared" ref="X19:Y19" si="3">IF(W18-W29*365&gt;=0,W19,IF(W19+W18-W29*365&gt;=0,W19+W18-W29*365,0))</f>
        <v>0</v>
      </c>
      <c r="Y19" s="16">
        <f t="shared" si="3"/>
        <v>0</v>
      </c>
      <c r="Z19" s="16">
        <f>IF(Y18-Y29*366&gt;=0,Y19,IF(Y19+Y18-Y29*366&gt;=0,Y19+Y18-Y29*366,0))</f>
        <v>0</v>
      </c>
      <c r="AA19" s="13"/>
    </row>
    <row r="20" spans="2:27" x14ac:dyDescent="0.25">
      <c r="J20" s="6"/>
      <c r="K20" s="2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2:27" ht="15.75" thickBot="1" x14ac:dyDescent="0.3">
      <c r="B21" s="14" t="s">
        <v>58</v>
      </c>
      <c r="J21" s="6"/>
      <c r="K21" s="2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2:27" x14ac:dyDescent="0.25">
      <c r="B22" t="s">
        <v>13</v>
      </c>
      <c r="C22" t="s">
        <v>57</v>
      </c>
      <c r="J22" s="6">
        <f>M7*C7</f>
        <v>38000</v>
      </c>
      <c r="K22" s="15">
        <f>J22</f>
        <v>38000</v>
      </c>
      <c r="L22" s="16">
        <f>J22</f>
        <v>38000</v>
      </c>
      <c r="M22" s="16">
        <f>IF(SUM(L18:L19)-L29*91&gt;=0,L22,IF(SUM(L18:L19)+L22-L29*91&gt;=0,SUM(L18:L19)+L22-L29*91,0))</f>
        <v>38000</v>
      </c>
      <c r="N22" s="16">
        <f>IF(SUM(M18:M19)-M29*92&gt;=0,M22,IF(SUM(M18:M19)+M22-M29*92&gt;=0,SUM(M18:M19)+M22-M29*92,0))</f>
        <v>38000</v>
      </c>
      <c r="O22" s="16">
        <f>IF(SUM(N18:N19)-N29*92&gt;=0,N22,IF(SUM(N18:N19)+N22-N29*92&gt;=0,SUM(N18:N19)+N22-N29*92,0))</f>
        <v>38000</v>
      </c>
      <c r="P22" s="16">
        <f>IF(SUM(O18:O19)-O29*90&gt;=0,O22,IF(SUM(O18:O19)+O22-O29*90&gt;=0,SUM(O18:O19)+O22-O29*90,0))</f>
        <v>38000</v>
      </c>
      <c r="Q22" s="16">
        <f>IF(SUM(P18:P19)-P29*275&gt;=0,P22,IF(SUM(P18:P19)+P22-P29*275&gt;=0,SUM(P18:P19)+P22-P29*275,0))</f>
        <v>38000</v>
      </c>
      <c r="R22" s="16">
        <f>IF(SUM(Q18:Q19)-Q29*366&gt;=0,Q22,IF(SUM(Q18:Q19)+Q22-Q29*366&gt;=0,SUM(Q18:Q19)+Q22-Q29*366,0))</f>
        <v>0</v>
      </c>
      <c r="S22" s="16">
        <f>IF(SUM(R18:R19)-R29*365&gt;=0,R22,IF(SUM(R18:R19)+R22-R29*365&gt;=0,SUM(R18:R19)+R22-R29*365,0))</f>
        <v>0</v>
      </c>
      <c r="T22" s="16">
        <f>IF(SUM(S18:S19)-S29*365&gt;=0,S22,IF(SUM(S18:S19)+S22-S29*365&gt;=0,SUM(S18:S19)+S22-S29*365,0))</f>
        <v>0</v>
      </c>
      <c r="U22" s="16">
        <f>IF(SUM(T18:T19)-T29*365&gt;=0,T22,IF(SUM(T18:T19)+T22-T29*365&gt;=0,SUM(T18:T19)+T22-T29*365,0))</f>
        <v>0</v>
      </c>
      <c r="V22" s="16">
        <f>IF(SUM(U18:U19)-U29*366&gt;=0,U22,IF(SUM(U18:U19)+U22-U29*366&gt;=0,SUM(U18:U19)+U22-U29*366,0))</f>
        <v>0</v>
      </c>
      <c r="W22" s="16">
        <f>IF(SUM(V18:V19)-V29*365&gt;=0,V22,IF(SUM(V18:V19)+V22-V29*365&gt;=0,SUM(V18:V19)+V22-V29*365,0))</f>
        <v>0</v>
      </c>
      <c r="X22" s="16">
        <f>IF(SUM(W18:W19)-W29*365&gt;=0,W22,IF(SUM(W18:W19)+W22-W29*365&gt;=0,SUM(W18:W19)+W22-W29*365,0))</f>
        <v>0</v>
      </c>
      <c r="Y22" s="16">
        <f t="shared" ref="Y22" si="4">IF(SUM(X18:X19)-X29*365&gt;=0,X22,IF(SUM(X18:X19)+X22-X29*365&gt;=0,SUM(X18:X19)+X22-X29*365,0))</f>
        <v>0</v>
      </c>
      <c r="Z22" s="16">
        <f>IF(SUM(Y18:Y19)-Y29*366&gt;=0,Y22,IF(SUM(Y18:Y19)+Y22-Y29*366&gt;=0,SUM(Y18:Y19)+Y22-Y29*366,0))</f>
        <v>0</v>
      </c>
      <c r="AA22" s="13"/>
    </row>
    <row r="23" spans="2:27" x14ac:dyDescent="0.25">
      <c r="B23" t="s">
        <v>17</v>
      </c>
      <c r="C23" t="s">
        <v>57</v>
      </c>
      <c r="J23" s="6">
        <f>M8*C8</f>
        <v>630700</v>
      </c>
      <c r="K23" s="15">
        <f>J23</f>
        <v>630700</v>
      </c>
      <c r="L23" s="16">
        <f>J23</f>
        <v>630700</v>
      </c>
      <c r="M23" s="16">
        <f>IF(SUM(L18:L19)+L22-L29*91&gt;=0,L23,IF(SUM(L18:L19)+SUM(L22:L23)-L29*91&gt;=0,SUM(L18:L19)+SUM(L22:L23)-L29*91,0))</f>
        <v>630700</v>
      </c>
      <c r="N23" s="16">
        <f>IF(SUM(M18:M19)+M22-M29*92&gt;=0,M23,IF(SUM(M18:M19)+SUM(M22:M23)-M29*92&gt;=0,SUM(M18:M19)+SUM(M22:M23)-M29*92,0))</f>
        <v>630700</v>
      </c>
      <c r="O23" s="16">
        <f>IF(SUM(N18:N19)+N22-N29*92&gt;=0,N23,IF(SUM(N18:N19)+SUM(N22:N23)-N29*92&gt;=0,SUM(N18:N19)+SUM(N22:N23)-N29*92,0))</f>
        <v>630700</v>
      </c>
      <c r="P23" s="16">
        <f>IF(SUM(O18:O19)+O22-O29*90&gt;=0,O23,IF(SUM(O18:O19)+SUM(O22:O23)-O29*90&gt;=0,SUM(O18:O19)+SUM(O22:O23)-O29*90,0))</f>
        <v>630700</v>
      </c>
      <c r="Q23" s="16">
        <f>IF(SUM(P18:P19)+P22-P29*275&gt;=0,P23,IF(SUM(P18:P19)+SUM(P22:P23)-P29*275&gt;=0,SUM(P18:P19)+SUM(P22:P23)-P29*275,0))</f>
        <v>630700</v>
      </c>
      <c r="R23" s="16">
        <f>IF(SUM(Q18:Q19)+Q22-Q29*366&gt;=0,Q23,IF(SUM(Q18:Q19)+SUM(Q22:Q23)-Q29*366&gt;=0,SUM(Q18:Q19)+SUM(Q22:Q23)-Q29*366,0))</f>
        <v>499279.98438356142</v>
      </c>
      <c r="S23" s="16">
        <f>IF(SUM(R18:R19)+R22-R29*365&gt;=0,R23,IF(SUM(R18:R19)+SUM(R22:R23)-R29*365&gt;=0,SUM(R18:R19)+SUM(R22:R23)-R29*365,0))</f>
        <v>0</v>
      </c>
      <c r="T23" s="16">
        <f>IF(SUM(S18:S19)+S22-S29*365&gt;=0,S23,IF(SUM(S18:S19)+SUM(S22:S23)-S29*365&gt;=0,SUM(S18:S19)+SUM(S22:S23)-S29*365,0))</f>
        <v>0</v>
      </c>
      <c r="U23" s="16">
        <f>IF(SUM(T18:T19)+T22-T29*365&gt;=0,T23,IF(SUM(T18:T19)+SUM(T22:T23)-T29*365&gt;=0,SUM(T18:T19)+SUM(T22:T23)-T29*365,0))</f>
        <v>0</v>
      </c>
      <c r="V23" s="16">
        <f>IF(SUM(U18:U19)+U22-U29*366&gt;=0,U23,IF(SUM(U18:U19)+SUM(U22:U23)-U29*366&gt;=0,SUM(U18:U19)+SUM(U22:U23)-U29*366,0))</f>
        <v>0</v>
      </c>
      <c r="W23" s="16">
        <f>IF(SUM(V18:V19)+V22-V29*365&gt;=0,V23,IF(SUM(V18:V19)+SUM(V22:V23)-V29*365&gt;=0,SUM(V18:V19)+SUM(V22:V23)-V29*365,0))</f>
        <v>0</v>
      </c>
      <c r="X23" s="16">
        <f>IF(SUM(W18:W19)+W22-W29*365&gt;=0,W23,IF(SUM(W18:W19)+SUM(W22:W23)-W29*365&gt;=0,SUM(W18:W19)+SUM(W22:W23)-W29*365,0))</f>
        <v>0</v>
      </c>
      <c r="Y23" s="16">
        <f t="shared" ref="Y23:Z23" si="5">IF(SUM(X18:X19)+X22-X29*365&gt;=0,X23,IF(SUM(X18:X19)+SUM(X22:X23)-X29*365&gt;=0,SUM(X18:X19)+SUM(X22:X23)-X29*365,0))</f>
        <v>0</v>
      </c>
      <c r="Z23" s="16">
        <f t="shared" si="5"/>
        <v>0</v>
      </c>
      <c r="AA23" s="13"/>
    </row>
    <row r="24" spans="2:27" x14ac:dyDescent="0.25">
      <c r="J24" s="6"/>
      <c r="K24" s="26"/>
      <c r="L24" s="13"/>
      <c r="M24" s="66"/>
      <c r="N24" s="66"/>
      <c r="O24" s="66"/>
      <c r="P24" s="66"/>
      <c r="Q24" s="66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2:27" ht="15.75" thickBot="1" x14ac:dyDescent="0.3">
      <c r="B25" s="14" t="s">
        <v>59</v>
      </c>
      <c r="J25" s="6"/>
      <c r="K25" s="26"/>
      <c r="L25" s="13"/>
      <c r="M25" s="66"/>
      <c r="N25" s="66"/>
      <c r="O25" s="66"/>
      <c r="P25" s="66"/>
      <c r="Q25" s="66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2:27" x14ac:dyDescent="0.25">
      <c r="B26" t="s">
        <v>60</v>
      </c>
      <c r="C26" t="s">
        <v>57</v>
      </c>
      <c r="J26" s="6">
        <f>T7*C9</f>
        <v>0</v>
      </c>
      <c r="K26" s="15">
        <f>J26</f>
        <v>0</v>
      </c>
      <c r="L26" s="16">
        <f>J26</f>
        <v>0</v>
      </c>
      <c r="M26" s="16">
        <f>IF(SUM(L18:L19)+SUM(L22:L23)-L29*91&gt;=0,L26,IF(SUM(L18:L19)+SUM(L22:L23)+L26-L29*91&gt;=0,SUM(L18:L19)+SUM(L22:L23)+L26-L29*91,0))</f>
        <v>0</v>
      </c>
      <c r="N26" s="16">
        <f>IF(SUM(M18:M19)+SUM(M22:M23)-M29*92&gt;=0,M26,IF(SUM(M18:M19)+SUM(M22:M23)+M26-M29*92&gt;=0,SUM(M18:M19)+SUM(M22:M23)+M26-M29*92,0))</f>
        <v>0</v>
      </c>
      <c r="O26" s="16">
        <f>IF(SUM(N18:N19)+SUM(N22:N23)-N29*92&gt;=0,N26,IF(SUM(N18:N19)+SUM(N22:N23)+N26-N29*92&gt;=0,SUM(N18:N19)+SUM(N22:N23)+N26-N29*92,0))</f>
        <v>0</v>
      </c>
      <c r="P26" s="16">
        <f>IF(SUM(O18:O19)+SUM(O22:O23)-O29*90&gt;=0,O26,IF(SUM(O18:O19)+SUM(O22:O23)+O26-O29*90&gt;=0,SUM(O18:O19)+SUM(O22:O23)+O26-O29*90,0))</f>
        <v>0</v>
      </c>
      <c r="Q26" s="16">
        <f>IF(SUM(P18:P19)+SUM(P22:P23)-P29*275&gt;=0,P26,IF(SUM(P18:P19)+SUM(P22:P23)+P26-P29*275&gt;=0,SUM(P18:P19)+SUM(P22:P23)+P26-P29*275,0))</f>
        <v>0</v>
      </c>
      <c r="R26" s="16">
        <f>IF(SUM(Q18:Q19)+SUM(Q22:Q23)-Q29*366&gt;=0,Q26,IF(SUM(Q18:Q19)+SUM(Q22:Q23)+Q26-Q29*366&gt;=0,SUM(Q18:Q19)+SUM(Q22:Q23)+Q26-Q29*366,0))</f>
        <v>0</v>
      </c>
      <c r="S26" s="16">
        <f>IF(SUM(R18:R19)+SUM(R22:R23)-R29*365&gt;=0,R26,IF(SUM(R18:R19)+SUM(R22:R23)+R26-R29*365&gt;=0,SUM(R18:R19)+SUM(R22:R23)+R26-R29*365,0))</f>
        <v>0</v>
      </c>
      <c r="T26" s="16">
        <f>IF(SUM(S18:S19)+SUM(S22:S23)-S29*365&gt;=0,S26,IF(SUM(S18:S19)+SUM(S22:S23)+S26-S29*365&gt;=0,SUM(S18:S19)+SUM(S22:S23)+S26-S29*365,0))</f>
        <v>0</v>
      </c>
      <c r="U26" s="16">
        <f>IF(SUM(T18:T19)+SUM(T22:T23)-T29*365&gt;=0,T26,IF(SUM(T18:T19)+SUM(T22:T23)+T26-T29*365&gt;=0,SUM(T18:T19)+SUM(T22:T23)+T26-T29*365,0))</f>
        <v>0</v>
      </c>
      <c r="V26" s="16">
        <f>IF(SUM(U18:U19)+SUM(U22:U23)-U29*366&gt;=0,U26,IF(SUM(U18:U19)+SUM(U22:U23)+U26-U29*366&gt;=0,SUM(U18:U19)+SUM(U22:U23)+U26-U29*366,0))</f>
        <v>0</v>
      </c>
      <c r="W26" s="16">
        <f>IF(SUM(V18:V19)+SUM(V22:V23)-V29*365&gt;=0,V26,IF(SUM(V18:V19)+SUM(V22:V23)+V26-V29*365&gt;=0,SUM(V18:V19)+SUM(V22:V23)+V26-V29*365,0))</f>
        <v>0</v>
      </c>
      <c r="X26" s="16">
        <f>IF(SUM(W18:W19)+SUM(W22:W23)-W29*365&gt;=0,W26,IF(SUM(W18:W19)+SUM(W22:W23)+W26-W29*365&gt;=0,SUM(W18:W19)+SUM(W22:W23)+W26-W29*365,0))</f>
        <v>0</v>
      </c>
      <c r="Y26" s="16">
        <f t="shared" ref="Y26" si="6">IF(SUM(X18:X19)+SUM(X22:X23)-X29*365&gt;=0,X26,IF(SUM(X18:X19)+SUM(X22:X23)+X26-X29*365&gt;=0,SUM(X18:X19)+SUM(X22:X23)+X26-X29*365,0))</f>
        <v>0</v>
      </c>
      <c r="Z26" s="16">
        <f>IF(SUM(Y18:Y19)+SUM(Y22:Y23)-Y29*366&gt;=0,Y26,IF(SUM(Y18:Y19)+SUM(Y22:Y23)+Y26-Y29*366&gt;=0,SUM(Y18:Y19)+SUM(Y22:Y23)+Y26-Y29*366,0))</f>
        <v>0</v>
      </c>
      <c r="AA26" s="13"/>
    </row>
    <row r="27" spans="2:27" x14ac:dyDescent="0.25">
      <c r="K27" s="2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2:27" ht="15.75" thickBot="1" x14ac:dyDescent="0.3">
      <c r="B28" s="14" t="s">
        <v>61</v>
      </c>
      <c r="G28" s="10"/>
      <c r="K28" s="26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2:27" x14ac:dyDescent="0.25">
      <c r="B29" t="s">
        <v>62</v>
      </c>
      <c r="C29" t="s">
        <v>63</v>
      </c>
      <c r="E29" s="6">
        <f>E30/365</f>
        <v>2933.6712328767121</v>
      </c>
      <c r="F29" s="6">
        <f t="shared" ref="F29:I29" si="7">F30/365</f>
        <v>2850.6246575342466</v>
      </c>
      <c r="G29" s="6">
        <f t="shared" si="7"/>
        <v>2928.0054794520547</v>
      </c>
      <c r="H29" s="6">
        <f>H30/366</f>
        <v>2552.9535519125684</v>
      </c>
      <c r="I29" s="6">
        <f t="shared" si="7"/>
        <v>2852.476712328767</v>
      </c>
      <c r="J29" s="6">
        <f>J30/90</f>
        <v>2788.3</v>
      </c>
      <c r="K29" s="15">
        <f>AVERAGE(L29:Z29)</f>
        <v>2884.9102932250075</v>
      </c>
      <c r="L29" s="16">
        <f>L30/91</f>
        <v>2963.5641025641025</v>
      </c>
      <c r="M29" s="16">
        <f>M30/92</f>
        <v>2931.351449275362</v>
      </c>
      <c r="N29" s="16">
        <f>N30/92</f>
        <v>2931.351449275362</v>
      </c>
      <c r="O29" s="16">
        <f>(SUM($E$29:$G$29)+SUM($I$29:$J$29))/5</f>
        <v>2870.615616438356</v>
      </c>
      <c r="P29" s="16">
        <f t="shared" ref="P29:Z29" si="8">(SUM($E$29:$G$29)+SUM($I$29:$J$29))/5</f>
        <v>2870.615616438356</v>
      </c>
      <c r="Q29" s="16">
        <f t="shared" si="8"/>
        <v>2870.615616438356</v>
      </c>
      <c r="R29" s="16">
        <f t="shared" si="8"/>
        <v>2870.615616438356</v>
      </c>
      <c r="S29" s="16">
        <f t="shared" si="8"/>
        <v>2870.615616438356</v>
      </c>
      <c r="T29" s="16">
        <f t="shared" si="8"/>
        <v>2870.615616438356</v>
      </c>
      <c r="U29" s="16">
        <f t="shared" si="8"/>
        <v>2870.615616438356</v>
      </c>
      <c r="V29" s="16">
        <f t="shared" si="8"/>
        <v>2870.615616438356</v>
      </c>
      <c r="W29" s="16">
        <f t="shared" si="8"/>
        <v>2870.615616438356</v>
      </c>
      <c r="X29" s="16">
        <f t="shared" si="8"/>
        <v>2870.615616438356</v>
      </c>
      <c r="Y29" s="16">
        <f t="shared" si="8"/>
        <v>2870.615616438356</v>
      </c>
      <c r="Z29" s="16">
        <f t="shared" si="8"/>
        <v>2870.615616438356</v>
      </c>
      <c r="AA29" s="13"/>
    </row>
    <row r="30" spans="2:27" x14ac:dyDescent="0.25">
      <c r="B30" t="s">
        <v>64</v>
      </c>
      <c r="C30" t="s">
        <v>57</v>
      </c>
      <c r="E30" s="6">
        <v>1070790</v>
      </c>
      <c r="F30" s="6">
        <v>1040478</v>
      </c>
      <c r="G30" s="6">
        <v>1068722</v>
      </c>
      <c r="H30" s="6">
        <v>934381</v>
      </c>
      <c r="I30" s="6">
        <v>1041154</v>
      </c>
      <c r="J30" s="6">
        <v>250947</v>
      </c>
      <c r="K30" s="15">
        <f>SUM(L30:Z30)</f>
        <v>3406753</v>
      </c>
      <c r="L30" s="16">
        <f>(1060000-$J$30)/3</f>
        <v>269684.33333333331</v>
      </c>
      <c r="M30" s="16">
        <f t="shared" ref="M30:N30" si="9">(1060000-$J$30)/3</f>
        <v>269684.33333333331</v>
      </c>
      <c r="N30" s="16">
        <f t="shared" si="9"/>
        <v>269684.33333333331</v>
      </c>
      <c r="O30" s="16">
        <f>IF(O29*90&gt;=O26+SUM(O22:O23)+SUM(O18:O19),O26+SUM(O22:O23)+SUM(O18:O19),O29*90)</f>
        <v>258355.40547945205</v>
      </c>
      <c r="P30" s="16">
        <f>IF(P29*275&gt;=P26+SUM(P22:P23)+SUM(P18:P19),P26+SUM(P22:P23)+SUM(P18:P19),P29*275)</f>
        <v>789419.29452054796</v>
      </c>
      <c r="Q30" s="16">
        <f>IF(Q29*366&gt;=Q26+SUM(Q22:Q23)+SUM(Q18:Q19),Q26+SUM(Q22:Q23)+SUM(Q18:Q19),Q29*366)</f>
        <v>1050645.3156164384</v>
      </c>
      <c r="R30" s="16">
        <f>IF(R29*365&gt;=R26+SUM(R22:R23)+SUM(R18:R19),R26+SUM(R22:R23)+SUM(R18:R19),R29*365)</f>
        <v>499279.98438356142</v>
      </c>
      <c r="S30" s="16">
        <f t="shared" ref="S30:T30" si="10">IF(S29*365&gt;=S26+SUM(S22:S23)+SUM(S18:S19),S26+SUM(S22:S23)+SUM(S18:S19),S29*365)</f>
        <v>0</v>
      </c>
      <c r="T30" s="16">
        <f t="shared" si="10"/>
        <v>0</v>
      </c>
      <c r="U30" s="16">
        <f>IF(U29*366&gt;=U26+SUM(U22:U23)+SUM(U18:U19),U26+SUM(U22:U23)+SUM(U18:U19),U29*366)</f>
        <v>0</v>
      </c>
      <c r="V30" s="16">
        <f t="shared" ref="V30:W30" si="11">IF(V29*365&gt;=V26+SUM(V22:V23)+SUM(V18:V19),V26+SUM(V22:V23)+SUM(V18:V19),V29*365)</f>
        <v>0</v>
      </c>
      <c r="W30" s="16">
        <f t="shared" si="11"/>
        <v>0</v>
      </c>
      <c r="X30" s="16">
        <f>IF(X29*365&gt;=X26+SUM(X22:X23)+SUM(X18:X19),X26+SUM(X22:X23)+SUM(X18:X19),X29*365)</f>
        <v>0</v>
      </c>
      <c r="Y30" s="16">
        <f>IF(Y29*366&gt;=Y26+SUM(Y22:Y23)+SUM(Y18:Y19),Y26+SUM(Y22:Y23)+SUM(Y18:Y19),Y29*366)</f>
        <v>0</v>
      </c>
      <c r="Z30" s="16">
        <f t="shared" ref="Z30" si="12">IF(Z29*365&gt;=Z26+SUM(Z22:Z23)+SUM(Z18:Z19),Z26+SUM(Z22:Z23)+SUM(Z18:Z19),Z29*365)</f>
        <v>0</v>
      </c>
      <c r="AA30" s="13"/>
    </row>
    <row r="31" spans="2:27" x14ac:dyDescent="0.25">
      <c r="B31" t="s">
        <v>65</v>
      </c>
      <c r="C31" t="s">
        <v>66</v>
      </c>
      <c r="E31">
        <v>238</v>
      </c>
      <c r="F31">
        <v>260</v>
      </c>
      <c r="G31">
        <v>252</v>
      </c>
      <c r="H31">
        <v>224</v>
      </c>
      <c r="I31">
        <v>209</v>
      </c>
      <c r="J31">
        <v>185</v>
      </c>
      <c r="K31" s="58">
        <f>AVERAGEIF(L31:Z31,"&gt;0")</f>
        <v>164.80129996746541</v>
      </c>
      <c r="L31" s="13">
        <v>176</v>
      </c>
      <c r="M31" s="13">
        <v>176</v>
      </c>
      <c r="N31" s="13">
        <v>176</v>
      </c>
      <c r="O31" s="13">
        <f>G8</f>
        <v>180</v>
      </c>
      <c r="P31" s="41">
        <f>IF(P18&gt;=P29*275,$G$7,IF(AND(P18=0,P19&gt;=P29*275),$G$8,IF(AND(P18+P19=0,P22&gt;=P29*275),$N$7,IF(AND(SUM(P18:P19)+P22=0,P23&gt;=P29*275),$N$8,IF(AND(SUM(P18:P19)+SUM(P22:P23)=0,P26&gt;=P29*275),$U$7,IF(SUM(P18:P19)+SUM(P22:P23)+P26=0,0,IF(AND(P29*275&gt;SUM(P18:P19),SUM(P18:P19)+P22&gt;=P29*275),(P18*$G$7+P19*$G$8+(P22-Q22)*$N$7)/(P29*275),IF(AND(P29*275&gt;P19+P22,P19+SUM(P22:P23)&gt;=P29*275),(P19*$G$8+P22*$N$7+(P23-Q23)*$N$8)/(P29*275),IF(AND(P29*275&gt;SUM(P22:P23),SUM(P22:P23)+P26&gt;=P29*275),(P22*$N$7+P23*$N$8+(P26-Q26)*$U$7)/(P29*275),IF(AND(P29*275&gt;P18,P18+P19&gt;=P29*275),(P18*$G$7+(P19-Q19)*$G$8)/(P29*275),IF(AND(P29*275&gt;P19,P19+P22&gt;=P29*275),(P19*$G$8+(P22-Q22)*$N$7)/(P29*275),IF(AND(P29*275&gt;P22,SUM(P22:P23)&gt;=P29*275),(P22*$N$7+(P23-Q23)*$N$8)/(P29*275),IF(AND(P29*275&gt;P23,P23+P26&gt;=P29*275),(P23*$N$8+(P26-Q26)*$U$7)/(P29*275),IF(AND(P18&gt;0,P19&gt;0,P29*275&gt;SUM(P18:P19)),(P18*$G$7+P19*$G$8)/SUM(P18:P19),IF(AND(P19&gt;0,P22&gt;0,P29*275&gt;SUM(P19:P22)),(P19*$G$8+P22*$N$7)/SUM(P19:P22),IF(AND(P22&gt;0,P23&gt;0,P29*275&gt;SUM(P22:P23)),(P22*$N$7+P23*$N$8)/SUM(P22:P23),IF(AND(P23&gt;0,P26&gt;0,P29*275&gt;SUM(P23:P26)),(P23*$N$8+P26*$U$7)/SUM(P23:P26),IF(AND(P19&gt;0,P29*275&gt;P19),$G$8,IF(AND(P22&gt;0,P29*275&gt;P22),$N$7,IF(AND(P23&gt;0,P29*275&gt;P23),$N$8,IF(AND(P26&gt;0,P29*275&gt;P26),$U$7)))))))))))))))))))))</f>
        <v>180</v>
      </c>
      <c r="Q31" s="41">
        <f>IF(Q18&gt;=Q29*366,$G$7,IF(AND(Q18=0,Q19&gt;=Q29*366),$G$8,IF(AND(Q18+Q19=0,Q22&gt;=Q29*366),$N$7,IF(AND(SUM(Q18:Q19)+Q22=0,Q23&gt;=Q29*366),$N$8,IF(AND(SUM(Q18:Q19)+SUM(Q22:Q23)=0,Q26&gt;=Q29*366),$U$7,IF(SUM(Q18:Q19)+SUM(Q22:Q23)+Q26=0,0,IF(AND(Q29*366&gt;SUM(Q18:Q19),SUM(Q18:Q19)+Q22&gt;=Q29*366),(Q18*$G$7+Q19*$G$8+(Q22-R22)*$N$7)/(Q29*366),IF(AND(Q29*366&gt;Q19+Q22,Q19+SUM(Q22:Q23)&gt;=Q29*366),(Q19*$G$8+Q22*$N$7+(Q23-R23)*$N$8)/(Q29*366),IF(AND(Q29*366&gt;SUM(Q22:Q23),SUM(Q22:Q23)+Q26&gt;=Q29*366),(Q22*$N$7+Q23*$N$8+(Q26-R26)*$U$7)/(Q29*366),IF(AND(Q29*366&gt;Q18,Q18+Q19&gt;=Q29*366),(Q18*$G$7+(Q19-R19)*$G$8)/(Q29*366),IF(AND(Q29*366&gt;Q19,Q19+Q22&gt;=Q29*366),(Q19*$G$8+(Q22-R22)*$N$7)/(Q29*366),IF(AND(Q29*366&gt;Q22,SUM(Q22:Q23)&gt;=Q29*366),(Q22*$N$7+(Q23-R23)*$N$8)/(Q29*366),IF(AND(Q29*366&gt;Q23,Q23+Q26&gt;=Q29*366),(Q23*$N$8+(Q26-R26)*$U$7)/(Q29*366),IF(AND(Q18&gt;0,Q19&gt;0,Q29*366&gt;SUM(Q18:Q19)),(Q18*$G$7+Q19*$G$8)/SUM(Q18:Q19),IF(AND(Q19&gt;0,Q22&gt;0,Q29*366&gt;SUM(Q19:Q22)),(Q19*$G$8+Q22*$N$7)/SUM(Q19:Q22),IF(AND(Q22&gt;0,Q23&gt;0,Q29*366&gt;SUM(Q22:Q23)),(Q22*$N$7+Q23*$N$8)/SUM(Q22:Q23),IF(AND(Q23&gt;0,Q26&gt;0,Q29*366&gt;SUM(Q23:Q26)),(Q23*$N$8+Q26*$U$7)/SUM(Q23:Q26),IF(AND(Q19&gt;0,Q29*366&gt;Q19),$G$8,IF(AND(Q22&gt;0,Q29*366&gt;Q22),$N$7,IF(AND(Q23&gt;0,Q29*366&gt;Q23),$N$8,IF(AND(Q26&gt;0,Q29*366&gt;Q26),$U$7)))))))))))))))))))))</f>
        <v>167.60909977225779</v>
      </c>
      <c r="R31" s="41">
        <f>IF(R18&gt;=R29*365,$G$7,IF(AND(R18=0,R19&gt;=R29*365),$G$8,IF(AND(R18+R19=0,R22&gt;=R29*365),$N$7,IF(AND(SUM(R18:R19)+R22=0,R23&gt;=R29*365),$N$8,IF(AND(SUM(R18:R19)+SUM(R22:R23)=0,R26&gt;=R29*365),$U$7,IF(SUM(R18:R19)+SUM(R22:R23)+R26=0,0,IF(AND(R29*365&gt;SUM(R18:R19),SUM(R18:R19)+R22&gt;=R29*365),(R18*$G$7+R19*$G$8+(R22-S22)*$N$7)/(R29*365),IF(AND(R29*365&gt;R19+R22,R19+SUM(R22:R23)&gt;=R29*365),(R19*$G$8+R22*$N$7+(R23-S23)*$N$8)/(R29*365),IF(AND(R29*365&gt;SUM(R22:R23),SUM(R22:R23)+R26&gt;=R29*365),(R22*$N$7+R23*$N$8+(R26-S26)*$U$7)/(R29*365),IF(AND(R29*365&gt;R18,R18+R19&gt;=R29*365),(R18*$G$7+(R19-S19)*$G$8)/(R29*365),IF(AND(R29*365&gt;R19,R19+R22&gt;=R29*365),(R19*$G$8+(R22-S22)*$N$7)/(R29*365),IF(AND(R29*365&gt;R22,SUM(R22:R23)&gt;=R29*365),(R22*$N$7+(R23-S23)*$N$8)/(R29*365),IF(AND(R29*365&gt;R23,R23+R26&gt;=R29*365),(R23*$N$8+(R26-S26)*$U$7)/(R29*365),IF(AND(R18&gt;0,R19&gt;0,R29*365&gt;SUM(R18:R19)),(R18*$G$7+R19*$G$8)/SUM(R18:R19),IF(AND(R19&gt;0,R22&gt;0,R29*365&gt;SUM(R19:R22)),(R19*$G$8+R22*$N$7)/SUM(R19:R22),IF(AND(R22&gt;0,R23&gt;0,R29*365&gt;SUM(R22:R23)),(R22*$N$7+R23*$N$8)/SUM(R22:R23),IF(AND(R23&gt;0,R26&gt;0,R29*365&gt;SUM(R23:R26)),(R23*$N$8+R26*$U$7)/SUM(R23:R26),IF(AND(R19&gt;0,R29*365&gt;R19),$G$8,IF(AND(R22&gt;0,R29*365&gt;R22),$N$7,IF(AND(R23&gt;0,R29*365&gt;R23),$N$8,IF(AND(R26&gt;0,R29*365&gt;R26),$U$7)))))))))))))))))))))</f>
        <v>98</v>
      </c>
      <c r="S31" s="41">
        <f>IF(S18&gt;=S29*365,$G$7,IF(AND(S18=0,S19&gt;=S29*365),$G$8,IF(AND(S18+S19=0,S22&gt;=S29*365),$N$7,IF(AND(SUM(S18:S19)+S22=0,S23&gt;=S29*365),$N$8,IF(AND(SUM(S18:S19)+SUM(S22:S23)=0,S26&gt;=S29*365),$U$7,IF(SUM(S18:S19)+SUM(S22:S23)+S26=0,0,IF(AND(S29*365&gt;SUM(S18:S19),SUM(S18:S19)+S22&gt;=S29*365),(S18*$G$7+S19*$G$8+(S22-T22)*$N$7)/(S29*365),IF(AND(S29*365&gt;S19+S22,S19+SUM(S22:S23)&gt;=S29*365),(S19*$G$8+S22*$N$7+(S23-T23)*$N$8)/(S29*365),IF(AND(S29*365&gt;SUM(S22:S23),SUM(S22:S23)+S26&gt;=S29*365),(S22*$N$7+S23*$N$8+(S26-T26)*$U$7)/(S29*365),IF(AND(S29*365&gt;S18,S18+S19&gt;=S29*365),(S18*$G$7+(S19-T19)*$G$8)/(S29*365),IF(AND(S29*365&gt;S19,S19+S22&gt;=S29*365),(S19*$G$8+(S22-T22)*$N$7)/(S29*365),IF(AND(S29*365&gt;S22,SUM(S22:S23)&gt;=S29*365),(S22*$N$7+(S23-T23)*$N$8)/(S29*365),IF(AND(S29*365&gt;S23,S23+S26&gt;=S29*365),(S23*$N$8+(S26-T26)*$U$7)/(S29*365),IF(AND(S18&gt;0,S19&gt;0,S29*365&gt;SUM(S18:S19)),(S18*$G$7+S19*$G$8)/SUM(S18:S19),IF(AND(S19&gt;0,S22&gt;0,S29*365&gt;SUM(S19:S22)),(S19*$G$8+S22*$N$7)/SUM(S19:S22),IF(AND(S22&gt;0,S23&gt;0,S29*365&gt;SUM(S22:S23)),(S22*$N$7+S23*$N$8)/SUM(S22:S23),IF(AND(S23&gt;0,S26&gt;0,S29*365&gt;SUM(S23:S26)),(S23*$N$8+S26*$U$7)/SUM(S23:S26),IF(AND(S19&gt;0,S29*365&gt;S19),$G$8,IF(AND(S22&gt;0,S29*365&gt;S22),$N$7,IF(AND(S23&gt;0,S29*365&gt;S23),$N$8,IF(AND(S26&gt;0,S29*365&gt;S26),$U$7)))))))))))))))))))))</f>
        <v>0</v>
      </c>
      <c r="T31" s="41">
        <f>IF(T18&gt;=T29*365,$G$7,IF(AND(T18=0,T19&gt;=T29*365),$G$8,IF(AND(T18+T19=0,T22&gt;=T29*365),$N$7,IF(AND(SUM(T18:T19)+T22=0,T23&gt;=T29*365),$N$8,IF(AND(SUM(T18:T19)+SUM(T22:T23)=0,T26&gt;=T29*365),$U$7,IF(SUM(T18:T19)+SUM(T22:T23)+T26=0,0,IF(AND(T29*365&gt;SUM(T18:T19),SUM(T18:T19)+T22&gt;=T29*365),(T18*$G$7+T19*$G$8+(T22-U22)*$N$7)/(T29*365),IF(AND(T29*365&gt;T19+T22,T19+SUM(T22:T23)&gt;=T29*365),(T19*$G$8+T22*$N$7+(T23-U23)*$N$8)/(T29*365),IF(AND(T29*365&gt;SUM(T22:T23),SUM(T22:T23)+T26&gt;=T29*365),(T22*$N$7+T23*$N$8+(T26-U26)*$U$7)/(T29*365),IF(AND(T29*365&gt;T18,T18+T19&gt;=T29*365),(T18*$G$7+(T19-U19)*$G$8)/(T29*365),IF(AND(T29*365&gt;T19,T19+T22&gt;=T29*365),(T19*$G$8+(T22-U22)*$N$7)/(T29*365),IF(AND(T29*365&gt;T22,SUM(T22:T23)&gt;=T29*365),(T22*$N$7+(T23-U23)*$N$8)/(T29*365),IF(AND(T29*365&gt;T23,T23+T26&gt;=T29*365),(T23*$N$8+(T26-U26)*$U$7)/(T29*365),IF(AND(T18&gt;0,T19&gt;0,T29*365&gt;SUM(T18:T19)),(T18*$G$7+T19*$G$8)/SUM(T18:T19),IF(AND(T19&gt;0,T22&gt;0,T29*365&gt;SUM(T19:T22)),(T19*$G$8+T22*$N$7)/SUM(T19:T22),IF(AND(T22&gt;0,T23&gt;0,T29*365&gt;SUM(T22:T23)),(T22*$N$7+T23*$N$8)/SUM(T22:T23),IF(AND(T23&gt;0,T26&gt;0,T29*365&gt;SUM(T23:T26)),(T23*$N$8+T26*$U$7)/SUM(T23:T26),IF(AND(T19&gt;0,T29*365&gt;T19),$G$8,IF(AND(T22&gt;0,T29*365&gt;T22),$N$7,IF(AND(T23&gt;0,T29*365&gt;T23),$N$8,IF(AND(T26&gt;0,T29*365&gt;T26),$U$7)))))))))))))))))))))</f>
        <v>0</v>
      </c>
      <c r="U31" s="41">
        <f>IF(U18&gt;=U29*366,$G$7,IF(AND(U18=0,U19&gt;=U29*366),$G$8,IF(AND(U18+U19=0,U22&gt;=U29*366),$N$7,IF(AND(SUM(U18:U19)+U22=0,U23&gt;=U29*366),$N$8,IF(AND(SUM(U18:U19)+SUM(U22:U23)=0,U26&gt;=U29*366),$U$7,IF(SUM(U18:U19)+SUM(U22:U23)+U26=0,0,IF(AND(U29*366&gt;SUM(U18:U19),SUM(U18:U19)+U22&gt;=U29*366),(U18*$G$7+U19*$G$8+(U22-V22)*$N$7)/(U29*366),IF(AND(U29*366&gt;U19+U22,U19+SUM(U22:U23)&gt;=U29*366),(U19*$G$8+U22*$N$7+(U23-V23)*$N$8)/(U29*366),IF(AND(U29*366&gt;SUM(U22:U23),SUM(U22:U23)+U26&gt;=U29*366),(U22*$N$7+U23*$N$8+(U26-V26)*$U$7)/(U29*366),IF(AND(U29*366&gt;U18,U18+U19&gt;=U29*366),(U18*$G$7+(U19-V19)*$G$8)/(U29*366),IF(AND(U29*366&gt;U19,U19+U22&gt;=U29*366),(U19*$G$8+(U22-V22)*$N$7)/(U29*366),IF(AND(U29*366&gt;U22,SUM(U22:U23)&gt;=U29*366),(U22*$N$7+(U23-V23)*$N$8)/(U29*366),IF(AND(U29*366&gt;U23,U23+U26&gt;=U29*366),(U23*$N$8+(U26-V26)*$U$7)/(U29*366),IF(AND(U18&gt;0,U19&gt;0,U29*366&gt;SUM(U18:U19)),(U18*$G$7+U19*$G$8)/SUM(U18:U19),IF(AND(U19&gt;0,U22&gt;0,U29*366&gt;SUM(U19:U22)),(U19*$G$8+U22*$N$7)/SUM(U19:U22),IF(AND(U22&gt;0,U23&gt;0,U29*366&gt;SUM(U22:U23)),(U22*$N$7+U23*$N$8)/SUM(U22:U23),IF(AND(U23&gt;0,U26&gt;0,U29*366&gt;SUM(U23:U26)),(U23*$N$8+U26*$U$7)/SUM(U23:U26),IF(AND(U19&gt;0,U29*366&gt;U19),$G$8,IF(AND(U22&gt;0,U29*366&gt;U22),$N$7,IF(AND(U23&gt;0,U29*366&gt;U23),$N$8,IF(AND(U26&gt;0,U29*366&gt;U26),$U$7)))))))))))))))))))))</f>
        <v>0</v>
      </c>
      <c r="V31" s="41">
        <f>IF(V18&gt;=V29*365,$G$7,IF(AND(V18=0,V19&gt;=V29*365),$G$8,IF(AND(V18+V19=0,V22&gt;=V29*365),$N$7,IF(AND(SUM(V18:V19)+V22=0,V23&gt;=V29*365),$N$8,IF(AND(SUM(V18:V19)+SUM(V22:V23)=0,V26&gt;=V29*365),$U$7,IF(SUM(V18:V19)+SUM(V22:V23)+V26=0,0,IF(AND(V29*365&gt;SUM(V18:V19),SUM(V18:V19)+V22&gt;=V29*365),(V18*$G$7+V19*$G$8+(V22-W22)*$N$7)/(V29*365),IF(AND(V29*365&gt;V19+V22,V19+SUM(V22:V23)&gt;=V29*365),(V19*$G$8+V22*$N$7+(V23-W23)*$N$8)/(V29*365),IF(AND(V29*365&gt;SUM(V22:V23),SUM(V22:V23)+V26&gt;=V29*365),(V22*$N$7+V23*$N$8+(V26-W26)*$U$7)/(V29*365),IF(AND(V29*365&gt;V18,V18+V19&gt;=V29*365),(V18*$G$7+(V19-W19)*$G$8)/(V29*365),IF(AND(V29*365&gt;V19,V19+V22&gt;=V29*365),(V19*$G$8+(V22-W22)*$N$7)/(V29*365),IF(AND(V29*365&gt;V22,SUM(V22:V23)&gt;=V29*365),(V22*$N$7+(V23-W23)*$N$8)/(V29*365),IF(AND(V29*365&gt;V23,V23+V26&gt;=V29*365),(V23*$N$8+(V26-W26)*$U$7)/(V29*365),IF(AND(V18&gt;0,V19&gt;0,V29*365&gt;SUM(V18:V19)),(V18*$G$7+V19*$G$8)/SUM(V18:V19),IF(AND(V19&gt;0,V22&gt;0,V29*365&gt;SUM(V19:V22)),(V19*$G$8+V22*$N$7)/SUM(V19:V22),IF(AND(V22&gt;0,V23&gt;0,V29*365&gt;SUM(V22:V23)),(V22*$N$7+V23*$N$8)/SUM(V22:V23),IF(AND(V23&gt;0,V26&gt;0,V29*365&gt;SUM(V23:V26)),(V23*$N$8+V26*$U$7)/SUM(V23:V26),IF(AND(V19&gt;0,V29*365&gt;V19),$G$8,IF(AND(V22&gt;0,V29*365&gt;V22),$N$7,IF(AND(V23&gt;0,V29*365&gt;V23),$N$8,IF(AND(V26&gt;0,V29*365&gt;V26),$U$7)))))))))))))))))))))</f>
        <v>0</v>
      </c>
      <c r="W31" s="41">
        <f>IF(W18&gt;=W29*365,$G$7,IF(AND(W18=0,W19&gt;=W29*365),$G$8,IF(AND(W18+W19=0,W22&gt;=W29*365),$N$7,IF(AND(SUM(W18:W19)+W22=0,W23&gt;=W29*365),$N$8,IF(AND(SUM(W18:W19)+SUM(W22:W23)=0,W26&gt;=W29*365),$U$7,IF(SUM(W18:W19)+SUM(W22:W23)+W26=0,0,IF(AND(W29*365&gt;SUM(W18:W19),SUM(W18:W19)+W22&gt;=W29*365),(W18*$G$7+W19*$G$8+(W22-X22)*$N$7)/(W29*365),IF(AND(W29*365&gt;W19+W22,W19+SUM(W22:W23)&gt;=W29*365),(W19*$G$8+W22*$N$7+(W23-X23)*$N$8)/(W29*365),IF(AND(W29*365&gt;SUM(W22:W23),SUM(W22:W23)+W26&gt;=W29*365),(W22*$N$7+W23*$N$8+(W26-X26)*$U$7)/(W29*365),IF(AND(W29*365&gt;W18,W18+W19&gt;=W29*365),(W18*$G$7+(W19-X19)*$G$8)/(W29*365),IF(AND(W29*365&gt;W19,W19+W22&gt;=W29*365),(W19*$G$8+(W22-X22)*$N$7)/(W29*365),IF(AND(W29*365&gt;W22,SUM(W22:W23)&gt;=W29*365),(W22*$N$7+(W23-X23)*$N$8)/(W29*365),IF(AND(W29*365&gt;W23,W23+W26&gt;=W29*365),(W23*$N$8+(W26-X26)*$U$7)/(W29*365),IF(AND(W18&gt;0,W19&gt;0,W29*365&gt;SUM(W18:W19)),(W18*$G$7+W19*$G$8)/SUM(W18:W19),IF(AND(W19&gt;0,W22&gt;0,W29*365&gt;SUM(W19:W22)),(W19*$G$8+W22*$N$7)/SUM(W19:W22),IF(AND(W22&gt;0,W23&gt;0,W29*365&gt;SUM(W22:W23)),(W22*$N$7+W23*$N$8)/SUM(W22:W23),IF(AND(W23&gt;0,W26&gt;0,W29*365&gt;SUM(W23:W26)),(W23*$N$8+W26*$U$7)/SUM(W23:W26),IF(AND(W19&gt;0,W29*365&gt;W19),$G$8,IF(AND(W22&gt;0,W29*365&gt;W22),$N$7,IF(AND(W23&gt;0,W29*365&gt;W23),$N$8,IF(AND(W26&gt;0,W29*365&gt;W26),$U$7)))))))))))))))))))))</f>
        <v>0</v>
      </c>
      <c r="X31" s="41">
        <f t="shared" ref="X31:Z31" si="13">IF(X18&gt;=X29*365,$G$7,IF(AND(X18=0,X19&gt;=X29*365),$G$8,IF(AND(X18+X19=0,X22&gt;=X29*365),$N$7,IF(AND(SUM(X18:X19)+X22=0,X23&gt;=X29*365),$N$8,IF(AND(SUM(X18:X19)+SUM(X22:X23)=0,X26&gt;=X29*365),$U$7,IF(SUM(X18:X19)+SUM(X22:X23)+X26=0,0,IF(AND(X29*365&gt;SUM(X18:X19),SUM(X18:X19)+X22&gt;=X29*365),(X18*$G$7+X19*$G$8+(X22-Y22)*$N$7)/(X29*365),IF(AND(X29*365&gt;X19+X22,X19+SUM(X22:X23)&gt;=X29*365),(X19*$G$8+X22*$N$7+(X23-Y23)*$N$8)/(X29*365),IF(AND(X29*365&gt;SUM(X22:X23),SUM(X22:X23)+X26&gt;=X29*365),(X22*$N$7+X23*$N$8+(X26-Y26)*$U$7)/(X29*365),IF(AND(X29*365&gt;X18,X18+X19&gt;=X29*365),(X18*$G$7+(X19-Y19)*$G$8)/(X29*365),IF(AND(X29*365&gt;X19,X19+X22&gt;=X29*365),(X19*$G$8+(X22-Y22)*$N$7)/(X29*365),IF(AND(X29*365&gt;X22,SUM(X22:X23)&gt;=X29*365),(X22*$N$7+(X23-Y23)*$N$8)/(X29*365),IF(AND(X29*365&gt;X23,X23+X26&gt;=X29*365),(X23*$N$8+(X26-Y26)*$U$7)/(X29*365),IF(AND(X18&gt;0,X19&gt;0,X29*365&gt;SUM(X18:X19)),(X18*$G$7+X19*$G$8)/SUM(X18:X19),IF(AND(X19&gt;0,X22&gt;0,X29*365&gt;SUM(X19:X22)),(X19*$G$8+X22*$N$7)/SUM(X19:X22),IF(AND(X22&gt;0,X23&gt;0,X29*365&gt;SUM(X22:X23)),(X22*$N$7+X23*$N$8)/SUM(X22:X23),IF(AND(X23&gt;0,X26&gt;0,X29*365&gt;SUM(X23:X26)),(X23*$N$8+X26*$U$7)/SUM(X23:X26),IF(AND(X19&gt;0,X29*365&gt;X19),$G$8,IF(AND(X22&gt;0,X29*365&gt;X22),$N$7,IF(AND(X23&gt;0,X29*365&gt;X23),$N$8,IF(AND(X26&gt;0,X29*365&gt;X26),$U$7)))))))))))))))))))))</f>
        <v>0</v>
      </c>
      <c r="Y31" s="41">
        <f>IF(Y18&gt;=Y29*366,$G$7,IF(AND(Y18=0,Y19&gt;=Y29*366),$G$8,IF(AND(Y18+Y19=0,Y22&gt;=Y29*366),$N$7,IF(AND(SUM(Y18:Y19)+Y22=0,Y23&gt;=Y29*366),$N$8,IF(AND(SUM(Y18:Y19)+SUM(Y22:Y23)=0,Y26&gt;=Y29*366),$U$7,IF(SUM(Y18:Y19)+SUM(Y22:Y23)+Y26=0,0,IF(AND(Y29*366&gt;SUM(Y18:Y19),SUM(Y18:Y19)+Y22&gt;=Y29*366),(Y18*$G$7+Y19*$G$8+(Y22-Z22)*$N$7)/(Y29*366),IF(AND(Y29*366&gt;Y19+Y22,Y19+SUM(Y22:Y23)&gt;=Y29*366),(Y19*$G$8+Y22*$N$7+(Y23-Z23)*$N$8)/(Y29*366),IF(AND(Y29*366&gt;SUM(Y22:Y23),SUM(Y22:Y23)+Y26&gt;=Y29*366),(Y22*$N$7+Y23*$N$8+(Y26-Z26)*$U$7)/(Y29*366),IF(AND(Y29*366&gt;Y18,Y18+Y19&gt;=Y29*366),(Y18*$G$7+(Y19-Z19)*$G$8)/(Y29*366),IF(AND(Y29*366&gt;Y19,Y19+Y22&gt;=Y29*366),(Y19*$G$8+(Y22-Z22)*$N$7)/(Y29*366),IF(AND(Y29*366&gt;Y22,SUM(Y22:Y23)&gt;=Y29*366),(Y22*$N$7+(Y23-Z23)*$N$8)/(Y29*366),IF(AND(Y29*366&gt;Y23,Y23+Y26&gt;=Y29*366),(Y23*$N$8+(Y26-Z26)*$U$7)/(Y29*366),IF(AND(Y18&gt;0,Y19&gt;0,Y29*366&gt;SUM(Y18:Y19)),(Y18*$G$7+Y19*$G$8)/SUM(Y18:Y19),IF(AND(Y19&gt;0,Y22&gt;0,Y29*366&gt;SUM(Y19:Y22)),(Y19*$G$8+Y22*$N$7)/SUM(Y19:Y22),IF(AND(Y22&gt;0,Y23&gt;0,Y29*366&gt;SUM(Y22:Y23)),(Y22*$N$7+Y23*$N$8)/SUM(Y22:Y23),IF(AND(Y23&gt;0,Y26&gt;0,Y29*366&gt;SUM(Y23:Y26)),(Y23*$N$8+Y26*$U$7)/SUM(Y23:Y26),IF(AND(Y19&gt;0,Y29*366&gt;Y19),$G$8,IF(AND(Y22&gt;0,Y29*366&gt;Y22),$N$7,IF(AND(Y23&gt;0,Y29*366&gt;Y23),$N$8,IF(AND(Y26&gt;0,Y29*366&gt;Y26),$U$7)))))))))))))))))))))</f>
        <v>0</v>
      </c>
      <c r="Z31" s="41">
        <f t="shared" si="13"/>
        <v>0</v>
      </c>
      <c r="AA31" s="13"/>
    </row>
    <row r="32" spans="2:27" x14ac:dyDescent="0.25">
      <c r="B32" t="s">
        <v>67</v>
      </c>
      <c r="C32" t="s">
        <v>66</v>
      </c>
      <c r="E32">
        <v>1.77</v>
      </c>
      <c r="F32">
        <v>1.75</v>
      </c>
      <c r="G32">
        <v>1.57</v>
      </c>
      <c r="H32">
        <v>1.38</v>
      </c>
      <c r="I32">
        <v>1.29</v>
      </c>
      <c r="J32">
        <v>1.1299999999999999</v>
      </c>
      <c r="K32" s="56">
        <f>AVERAGEIF(L32:Z32,"&gt;0")</f>
        <v>1.0503281271985754</v>
      </c>
      <c r="L32" s="13">
        <v>1.0900000000000001</v>
      </c>
      <c r="M32" s="13">
        <f>L32</f>
        <v>1.0900000000000001</v>
      </c>
      <c r="N32" s="13">
        <f>M32</f>
        <v>1.0900000000000001</v>
      </c>
      <c r="O32" s="13">
        <f>H8</f>
        <v>1.17</v>
      </c>
      <c r="P32" s="24">
        <f>IF(P18&gt;=P29*275,$H$7,IF(AND(P18=0,P19&gt;=P29*275),$H$8,IF(AND(P18+P19=0,P22&gt;=P29*275),$O$7,IF(AND(SUM(P18:P19)+P22=0,P23&gt;=P29*275),$O$8,IF(AND(SUM(P18:P19)+SUM(P22:P23)=0,P26&gt;=P29*275),$V$7,IF(SUM(P18:P19)+SUM(P22:P23)+P26=0,0,IF(AND(P29*275&gt;SUM(P18:P19),SUM(P18:P19)+P22&gt;=P29*275),(P18*$H$7+P19*$H$8+(P22-Q22)*$O$7)/(P29*275),IF(AND(P29*275&gt;P19+P22,P19+SUM(P22:P23)&gt;=P29*275),(P19*$H$8+P22*$O$7+(P23-Q23)*$O$8)/(P29*275),IF(AND(P29*275&gt;SUM(P22:P23),SUM(P22:P23)+P26&gt;=P29*275),(P22*$O$7+P23*$O$8+(P26-Q26)*$V$7)/(P29*275),IF(AND(P29*275&gt;P18,P18+P19&gt;=P29*275),(P18*$H$7+(P19-Q19)*$H$8)/(P29*275),IF(AND(P29*275&gt;P19,P19+P22&gt;=P29*275),(P19*$H$8+(P22-Q22)*$O$7)/(P29*275),IF(AND(P29*275&gt;P22,SUM(P22:P23)&gt;=P29*275),(P22*$O$7+(P23-Q23)*$O$8)/(P29*275),IF(AND(P29*275&gt;P23,P23+P26&gt;=P29*275),(P23*$O$8+(P26-Q26)*$V$7)/(P29*275),IF(AND(P18&gt;0,P19&gt;0,P29*275&gt;SUM(P18:P19)),(P18*$H$7+P19*$H$8)/SUM(P18:P19),IF(AND(P19&gt;0,P22&gt;0,P29*275&gt;SUM(P19:P22)),(P19*$H$8+P22*$O$7)/SUM(P19:P22),IF(AND(P22&gt;0,P23&gt;0,P29*275&gt;SUM(P22:P23)),(P22*$O$7+P23*$O$8)/SUM(P22:P23),IF(AND(P23&gt;0,P26&gt;0,P29*275&gt;SUM(P23:P26)),(P23*$O$8+P26*$V$7)/SUM(P23:P26),IF(AND(P19&gt;0,P29*275&gt;P19),$H$8,IF(AND(P22&gt;0,P29*275&gt;P22),$O$7,IF(AND(P23&gt;0,P29*275&gt;P23),$O$8,IF(AND(P26&gt;0,P29*275&gt;P26),$V$7)))))))))))))))))))))</f>
        <v>1.17</v>
      </c>
      <c r="Q32" s="24">
        <f>IF(Q18&gt;=Q29*366,$H$7,IF(AND(Q18=0,Q19&gt;=Q29*366),$H$8,IF(AND(Q18+Q19=0,Q22&gt;=Q29*366),$O$7,IF(AND(SUM(Q18:Q19)+Q22=0,Q23&gt;=Q29*366),$O$8,IF(AND(SUM(Q18:Q19)+SUM(Q22:Q23)=0,Q26&gt;=Q29*366),$V$7,IF(SUM(Q18:Q19)+SUM(Q22:Q23)+Q26=0,0,IF(AND(Q29*366&gt;SUM(Q18:Q19),SUM(Q18:Q19)+Q22&gt;=Q29*366),(Q18*$G$7+Q19*$H$8+(Q22-R22)*$O$7)/(Q29*366),IF(AND(Q29*366&gt;Q19+Q22,Q19+SUM(Q22:Q23)&gt;=Q29*366),(Q19*$H$8+Q22*$O$7+(Q23-R23)*$O$8)/(Q29*366),IF(AND(Q29*366&gt;SUM(Q22:Q23),SUM(Q22:Q23)+Q26&gt;=Q29*366),(Q22*$O$7+Q23*$O$8+(Q26-R26)*$V$7)/(Q29*366),IF(AND(Q29*366&gt;Q18,Q18+Q19&gt;=Q29*366),(Q18*$G$7+(Q19-R19)*$H$8)/(Q29*366),IF(AND(Q29*366&gt;Q19,Q19+Q22&gt;=Q29*366),(Q19*$H$8+(Q22-R22)*$O$7)/(Q29*366),IF(AND(Q29*366&gt;Q22,SUM(Q22:Q23)&gt;=Q29*366),(Q22*$O$7+(Q23-R23)*$O$8)/(Q29*366),IF(AND(Q29*366&gt;Q23,Q23+Q26&gt;=Q29*366),(Q23*$O$8+(Q26-R26)*$V$7)/(Q29*366),IF(AND(Q18&gt;0,Q19&gt;0,Q29*366&gt;SUM(Q18:Q19)),(Q18*$H$7+Q19*$H$8)/SUM(Q18:Q19),IF(AND(Q19&gt;0,Q22&gt;0,Q29*366&gt;SUM(Q19:Q22)),(Q19*$H$8+Q22*$O$7)/SUM(Q19:Q22),IF(AND(Q22&gt;0,Q23&gt;0,Q29*366&gt;SUM(Q22:Q23)),(Q22*$O$7+Q23*$O$8)/SUM(Q22:Q23),IF(AND(Q23&gt;0,Q26&gt;0,Q29*366&gt;SUM(Q23:Q26)),(Q23*$O$8+Q26*$V$7)/SUM(Q23:Q26),IF(AND(Q19&gt;0,Q29*366&gt;Q19),$H$8,IF(AND(Q22&gt;0,Q29*366&gt;Q22),$O$7,IF(AND(Q23&gt;0,Q29*366&gt;Q23),$O$8,IF(AND(Q26&gt;0,Q29*366&gt;Q26),$V$7)))))))))))))))))))))</f>
        <v>1.0922968903900274</v>
      </c>
      <c r="R32" s="24">
        <f>IF(R18&gt;=R29*365,$H$7,IF(AND(R18=0,R19&gt;=R29*365),$H$8,IF(AND(R18+R19=0,R22&gt;=R29*365),$O$7,IF(AND(SUM(R18:R19)+R22=0,R23&gt;=R29*365),$O$8,IF(AND(SUM(R18:R19)+SUM(R22:R23)=0,R26&gt;=R29*365),$V$7,IF(SUM(R18:R19)+SUM(R22:R23)+R26=0,0,IF(AND(R29*365&gt;SUM(R18:R19),SUM(R18:R19)+R22&gt;=R29*365),(R18*$G$7+R19*$H$8+(R22-S22)*$O$7)/(R29*365),IF(AND(R29*365&gt;R19+R22,R19+SUM(R22:R23)&gt;=R29*365),(R19*$H$8+R22*$O$7+(R23-S23)*$O$8)/(R29*365),IF(AND(R29*365&gt;SUM(R22:R23),SUM(R22:R23)+R26&gt;=R29*365),(R22*$O$7+R23*$O$8+(R26-S26)*$V$7)/(R29*365),IF(AND(R29*365&gt;R18,R18+R19&gt;=R29*365),(R18*$G$7+(R19-S19)*$H$8)/(R29*365),IF(AND(R29*365&gt;R19,R19+R22&gt;=R29*365),(R19*$H$8+(R22-S22)*$O$7)/(R29*365),IF(AND(R29*365&gt;R22,SUM(R22:R23)&gt;=R29*365),(R22*$O$7+(R23-S23)*$O$8)/(R29*365),IF(AND(R29*365&gt;R23,R23+R26&gt;=R29*365),(R23*$O$8+(R26-S26)*$V$7)/(R29*365),IF(AND(R18&gt;0,R19&gt;0,R29*365&gt;SUM(R18:R19)),(R18*$H$7+R19*$H$8)/SUM(R18:R19),IF(AND(R19&gt;0,R22&gt;0,R29*365&gt;SUM(R19:R22)),(R19*$H$8+R22*$O$7)/SUM(R19:R22),IF(AND(R22&gt;0,R23&gt;0,R29*365&gt;SUM(R22:R23)),(R22*$O$7+R23*$O$8)/SUM(R22:R23),IF(AND(R23&gt;0,R26&gt;0,R29*365&gt;SUM(R23:R26)),(R23*$O$8+R26*$V$7)/SUM(R23:R26),IF(AND(R19&gt;0,R29*365&gt;R19),$H$8,IF(AND(R22&gt;0,R29*365&gt;R22),$O$7,IF(AND(R23&gt;0,R29*365&gt;R23),$O$8,IF(AND(R26&gt;0,R29*365&gt;R26),$V$7)))))))))))))))))))))</f>
        <v>0.65</v>
      </c>
      <c r="S32" s="24">
        <f>IF(S18&gt;=S29*365,$H$7,IF(AND(S18=0,S19&gt;=S29*365),$H$8,IF(AND(S18+S19=0,S22&gt;=S29*365),$O$7,IF(AND(SUM(S18:S19)+S22=0,S23&gt;=S29*365),$O$8,IF(AND(SUM(S18:S19)+SUM(S22:S23)=0,S26&gt;=S29*365),$V$7,IF(SUM(S18:S19)+SUM(S22:S23)+S26=0,0,IF(AND(S29*365&gt;SUM(S18:S19),SUM(S18:S19)+S22&gt;=S29*365),(S18*$G$7+S19*$H$8+(S22-T22)*$O$7)/(S29*365),IF(AND(S29*365&gt;S19+S22,S19+SUM(S22:S23)&gt;=S29*365),(S19*$H$8+S22*$O$7+(S23-T23)*$O$8)/(S29*365),IF(AND(S29*365&gt;SUM(S22:S23),SUM(S22:S23)+S26&gt;=S29*365),(S22*$O$7+S23*$O$8+(S26-T26)*$V$7)/(S29*365),IF(AND(S29*365&gt;S18,S18+S19&gt;=S29*365),(S18*$G$7+(S19-T19)*$H$8)/(S29*365),IF(AND(S29*365&gt;S19,S19+S22&gt;=S29*365),(S19*$H$8+(S22-T22)*$O$7)/(S29*365),IF(AND(S29*365&gt;S22,SUM(S22:S23)&gt;=S29*365),(S22*$O$7+(S23-T23)*$O$8)/(S29*365),IF(AND(S29*365&gt;S23,S23+S26&gt;=S29*365),(S23*$O$8+(S26-T26)*$V$7)/(S29*365),IF(AND(S18&gt;0,S19&gt;0,S29*365&gt;SUM(S18:S19)),(S18*$H$7+S19*$H$8)/SUM(S18:S19),IF(AND(S19&gt;0,S22&gt;0,S29*365&gt;SUM(S19:S22)),(S19*$H$8+S22*$O$7)/SUM(S19:S22),IF(AND(S22&gt;0,S23&gt;0,S29*365&gt;SUM(S22:S23)),(S22*$O$7+S23*$O$8)/SUM(S22:S23),IF(AND(S23&gt;0,S26&gt;0,S29*365&gt;SUM(S23:S26)),(S23*$O$8+S26*$V$7)/SUM(S23:S26),IF(AND(S19&gt;0,S29*365&gt;S19),$H$8,IF(AND(S22&gt;0,S29*365&gt;S22),$O$7,IF(AND(S23&gt;0,S29*365&gt;S23),$O$8,IF(AND(S26&gt;0,S29*365&gt;S26),$V$7)))))))))))))))))))))</f>
        <v>0</v>
      </c>
      <c r="T32" s="24">
        <f>IF(T18&gt;=T29*365,$H$7,IF(AND(T18=0,T19&gt;=T29*365),$H$8,IF(AND(T18+T19=0,T22&gt;=T29*365),$O$7,IF(AND(SUM(T18:T19)+T22=0,T23&gt;=T29*365),$O$8,IF(AND(SUM(T18:T19)+SUM(T22:T23)=0,T26&gt;=T29*365),$V$7,IF(SUM(T18:T19)+SUM(T22:T23)+T26=0,0,IF(AND(T29*365&gt;SUM(T18:T19),SUM(T18:T19)+T22&gt;=T29*365),(T18*$G$7+T19*$H$8+(T22-U22)*$O$7)/(T29*365),IF(AND(T29*365&gt;T19+T22,T19+SUM(T22:T23)&gt;=T29*365),(T19*$H$8+T22*$O$7+(T23-U23)*$O$8)/(T29*365),IF(AND(T29*365&gt;SUM(T22:T23),SUM(T22:T23)+T26&gt;=T29*365),(T22*$O$7+T23*$O$8+(T26-U26)*$V$7)/(T29*365),IF(AND(T29*365&gt;T18,T18+T19&gt;=T29*365),(T18*$G$7+(T19-U19)*$H$8)/(T29*365),IF(AND(T29*365&gt;T19,T19+T22&gt;=T29*365),(T19*$H$8+(T22-U22)*$O$7)/(T29*365),IF(AND(T29*365&gt;T22,SUM(T22:T23)&gt;=T29*365),(T22*$O$7+(T23-U23)*$O$8)/(T29*365),IF(AND(T29*365&gt;T23,T23+T26&gt;=T29*365),(T23*$O$8+(T26-U26)*$V$7)/(T29*365),IF(AND(T18&gt;0,T19&gt;0,T29*365&gt;SUM(T18:T19)),(T18*$H$7+T19*$H$8)/SUM(T18:T19),IF(AND(T19&gt;0,T22&gt;0,T29*365&gt;SUM(T19:T22)),(T19*$H$8+T22*$O$7)/SUM(T19:T22),IF(AND(T22&gt;0,T23&gt;0,T29*365&gt;SUM(T22:T23)),(T22*$O$7+T23*$O$8)/SUM(T22:T23),IF(AND(T23&gt;0,T26&gt;0,T29*365&gt;SUM(T23:T26)),(T23*$O$8+T26*$V$7)/SUM(T23:T26),IF(AND(T19&gt;0,T29*365&gt;T19),$H$8,IF(AND(T22&gt;0,T29*365&gt;T22),$O$7,IF(AND(T23&gt;0,T29*365&gt;T23),$O$8,IF(AND(T26&gt;0,T29*365&gt;T26),$V$7)))))))))))))))))))))</f>
        <v>0</v>
      </c>
      <c r="U32" s="24">
        <f>IF(U18&gt;=U29*366,$H$7,IF(AND(U18=0,U19&gt;=U29*366),$H$8,IF(AND(U18+U19=0,U22&gt;=U29*366),$O$7,IF(AND(SUM(U18:U19)+U22=0,U23&gt;=U29*366),$O$8,IF(AND(SUM(U18:U19)+SUM(U22:U23)=0,U26&gt;=U29*366),$V$7,IF(SUM(U18:U19)+SUM(U22:U23)+U26=0,0,IF(AND(U29*366&gt;SUM(U18:U19),SUM(U18:U19)+U22&gt;=U29*366),(U18*$G$7+U19*$H$8+(U22-V22)*$O$7)/(U29*366),IF(AND(U29*366&gt;U19+U22,U19+SUM(U22:U23)&gt;=U29*366),(U19*$H$8+U22*$O$7+(U23-V23)*$O$8)/(U29*366),IF(AND(U29*366&gt;SUM(U22:U23),SUM(U22:U23)+U26&gt;=U29*366),(U22*$O$7+U23*$O$8+(U26-V26)*$V$7)/(U29*366),IF(AND(U29*366&gt;U18,U18+U19&gt;=U29*366),(U18*$G$7+(U19-V19)*$H$8)/(U29*366),IF(AND(U29*366&gt;U19,U19+U22&gt;=U29*366),(U19*$H$8+(U22-V22)*$O$7)/(U29*366),IF(AND(U29*366&gt;U22,SUM(U22:U23)&gt;=U29*366),(U22*$O$7+(U23-V23)*$O$8)/(U29*366),IF(AND(U29*366&gt;U23,U23+U26&gt;=U29*366),(U23*$O$8+(U26-V26)*$V$7)/(U29*366),IF(AND(U18&gt;0,U19&gt;0,U29*366&gt;SUM(U18:U19)),(U18*$H$7+U19*$H$8)/SUM(U18:U19),IF(AND(U19&gt;0,U22&gt;0,U29*366&gt;SUM(U19:U22)),(U19*$H$8+U22*$O$7)/SUM(U19:U22),IF(AND(U22&gt;0,U23&gt;0,U29*366&gt;SUM(U22:U23)),(U22*$O$7+U23*$O$8)/SUM(U22:U23),IF(AND(U23&gt;0,U26&gt;0,U29*366&gt;SUM(U23:U26)),(U23*$O$8+U26*$V$7)/SUM(U23:U26),IF(AND(U19&gt;0,U29*366&gt;U19),$H$8,IF(AND(U22&gt;0,U29*366&gt;U22),$O$7,IF(AND(U23&gt;0,U29*366&gt;U23),$O$8,IF(AND(U26&gt;0,U29*366&gt;U26),$V$7)))))))))))))))))))))</f>
        <v>0</v>
      </c>
      <c r="V32" s="24">
        <f>IF(V18&gt;=V29*365,$H$7,IF(AND(V18=0,V19&gt;=V29*365),$H$8,IF(AND(V18+V19=0,V22&gt;=V29*365),$O$7,IF(AND(SUM(V18:V19)+V22=0,V23&gt;=V29*365),$O$8,IF(AND(SUM(V18:V19)+SUM(V22:V23)=0,V26&gt;=V29*365),$V$7,IF(SUM(V18:V19)+SUM(V22:V23)+V26=0,0,IF(AND(V29*365&gt;SUM(V18:V19),SUM(V18:V19)+V22&gt;=V29*365),(V18*$G$7+V19*$H$8+(V22-W22)*$O$7)/(V29*365),IF(AND(V29*365&gt;V19+V22,V19+SUM(V22:V23)&gt;=V29*365),(V19*$H$8+V22*$O$7+(V23-W23)*$O$8)/(V29*365),IF(AND(V29*365&gt;SUM(V22:V23),SUM(V22:V23)+V26&gt;=V29*365),(V22*$O$7+V23*$O$8+(V26-W26)*$V$7)/(V29*365),IF(AND(V29*365&gt;V18,V18+V19&gt;=V29*365),(V18*$G$7+(V19-W19)*$H$8)/(V29*365),IF(AND(V29*365&gt;V19,V19+V22&gt;=V29*365),(V19*$H$8+(V22-W22)*$O$7)/(V29*365),IF(AND(V29*365&gt;V22,SUM(V22:V23)&gt;=V29*365),(V22*$O$7+(V23-W23)*$O$8)/(V29*365),IF(AND(V29*365&gt;V23,V23+V26&gt;=V29*365),(V23*$O$8+(V26-W26)*$V$7)/(V29*365),IF(AND(V18&gt;0,V19&gt;0,V29*365&gt;SUM(V18:V19)),(V18*$H$7+V19*$H$8)/SUM(V18:V19),IF(AND(V19&gt;0,V22&gt;0,V29*365&gt;SUM(V19:V22)),(V19*$H$8+V22*$O$7)/SUM(V19:V22),IF(AND(V22&gt;0,V23&gt;0,V29*365&gt;SUM(V22:V23)),(V22*$O$7+V23*$O$8)/SUM(V22:V23),IF(AND(V23&gt;0,V26&gt;0,V29*365&gt;SUM(V23:V26)),(V23*$O$8+V26*$V$7)/SUM(V23:V26),IF(AND(V19&gt;0,V29*365&gt;V19),$H$8,IF(AND(V22&gt;0,V29*365&gt;V22),$O$7,IF(AND(V23&gt;0,V29*365&gt;V23),$O$8,IF(AND(V26&gt;0,V29*365&gt;V26),$V$7)))))))))))))))))))))</f>
        <v>0</v>
      </c>
      <c r="W32" s="24">
        <f>IF(W18&gt;=W29*365,$H$7,IF(AND(W18=0,W19&gt;=W29*365),$H$8,IF(AND(W18+W19=0,W22&gt;=W29*365),$O$7,IF(AND(SUM(W18:W19)+W22=0,W23&gt;=W29*365),$O$8,IF(AND(SUM(W18:W19)+SUM(W22:W23)=0,W26&gt;=W29*365),$V$7,IF(SUM(W18:W19)+SUM(W22:W23)+W26=0,0,IF(AND(W29*365&gt;SUM(W18:W19),SUM(W18:W19)+W22&gt;=W29*365),(W18*$G$7+W19*$H$8+(W22-X22)*$O$7)/(W29*365),IF(AND(W29*365&gt;W19+W22,W19+SUM(W22:W23)&gt;=W29*365),(W19*$H$8+W22*$O$7+(W23-X23)*$O$8)/(W29*365),IF(AND(W29*365&gt;SUM(W22:W23),SUM(W22:W23)+W26&gt;=W29*365),(W22*$O$7+W23*$O$8+(W26-X26)*$V$7)/(W29*365),IF(AND(W29*365&gt;W18,W18+W19&gt;=W29*365),(W18*$G$7+(W19-X19)*$H$8)/(W29*365),IF(AND(W29*365&gt;W19,W19+W22&gt;=W29*365),(W19*$H$8+(W22-X22)*$O$7)/(W29*365),IF(AND(W29*365&gt;W22,SUM(W22:W23)&gt;=W29*365),(W22*$O$7+(W23-X23)*$O$8)/(W29*365),IF(AND(W29*365&gt;W23,W23+W26&gt;=W29*365),(W23*$O$8+(W26-X26)*$V$7)/(W29*365),IF(AND(W18&gt;0,W19&gt;0,W29*365&gt;SUM(W18:W19)),(W18*$H$7+W19*$H$8)/SUM(W18:W19),IF(AND(W19&gt;0,W22&gt;0,W29*365&gt;SUM(W19:W22)),(W19*$H$8+W22*$O$7)/SUM(W19:W22),IF(AND(W22&gt;0,W23&gt;0,W29*365&gt;SUM(W22:W23)),(W22*$O$7+W23*$O$8)/SUM(W22:W23),IF(AND(W23&gt;0,W26&gt;0,W29*365&gt;SUM(W23:W26)),(W23*$O$8+W26*$V$7)/SUM(W23:W26),IF(AND(W19&gt;0,W29*365&gt;W19),$H$8,IF(AND(W22&gt;0,W29*365&gt;W22),$O$7,IF(AND(W23&gt;0,W29*365&gt;W23),$O$8,IF(AND(W26&gt;0,W29*365&gt;W26),$V$7)))))))))))))))))))))</f>
        <v>0</v>
      </c>
      <c r="X32" s="24">
        <f t="shared" ref="X32:Z32" si="14">IF(X18&gt;=X29*365,$H$7,IF(AND(X18=0,X19&gt;=X29*365),$H$8,IF(AND(X18+X19=0,X22&gt;=X29*365),$O$7,IF(AND(SUM(X18:X19)+X22=0,X23&gt;=X29*365),$O$8,IF(AND(SUM(X18:X19)+SUM(X22:X23)=0,X26&gt;=X29*365),$V$7,IF(SUM(X18:X19)+SUM(X22:X23)+X26=0,0,IF(AND(X29*365&gt;SUM(X18:X19),SUM(X18:X19)+X22&gt;=X29*365),(X18*$G$7+X19*$H$8+(X22-Y22)*$O$7)/(X29*365),IF(AND(X29*365&gt;X19+X22,X19+SUM(X22:X23)&gt;=X29*365),(X19*$H$8+X22*$O$7+(X23-Y23)*$O$8)/(X29*365),IF(AND(X29*365&gt;SUM(X22:X23),SUM(X22:X23)+X26&gt;=X29*365),(X22*$O$7+X23*$O$8+(X26-Y26)*$V$7)/(X29*365),IF(AND(X29*365&gt;X18,X18+X19&gt;=X29*365),(X18*$G$7+(X19-Y19)*$H$8)/(X29*365),IF(AND(X29*365&gt;X19,X19+X22&gt;=X29*365),(X19*$H$8+(X22-Y22)*$O$7)/(X29*365),IF(AND(X29*365&gt;X22,SUM(X22:X23)&gt;=X29*365),(X22*$O$7+(X23-Y23)*$O$8)/(X29*365),IF(AND(X29*365&gt;X23,X23+X26&gt;=X29*365),(X23*$O$8+(X26-Y26)*$V$7)/(X29*365),IF(AND(X18&gt;0,X19&gt;0,X29*365&gt;SUM(X18:X19)),(X18*$H$7+X19*$H$8)/SUM(X18:X19),IF(AND(X19&gt;0,X22&gt;0,X29*365&gt;SUM(X19:X22)),(X19*$H$8+X22*$O$7)/SUM(X19:X22),IF(AND(X22&gt;0,X23&gt;0,X29*365&gt;SUM(X22:X23)),(X22*$O$7+X23*$O$8)/SUM(X22:X23),IF(AND(X23&gt;0,X26&gt;0,X29*365&gt;SUM(X23:X26)),(X23*$O$8+X26*$V$7)/SUM(X23:X26),IF(AND(X19&gt;0,X29*365&gt;X19),$H$8,IF(AND(X22&gt;0,X29*365&gt;X22),$O$7,IF(AND(X23&gt;0,X29*365&gt;X23),$O$8,IF(AND(X26&gt;0,X29*365&gt;X26),$V$7)))))))))))))))))))))</f>
        <v>0</v>
      </c>
      <c r="Y32" s="24">
        <f>IF(Y18&gt;=Y29*366,$H$7,IF(AND(Y18=0,Y19&gt;=Y29*366),$H$8,IF(AND(Y18+Y19=0,Y22&gt;=Y29*366),$O$7,IF(AND(SUM(Y18:Y19)+Y22=0,Y23&gt;=Y29*366),$O$8,IF(AND(SUM(Y18:Y19)+SUM(Y22:Y23)=0,Y26&gt;=Y29*366),$V$7,IF(SUM(Y18:Y19)+SUM(Y22:Y23)+Y26=0,0,IF(AND(Y29*366&gt;SUM(Y18:Y19),SUM(Y18:Y19)+Y22&gt;=Y29*366),(Y18*$G$7+Y19*$H$8+(Y22-Z22)*$O$7)/(Y29*366),IF(AND(Y29*366&gt;Y19+Y22,Y19+SUM(Y22:Y23)&gt;=Y29*366),(Y19*$H$8+Y22*$O$7+(Y23-Z23)*$O$8)/(Y29*366),IF(AND(Y29*366&gt;SUM(Y22:Y23),SUM(Y22:Y23)+Y26&gt;=Y29*366),(Y22*$O$7+Y23*$O$8+(Y26-Z26)*$V$7)/(Y29*366),IF(AND(Y29*366&gt;Y18,Y18+Y19&gt;=Y29*366),(Y18*$G$7+(Y19-Z19)*$H$8)/(Y29*366),IF(AND(Y29*366&gt;Y19,Y19+Y22&gt;=Y29*366),(Y19*$H$8+(Y22-Z22)*$O$7)/(Y29*366),IF(AND(Y29*366&gt;Y22,SUM(Y22:Y23)&gt;=Y29*366),(Y22*$O$7+(Y23-Z23)*$O$8)/(Y29*366),IF(AND(Y29*366&gt;Y23,Y23+Y26&gt;=Y29*366),(Y23*$O$8+(Y26-Z26)*$V$7)/(Y29*366),IF(AND(Y18&gt;0,Y19&gt;0,Y29*366&gt;SUM(Y18:Y19)),(Y18*$H$7+Y19*$H$8)/SUM(Y18:Y19),IF(AND(Y19&gt;0,Y22&gt;0,Y29*366&gt;SUM(Y19:Y22)),(Y19*$H$8+Y22*$O$7)/SUM(Y19:Y22),IF(AND(Y22&gt;0,Y23&gt;0,Y29*366&gt;SUM(Y22:Y23)),(Y22*$O$7+Y23*$O$8)/SUM(Y22:Y23),IF(AND(Y23&gt;0,Y26&gt;0,Y29*366&gt;SUM(Y23:Y26)),(Y23*$O$8+Y26*$V$7)/SUM(Y23:Y26),IF(AND(Y19&gt;0,Y29*366&gt;Y19),$H$8,IF(AND(Y22&gt;0,Y29*366&gt;Y22),$O$7,IF(AND(Y23&gt;0,Y29*366&gt;Y23),$O$8,IF(AND(Y26&gt;0,Y29*366&gt;Y26),$V$7)))))))))))))))))))))</f>
        <v>0</v>
      </c>
      <c r="Z32" s="24">
        <f t="shared" si="14"/>
        <v>0</v>
      </c>
      <c r="AA32" s="13"/>
    </row>
    <row r="33" spans="2:27" x14ac:dyDescent="0.25">
      <c r="K33" s="26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2:27" ht="15.75" thickBot="1" x14ac:dyDescent="0.3">
      <c r="B34" s="14" t="s">
        <v>82</v>
      </c>
      <c r="K34" s="26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2:27" x14ac:dyDescent="0.25">
      <c r="B35" t="s">
        <v>83</v>
      </c>
      <c r="C35" t="s">
        <v>84</v>
      </c>
      <c r="E35" s="6">
        <f>E31*E30/Auxiliary!$C$4</f>
        <v>8193554.1045366349</v>
      </c>
      <c r="F35" s="6">
        <f>F31*F30/Auxiliary!$C$4</f>
        <v>8697557.5669405553</v>
      </c>
      <c r="G35" s="6">
        <f>G31*G30/Auxiliary!$C$4</f>
        <v>8658772.9639279433</v>
      </c>
      <c r="H35" s="6">
        <f>H31*H30/Auxiliary!$C$4</f>
        <v>6729194.4674172243</v>
      </c>
      <c r="I35" s="6">
        <f>I31*I30/Auxiliary!$C$4</f>
        <v>6996040.5841188794</v>
      </c>
      <c r="J35" s="6">
        <f>J31*J30/Auxiliary!$C$4</f>
        <v>1492604.678844135</v>
      </c>
      <c r="K35" s="15">
        <f>SUM(L35:Z35)</f>
        <v>17876455.792234775</v>
      </c>
      <c r="L35" s="16">
        <f>L30*L31/Auxiliary!$C$4</f>
        <v>1526017.2671971729</v>
      </c>
      <c r="M35" s="16">
        <f>M30*M31/Auxiliary!$C$4</f>
        <v>1526017.2671971729</v>
      </c>
      <c r="N35" s="16">
        <f>N30*N31/Auxiliary!$C$4</f>
        <v>1526017.2671971729</v>
      </c>
      <c r="O35" s="16">
        <f>O30*O31/Auxiliary!$C$4</f>
        <v>1495137.4499168971</v>
      </c>
      <c r="P35" s="16">
        <f>P30*P31/Auxiliary!$C$4</f>
        <v>4568475.5414127409</v>
      </c>
      <c r="Q35" s="16">
        <f>Q30*Q31/Auxiliary!$C$4</f>
        <v>5661673.0233325846</v>
      </c>
      <c r="R35" s="16">
        <f>R30*R31/Auxiliary!$C$4</f>
        <v>1573117.9759810329</v>
      </c>
      <c r="S35" s="16">
        <f>S30*S31/Auxiliary!$C$4</f>
        <v>0</v>
      </c>
      <c r="T35" s="16">
        <f>T30*T31/Auxiliary!$C$4</f>
        <v>0</v>
      </c>
      <c r="U35" s="16">
        <f>U30*U31/Auxiliary!$C$4</f>
        <v>0</v>
      </c>
      <c r="V35" s="16">
        <f>V30*V31/Auxiliary!$C$4</f>
        <v>0</v>
      </c>
      <c r="W35" s="16">
        <f>W30*W31/Auxiliary!$C$4</f>
        <v>0</v>
      </c>
      <c r="X35" s="16">
        <f>X30*X31/Auxiliary!$C$4</f>
        <v>0</v>
      </c>
      <c r="Y35" s="16">
        <f>Y30*Y31/Auxiliary!$C$4</f>
        <v>0</v>
      </c>
      <c r="Z35" s="16">
        <f>Z30*Z31/Auxiliary!$C$4</f>
        <v>0</v>
      </c>
      <c r="AA35" s="16"/>
    </row>
    <row r="36" spans="2:27" x14ac:dyDescent="0.25">
      <c r="B36" t="s">
        <v>85</v>
      </c>
      <c r="C36" t="s">
        <v>84</v>
      </c>
      <c r="E36" s="6">
        <f>E32*E30/Auxiliary!$C$4</f>
        <v>60935.255315251445</v>
      </c>
      <c r="F36" s="6">
        <f>F32*F30/Auxiliary!$C$4</f>
        <v>58541.252854407583</v>
      </c>
      <c r="G36" s="6">
        <f>G32*G30/Auxiliary!$C$4</f>
        <v>53945.529973678058</v>
      </c>
      <c r="H36" s="6">
        <f>H32*H30/Auxiliary!$C$4</f>
        <v>41456.644486766825</v>
      </c>
      <c r="I36" s="6">
        <f>I32*I30/Auxiliary!$C$4</f>
        <v>43181.303126858162</v>
      </c>
      <c r="J36" s="6">
        <f>J32*J30/Auxiliary!$C$4</f>
        <v>9116.9907410479591</v>
      </c>
      <c r="K36" s="15">
        <f>SUM(L36:Z36)</f>
        <v>115096.86820606496</v>
      </c>
      <c r="L36" s="16">
        <f>L30*L32/Auxiliary!$C$4</f>
        <v>9450.9023934370362</v>
      </c>
      <c r="M36" s="16">
        <f>M30*M32/Auxiliary!$C$4</f>
        <v>9450.9023934370362</v>
      </c>
      <c r="N36" s="16">
        <f>N30*N32/Auxiliary!$C$4</f>
        <v>9450.9023934370362</v>
      </c>
      <c r="O36" s="16">
        <f>O30*O32/Auxiliary!$C$4</f>
        <v>9718.3934244598295</v>
      </c>
      <c r="P36" s="16">
        <f>P30*P32/Auxiliary!$C$4</f>
        <v>29695.091019182815</v>
      </c>
      <c r="Q36" s="16">
        <f>Q30*Q32/Auxiliary!$C$4</f>
        <v>36896.730823053345</v>
      </c>
      <c r="R36" s="16">
        <f>R30*R32/Auxiliary!$C$4</f>
        <v>10433.945759057871</v>
      </c>
      <c r="S36" s="16">
        <f>S30*S32/Auxiliary!$C$4</f>
        <v>0</v>
      </c>
      <c r="T36" s="16">
        <f>T30*T32/Auxiliary!$C$4</f>
        <v>0</v>
      </c>
      <c r="U36" s="16">
        <f>U30*U32/Auxiliary!$C$4</f>
        <v>0</v>
      </c>
      <c r="V36" s="16">
        <f>V30*V32/Auxiliary!$C$4</f>
        <v>0</v>
      </c>
      <c r="W36" s="16">
        <f>W30*W32/Auxiliary!$C$4</f>
        <v>0</v>
      </c>
      <c r="X36" s="16">
        <f>X30*X32/Auxiliary!$C$4</f>
        <v>0</v>
      </c>
      <c r="Y36" s="16">
        <f>Y30*Y32/Auxiliary!$C$4</f>
        <v>0</v>
      </c>
      <c r="Z36" s="16">
        <f>Z30*Z32/Auxiliary!$C$4</f>
        <v>0</v>
      </c>
      <c r="AA36" s="16"/>
    </row>
    <row r="37" spans="2:27" x14ac:dyDescent="0.25">
      <c r="K37" s="2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2:27" ht="15.75" thickBot="1" x14ac:dyDescent="0.3">
      <c r="B38" s="14" t="s">
        <v>86</v>
      </c>
      <c r="K38" s="2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2:27" x14ac:dyDescent="0.25">
      <c r="B39" t="s">
        <v>83</v>
      </c>
      <c r="C39" t="s">
        <v>70</v>
      </c>
      <c r="E39" s="21">
        <v>0.92</v>
      </c>
      <c r="F39" s="18">
        <v>0.92</v>
      </c>
      <c r="G39" s="18">
        <v>0.91</v>
      </c>
      <c r="H39" s="18">
        <v>0.92</v>
      </c>
      <c r="I39" s="18">
        <v>0.92</v>
      </c>
      <c r="J39" s="18">
        <v>0.91</v>
      </c>
      <c r="K39" s="27">
        <f>AVERAGE(L39:Z39)</f>
        <v>0.92</v>
      </c>
      <c r="L39" s="34">
        <v>0.92</v>
      </c>
      <c r="M39" s="34">
        <v>0.92</v>
      </c>
      <c r="N39" s="34">
        <v>0.92</v>
      </c>
      <c r="O39" s="34">
        <v>0.92</v>
      </c>
      <c r="P39" s="34">
        <v>0.92</v>
      </c>
      <c r="Q39" s="34">
        <v>0.92</v>
      </c>
      <c r="R39" s="34">
        <v>0.92</v>
      </c>
      <c r="S39" s="34">
        <v>0.92</v>
      </c>
      <c r="T39" s="34">
        <v>0.92</v>
      </c>
      <c r="U39" s="34">
        <v>0.92</v>
      </c>
      <c r="V39" s="34">
        <v>0.92</v>
      </c>
      <c r="W39" s="34">
        <v>0.92</v>
      </c>
      <c r="X39" s="34">
        <v>0.92</v>
      </c>
      <c r="Y39" s="34">
        <v>0.92</v>
      </c>
      <c r="Z39" s="34">
        <v>0.92</v>
      </c>
      <c r="AA39" s="13"/>
    </row>
    <row r="40" spans="2:27" x14ac:dyDescent="0.25">
      <c r="B40" t="s">
        <v>85</v>
      </c>
      <c r="C40" t="s">
        <v>70</v>
      </c>
      <c r="E40" s="21">
        <v>0.92</v>
      </c>
      <c r="F40" s="18">
        <v>0.92</v>
      </c>
      <c r="G40" s="18">
        <v>0.91</v>
      </c>
      <c r="H40" s="18">
        <v>0.91</v>
      </c>
      <c r="I40" s="18">
        <v>0.91</v>
      </c>
      <c r="J40" s="18">
        <v>0.9</v>
      </c>
      <c r="K40" s="27">
        <f>AVERAGE(L40:Z40)</f>
        <v>0.91</v>
      </c>
      <c r="L40" s="28">
        <f>91%</f>
        <v>0.91</v>
      </c>
      <c r="M40" s="28">
        <f>91%</f>
        <v>0.91</v>
      </c>
      <c r="N40" s="28">
        <f>91%</f>
        <v>0.91</v>
      </c>
      <c r="O40" s="28">
        <f>91%</f>
        <v>0.91</v>
      </c>
      <c r="P40" s="28">
        <f>91%</f>
        <v>0.91</v>
      </c>
      <c r="Q40" s="28">
        <f>91%</f>
        <v>0.91</v>
      </c>
      <c r="R40" s="28">
        <f>91%</f>
        <v>0.91</v>
      </c>
      <c r="S40" s="28">
        <f>91%</f>
        <v>0.91</v>
      </c>
      <c r="T40" s="28">
        <f>91%</f>
        <v>0.91</v>
      </c>
      <c r="U40" s="28">
        <f>91%</f>
        <v>0.91</v>
      </c>
      <c r="V40" s="28">
        <f>91%</f>
        <v>0.91</v>
      </c>
      <c r="W40" s="28">
        <f>91%</f>
        <v>0.91</v>
      </c>
      <c r="X40" s="28">
        <f>91%</f>
        <v>0.91</v>
      </c>
      <c r="Y40" s="28">
        <f>91%</f>
        <v>0.91</v>
      </c>
      <c r="Z40" s="28">
        <f>91%</f>
        <v>0.91</v>
      </c>
      <c r="AA40" s="13"/>
    </row>
    <row r="41" spans="2:27" x14ac:dyDescent="0.25">
      <c r="K41" s="26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2:27" ht="15.75" thickBot="1" x14ac:dyDescent="0.3">
      <c r="B42" s="14" t="s">
        <v>87</v>
      </c>
      <c r="K42" s="26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2:27" x14ac:dyDescent="0.25">
      <c r="B43" t="s">
        <v>83</v>
      </c>
      <c r="C43" t="s">
        <v>84</v>
      </c>
      <c r="E43" s="6">
        <v>7526556</v>
      </c>
      <c r="F43" s="6">
        <v>7979634</v>
      </c>
      <c r="G43" s="6">
        <v>7868478</v>
      </c>
      <c r="H43" s="6">
        <v>6165606</v>
      </c>
      <c r="I43" s="6">
        <v>6425029</v>
      </c>
      <c r="J43" s="6">
        <v>1358189</v>
      </c>
      <c r="K43" s="15">
        <f>SUM(L43:Z43)</f>
        <v>16446339.328855993</v>
      </c>
      <c r="L43" s="16">
        <f>L39*L35</f>
        <v>1403935.885821399</v>
      </c>
      <c r="M43" s="16">
        <f t="shared" ref="M43:Z43" si="15">M39*M35</f>
        <v>1403935.885821399</v>
      </c>
      <c r="N43" s="16">
        <f t="shared" si="15"/>
        <v>1403935.885821399</v>
      </c>
      <c r="O43" s="16">
        <f t="shared" si="15"/>
        <v>1375526.4539235453</v>
      </c>
      <c r="P43" s="16">
        <f t="shared" si="15"/>
        <v>4202997.498099722</v>
      </c>
      <c r="Q43" s="16">
        <f t="shared" si="15"/>
        <v>5208739.1814659778</v>
      </c>
      <c r="R43" s="16">
        <f t="shared" si="15"/>
        <v>1447268.5379025503</v>
      </c>
      <c r="S43" s="16">
        <f t="shared" si="15"/>
        <v>0</v>
      </c>
      <c r="T43" s="16">
        <f t="shared" si="15"/>
        <v>0</v>
      </c>
      <c r="U43" s="16">
        <f t="shared" si="15"/>
        <v>0</v>
      </c>
      <c r="V43" s="16">
        <f t="shared" si="15"/>
        <v>0</v>
      </c>
      <c r="W43" s="16">
        <f t="shared" si="15"/>
        <v>0</v>
      </c>
      <c r="X43" s="16">
        <f t="shared" si="15"/>
        <v>0</v>
      </c>
      <c r="Y43" s="16">
        <f t="shared" si="15"/>
        <v>0</v>
      </c>
      <c r="Z43" s="16">
        <f t="shared" si="15"/>
        <v>0</v>
      </c>
      <c r="AA43" s="13"/>
    </row>
    <row r="44" spans="2:27" x14ac:dyDescent="0.25">
      <c r="B44" t="s">
        <v>85</v>
      </c>
      <c r="C44" t="s">
        <v>84</v>
      </c>
      <c r="E44" s="6">
        <v>55950</v>
      </c>
      <c r="F44" s="6">
        <v>53517</v>
      </c>
      <c r="G44" s="6">
        <v>48880</v>
      </c>
      <c r="H44" s="6">
        <v>37805</v>
      </c>
      <c r="I44" s="6">
        <v>39406</v>
      </c>
      <c r="J44" s="6">
        <v>8239</v>
      </c>
      <c r="K44" s="15">
        <f>SUM(L44:Z44)</f>
        <v>104738.15006751913</v>
      </c>
      <c r="L44" s="16">
        <f>L40*L36</f>
        <v>8600.3211780277034</v>
      </c>
      <c r="M44" s="16">
        <f t="shared" ref="M44:Z44" si="16">M40*M36</f>
        <v>8600.3211780277034</v>
      </c>
      <c r="N44" s="16">
        <f t="shared" si="16"/>
        <v>8600.3211780277034</v>
      </c>
      <c r="O44" s="16">
        <f t="shared" si="16"/>
        <v>8843.738016258445</v>
      </c>
      <c r="P44" s="16">
        <f t="shared" si="16"/>
        <v>27022.532827456362</v>
      </c>
      <c r="Q44" s="16">
        <f t="shared" si="16"/>
        <v>33576.025048978547</v>
      </c>
      <c r="R44" s="16">
        <f t="shared" si="16"/>
        <v>9494.8906407426639</v>
      </c>
      <c r="S44" s="16">
        <f t="shared" si="16"/>
        <v>0</v>
      </c>
      <c r="T44" s="16">
        <f t="shared" si="16"/>
        <v>0</v>
      </c>
      <c r="U44" s="16">
        <f t="shared" si="16"/>
        <v>0</v>
      </c>
      <c r="V44" s="16">
        <f t="shared" si="16"/>
        <v>0</v>
      </c>
      <c r="W44" s="16">
        <f t="shared" si="16"/>
        <v>0</v>
      </c>
      <c r="X44" s="16">
        <f t="shared" si="16"/>
        <v>0</v>
      </c>
      <c r="Y44" s="16">
        <f t="shared" si="16"/>
        <v>0</v>
      </c>
      <c r="Z44" s="16">
        <f t="shared" si="16"/>
        <v>0</v>
      </c>
      <c r="AA44" s="13"/>
    </row>
    <row r="45" spans="2:27" x14ac:dyDescent="0.25">
      <c r="K45" s="26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2:27" ht="15.75" thickBot="1" x14ac:dyDescent="0.3">
      <c r="B46" s="14" t="s">
        <v>91</v>
      </c>
      <c r="K46" s="26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2:27" x14ac:dyDescent="0.25">
      <c r="B47" t="s">
        <v>83</v>
      </c>
      <c r="C47" t="s">
        <v>70</v>
      </c>
      <c r="E47" s="18">
        <f>SUM($E$62:$E$64)/($E$14*7481616+$E$15*55412)</f>
        <v>0.93824465757793329</v>
      </c>
      <c r="F47" s="18">
        <f>SUM($F$62:$F$64)/($F$14*7921345+$F$15*53255)</f>
        <v>0.93371842314382092</v>
      </c>
      <c r="G47" s="18">
        <f>SUM($G$62:$G$64)/($G$14*7849438+$G$15*48731)</f>
        <v>0.9627765572110093</v>
      </c>
      <c r="H47" s="18">
        <f>SUM($H$62:$H$64)/($H$14*6225433+$H$15*38391)</f>
        <v>0.97035108355263944</v>
      </c>
      <c r="I47" s="18">
        <f>SUM($I$62:$I$64)/($I$14*6433808+$I$15*39404)</f>
        <v>0.94611134170739108</v>
      </c>
      <c r="J47" s="18">
        <f>SUM($J$62:$J$64)/($J$14*1316193+$J$15*7952)</f>
        <v>0.99816312374927962</v>
      </c>
      <c r="K47" s="64">
        <f>AVERAGE(L47:Z47)</f>
        <v>0.96000000000000041</v>
      </c>
      <c r="L47" s="34">
        <v>0.96</v>
      </c>
      <c r="M47" s="34">
        <f>L47</f>
        <v>0.96</v>
      </c>
      <c r="N47" s="34">
        <f t="shared" ref="N47:Z47" si="17">M47</f>
        <v>0.96</v>
      </c>
      <c r="O47" s="34">
        <f t="shared" si="17"/>
        <v>0.96</v>
      </c>
      <c r="P47" s="34">
        <f t="shared" si="17"/>
        <v>0.96</v>
      </c>
      <c r="Q47" s="34">
        <f t="shared" si="17"/>
        <v>0.96</v>
      </c>
      <c r="R47" s="34">
        <f t="shared" si="17"/>
        <v>0.96</v>
      </c>
      <c r="S47" s="34">
        <f t="shared" si="17"/>
        <v>0.96</v>
      </c>
      <c r="T47" s="34">
        <f t="shared" si="17"/>
        <v>0.96</v>
      </c>
      <c r="U47" s="34">
        <f t="shared" si="17"/>
        <v>0.96</v>
      </c>
      <c r="V47" s="34">
        <f t="shared" si="17"/>
        <v>0.96</v>
      </c>
      <c r="W47" s="34">
        <f t="shared" si="17"/>
        <v>0.96</v>
      </c>
      <c r="X47" s="34">
        <f t="shared" si="17"/>
        <v>0.96</v>
      </c>
      <c r="Y47" s="34">
        <f t="shared" si="17"/>
        <v>0.96</v>
      </c>
      <c r="Z47" s="34">
        <f t="shared" si="17"/>
        <v>0.96</v>
      </c>
      <c r="AA47" s="13"/>
    </row>
    <row r="48" spans="2:27" x14ac:dyDescent="0.25">
      <c r="B48" t="s">
        <v>85</v>
      </c>
      <c r="C48" t="s">
        <v>70</v>
      </c>
      <c r="E48" s="18">
        <f>SUM($E$62:$E$64)/($E$14*7481616+$E$15*55412)</f>
        <v>0.93824465757793329</v>
      </c>
      <c r="F48" s="18">
        <f>SUM($F$62:$F$64)/($F$14*7921345+$F$15*53255)</f>
        <v>0.93371842314382092</v>
      </c>
      <c r="G48" s="18">
        <f>SUM($G$62:$G$64)/($G$14*7849438+$G$15*48731)</f>
        <v>0.9627765572110093</v>
      </c>
      <c r="H48" s="18">
        <f>SUM($H$62:$H$64)/($H$14*6225433+$H$15*38391)</f>
        <v>0.97035108355263944</v>
      </c>
      <c r="I48" s="18">
        <f>SUM($I$62:$I$64)/($I$14*6433808+$I$15*39404)</f>
        <v>0.94611134170739108</v>
      </c>
      <c r="J48" s="18">
        <f>SUM($J$62:$J$64)/($J$14*1316193+$J$15*7952)</f>
        <v>0.99816312374927962</v>
      </c>
      <c r="K48" s="64">
        <f>AVERAGE(L48:Z48)</f>
        <v>0.96000000000000041</v>
      </c>
      <c r="L48" s="28">
        <f>96%</f>
        <v>0.96</v>
      </c>
      <c r="M48" s="28">
        <f>96%</f>
        <v>0.96</v>
      </c>
      <c r="N48" s="28">
        <f>96%</f>
        <v>0.96</v>
      </c>
      <c r="O48" s="28">
        <f>96%</f>
        <v>0.96</v>
      </c>
      <c r="P48" s="28">
        <f>96%</f>
        <v>0.96</v>
      </c>
      <c r="Q48" s="28">
        <f>96%</f>
        <v>0.96</v>
      </c>
      <c r="R48" s="28">
        <f>96%</f>
        <v>0.96</v>
      </c>
      <c r="S48" s="28">
        <f>96%</f>
        <v>0.96</v>
      </c>
      <c r="T48" s="28">
        <f>96%</f>
        <v>0.96</v>
      </c>
      <c r="U48" s="28">
        <f>96%</f>
        <v>0.96</v>
      </c>
      <c r="V48" s="28">
        <f>96%</f>
        <v>0.96</v>
      </c>
      <c r="W48" s="28">
        <f>96%</f>
        <v>0.96</v>
      </c>
      <c r="X48" s="28">
        <f>96%</f>
        <v>0.96</v>
      </c>
      <c r="Y48" s="28">
        <f>96%</f>
        <v>0.96</v>
      </c>
      <c r="Z48" s="28">
        <f>96%</f>
        <v>0.96</v>
      </c>
      <c r="AA48" s="13"/>
    </row>
    <row r="49" spans="2:27" x14ac:dyDescent="0.25">
      <c r="K49" s="26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2:27" ht="15.75" thickBot="1" x14ac:dyDescent="0.3">
      <c r="B50" s="14" t="s">
        <v>92</v>
      </c>
      <c r="K50" s="26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2:27" x14ac:dyDescent="0.25">
      <c r="B51" t="s">
        <v>83</v>
      </c>
      <c r="C51" t="s">
        <v>84</v>
      </c>
      <c r="E51" s="6">
        <f>E43*E47</f>
        <v>7061750.9569611391</v>
      </c>
      <c r="F51" s="6">
        <f t="shared" ref="F51:J52" si="18">F43*F47</f>
        <v>7450731.27574482</v>
      </c>
      <c r="G51" s="6">
        <f t="shared" si="18"/>
        <v>7575586.1593305683</v>
      </c>
      <c r="H51" s="6">
        <f t="shared" si="18"/>
        <v>5982802.4628586555</v>
      </c>
      <c r="I51" s="6">
        <f t="shared" si="18"/>
        <v>6078792.8076988971</v>
      </c>
      <c r="J51" s="6">
        <f t="shared" si="18"/>
        <v>1355694.1748819104</v>
      </c>
      <c r="K51" s="15">
        <f>SUM(L51:Z51)</f>
        <v>15788485.755701752</v>
      </c>
      <c r="L51" s="16">
        <f>L43*L47</f>
        <v>1347778.4503885431</v>
      </c>
      <c r="M51" s="16">
        <f t="shared" ref="M51:Z51" si="19">M43*M47</f>
        <v>1347778.4503885431</v>
      </c>
      <c r="N51" s="16">
        <f t="shared" si="19"/>
        <v>1347778.4503885431</v>
      </c>
      <c r="O51" s="16">
        <f t="shared" si="19"/>
        <v>1320505.3957666035</v>
      </c>
      <c r="P51" s="16">
        <f t="shared" si="19"/>
        <v>4034877.5981757329</v>
      </c>
      <c r="Q51" s="16">
        <f t="shared" si="19"/>
        <v>5000389.6142073385</v>
      </c>
      <c r="R51" s="16">
        <f t="shared" si="19"/>
        <v>1389377.7963864482</v>
      </c>
      <c r="S51" s="16">
        <f t="shared" si="19"/>
        <v>0</v>
      </c>
      <c r="T51" s="16">
        <f t="shared" si="19"/>
        <v>0</v>
      </c>
      <c r="U51" s="16">
        <f t="shared" si="19"/>
        <v>0</v>
      </c>
      <c r="V51" s="16">
        <f t="shared" si="19"/>
        <v>0</v>
      </c>
      <c r="W51" s="16">
        <f t="shared" si="19"/>
        <v>0</v>
      </c>
      <c r="X51" s="16">
        <f t="shared" si="19"/>
        <v>0</v>
      </c>
      <c r="Y51" s="16">
        <f t="shared" si="19"/>
        <v>0</v>
      </c>
      <c r="Z51" s="16">
        <f t="shared" si="19"/>
        <v>0</v>
      </c>
      <c r="AA51" s="13"/>
    </row>
    <row r="52" spans="2:27" x14ac:dyDescent="0.25">
      <c r="B52" t="s">
        <v>85</v>
      </c>
      <c r="C52" t="s">
        <v>84</v>
      </c>
      <c r="E52" s="6">
        <f>E44*E48</f>
        <v>52494.788591485369</v>
      </c>
      <c r="F52" s="6">
        <f t="shared" si="18"/>
        <v>49969.808851387861</v>
      </c>
      <c r="G52" s="6">
        <f t="shared" si="18"/>
        <v>47060.518116474137</v>
      </c>
      <c r="H52" s="6">
        <f t="shared" si="18"/>
        <v>36684.122713707533</v>
      </c>
      <c r="I52" s="6">
        <f t="shared" si="18"/>
        <v>37282.463531321453</v>
      </c>
      <c r="J52" s="6">
        <f t="shared" si="18"/>
        <v>8223.8659765703142</v>
      </c>
      <c r="K52" s="15">
        <f>SUM(L52:Z52)</f>
        <v>100548.62406481834</v>
      </c>
      <c r="L52" s="16">
        <f>L44*L48</f>
        <v>8256.3083309065951</v>
      </c>
      <c r="M52" s="16">
        <f t="shared" ref="M52:Z52" si="20">M44*M48</f>
        <v>8256.3083309065951</v>
      </c>
      <c r="N52" s="16">
        <f t="shared" si="20"/>
        <v>8256.3083309065951</v>
      </c>
      <c r="O52" s="16">
        <f t="shared" si="20"/>
        <v>8489.9884956081078</v>
      </c>
      <c r="P52" s="16">
        <f t="shared" si="20"/>
        <v>25941.631514358105</v>
      </c>
      <c r="Q52" s="16">
        <f t="shared" si="20"/>
        <v>32232.984047019403</v>
      </c>
      <c r="R52" s="16">
        <f t="shared" si="20"/>
        <v>9115.0950151129564</v>
      </c>
      <c r="S52" s="16">
        <f t="shared" si="20"/>
        <v>0</v>
      </c>
      <c r="T52" s="16">
        <f t="shared" si="20"/>
        <v>0</v>
      </c>
      <c r="U52" s="16">
        <f t="shared" si="20"/>
        <v>0</v>
      </c>
      <c r="V52" s="16">
        <f t="shared" si="20"/>
        <v>0</v>
      </c>
      <c r="W52" s="16">
        <f t="shared" si="20"/>
        <v>0</v>
      </c>
      <c r="X52" s="16">
        <f t="shared" si="20"/>
        <v>0</v>
      </c>
      <c r="Y52" s="16">
        <f t="shared" si="20"/>
        <v>0</v>
      </c>
      <c r="Z52" s="16">
        <f t="shared" si="20"/>
        <v>0</v>
      </c>
      <c r="AA52" s="13"/>
    </row>
    <row r="53" spans="2:27" x14ac:dyDescent="0.25">
      <c r="K53" s="26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2:27" ht="15.75" thickBot="1" x14ac:dyDescent="0.3">
      <c r="B54" s="14" t="s">
        <v>155</v>
      </c>
      <c r="K54" s="26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2:27" x14ac:dyDescent="0.25">
      <c r="B55" t="s">
        <v>83</v>
      </c>
      <c r="C55" t="s">
        <v>93</v>
      </c>
      <c r="E55" s="6">
        <f>E51*E14</f>
        <v>120261618.79704821</v>
      </c>
      <c r="F55" s="6">
        <f t="shared" ref="F55:J56" si="21">F51*F14</f>
        <v>117274510.28022347</v>
      </c>
      <c r="G55" s="6">
        <f t="shared" si="21"/>
        <v>122724495.7811552</v>
      </c>
      <c r="H55" s="6">
        <f t="shared" si="21"/>
        <v>127194380.36037503</v>
      </c>
      <c r="I55" s="6">
        <f t="shared" si="21"/>
        <v>152881639.11362725</v>
      </c>
      <c r="J55" s="6">
        <f t="shared" si="21"/>
        <v>32902697.624383967</v>
      </c>
      <c r="K55" s="15">
        <f>SUM(L55:Z55)</f>
        <v>383929916.28943551</v>
      </c>
      <c r="L55" s="16">
        <f>L51*L14</f>
        <v>29651125.908547949</v>
      </c>
      <c r="M55" s="16">
        <f t="shared" ref="M55:Z55" si="22">M51*M14</f>
        <v>29651125.908547949</v>
      </c>
      <c r="N55" s="16">
        <f t="shared" si="22"/>
        <v>30998904.358936492</v>
      </c>
      <c r="O55" s="16">
        <f t="shared" si="22"/>
        <v>33012634.894165087</v>
      </c>
      <c r="P55" s="16">
        <f t="shared" si="22"/>
        <v>100871939.95439333</v>
      </c>
      <c r="Q55" s="16">
        <f t="shared" si="22"/>
        <v>125009740.35518347</v>
      </c>
      <c r="R55" s="16">
        <f t="shared" si="22"/>
        <v>34734444.909661204</v>
      </c>
      <c r="S55" s="16">
        <f t="shared" si="22"/>
        <v>0</v>
      </c>
      <c r="T55" s="16">
        <f t="shared" si="22"/>
        <v>0</v>
      </c>
      <c r="U55" s="16">
        <f t="shared" si="22"/>
        <v>0</v>
      </c>
      <c r="V55" s="16">
        <f t="shared" si="22"/>
        <v>0</v>
      </c>
      <c r="W55" s="16">
        <f t="shared" si="22"/>
        <v>0</v>
      </c>
      <c r="X55" s="16">
        <f t="shared" si="22"/>
        <v>0</v>
      </c>
      <c r="Y55" s="16">
        <f t="shared" si="22"/>
        <v>0</v>
      </c>
      <c r="Z55" s="16">
        <f t="shared" si="22"/>
        <v>0</v>
      </c>
      <c r="AA55" s="13"/>
    </row>
    <row r="56" spans="2:27" x14ac:dyDescent="0.25">
      <c r="B56" s="8" t="s">
        <v>85</v>
      </c>
      <c r="C56" t="s">
        <v>93</v>
      </c>
      <c r="E56" s="6">
        <f>E52*E15</f>
        <v>65985949.259497106</v>
      </c>
      <c r="F56" s="6">
        <f t="shared" si="21"/>
        <v>63611566.667816751</v>
      </c>
      <c r="G56" s="6">
        <f t="shared" si="21"/>
        <v>65555301.736248471</v>
      </c>
      <c r="H56" s="6">
        <f t="shared" si="21"/>
        <v>65517843.166681655</v>
      </c>
      <c r="I56" s="6">
        <f t="shared" si="21"/>
        <v>67033869.429315969</v>
      </c>
      <c r="J56" s="6">
        <f t="shared" si="21"/>
        <v>15543106.695717894</v>
      </c>
      <c r="K56" s="15">
        <f t="shared" ref="K56:K57" si="23">SUM(L56:Z56)</f>
        <v>178189295.36277691</v>
      </c>
      <c r="L56" s="16">
        <f>L52*L15</f>
        <v>15439296.578795332</v>
      </c>
      <c r="M56" s="16">
        <f t="shared" ref="M56:Z56" si="24">M52*M15</f>
        <v>15274170.412177201</v>
      </c>
      <c r="N56" s="16">
        <f t="shared" si="24"/>
        <v>14861354.995631872</v>
      </c>
      <c r="O56" s="16">
        <f t="shared" si="24"/>
        <v>14857479.867314188</v>
      </c>
      <c r="P56" s="16">
        <f t="shared" si="24"/>
        <v>45397855.150126681</v>
      </c>
      <c r="Q56" s="16">
        <f t="shared" si="24"/>
        <v>56407722.082283959</v>
      </c>
      <c r="R56" s="16">
        <f t="shared" si="24"/>
        <v>15951416.276447674</v>
      </c>
      <c r="S56" s="16">
        <f t="shared" si="24"/>
        <v>0</v>
      </c>
      <c r="T56" s="16">
        <f t="shared" si="24"/>
        <v>0</v>
      </c>
      <c r="U56" s="16">
        <f t="shared" si="24"/>
        <v>0</v>
      </c>
      <c r="V56" s="16">
        <f t="shared" si="24"/>
        <v>0</v>
      </c>
      <c r="W56" s="16">
        <f t="shared" si="24"/>
        <v>0</v>
      </c>
      <c r="X56" s="16">
        <f t="shared" si="24"/>
        <v>0</v>
      </c>
      <c r="Y56" s="16">
        <f t="shared" si="24"/>
        <v>0</v>
      </c>
      <c r="Z56" s="16">
        <f t="shared" si="24"/>
        <v>0</v>
      </c>
      <c r="AA56" s="13"/>
    </row>
    <row r="57" spans="2:27" x14ac:dyDescent="0.25">
      <c r="B57" t="s">
        <v>19</v>
      </c>
      <c r="C57" t="s">
        <v>93</v>
      </c>
      <c r="E57" s="6">
        <f>SUM(E55:E56)</f>
        <v>186247568.05654532</v>
      </c>
      <c r="F57" s="6">
        <f t="shared" ref="F57:J57" si="25">SUM(F55:F56)</f>
        <v>180886076.94804022</v>
      </c>
      <c r="G57" s="6">
        <f t="shared" si="25"/>
        <v>188279797.51740366</v>
      </c>
      <c r="H57" s="6">
        <f t="shared" si="25"/>
        <v>192712223.52705669</v>
      </c>
      <c r="I57" s="6">
        <f t="shared" si="25"/>
        <v>219915508.54294324</v>
      </c>
      <c r="J57" s="6">
        <f t="shared" si="25"/>
        <v>48445804.320101857</v>
      </c>
      <c r="K57" s="15">
        <f t="shared" si="23"/>
        <v>562119211.65221238</v>
      </c>
      <c r="L57" s="16">
        <f>SUM(L55:L56)</f>
        <v>45090422.487343282</v>
      </c>
      <c r="M57" s="16">
        <f t="shared" ref="M57:Z57" si="26">SUM(M55:M56)</f>
        <v>44925296.32072515</v>
      </c>
      <c r="N57" s="16">
        <f t="shared" si="26"/>
        <v>45860259.354568362</v>
      </c>
      <c r="O57" s="16">
        <f t="shared" si="26"/>
        <v>47870114.761479273</v>
      </c>
      <c r="P57" s="16">
        <f t="shared" si="26"/>
        <v>146269795.10452002</v>
      </c>
      <c r="Q57" s="16">
        <f t="shared" si="26"/>
        <v>181417462.43746743</v>
      </c>
      <c r="R57" s="16">
        <f t="shared" si="26"/>
        <v>50685861.18610888</v>
      </c>
      <c r="S57" s="16">
        <f t="shared" si="26"/>
        <v>0</v>
      </c>
      <c r="T57" s="16">
        <f t="shared" si="26"/>
        <v>0</v>
      </c>
      <c r="U57" s="16">
        <f t="shared" si="26"/>
        <v>0</v>
      </c>
      <c r="V57" s="16">
        <f t="shared" si="26"/>
        <v>0</v>
      </c>
      <c r="W57" s="16">
        <f t="shared" si="26"/>
        <v>0</v>
      </c>
      <c r="X57" s="16">
        <f t="shared" si="26"/>
        <v>0</v>
      </c>
      <c r="Y57" s="16">
        <f t="shared" si="26"/>
        <v>0</v>
      </c>
      <c r="Z57" s="16">
        <f t="shared" si="26"/>
        <v>0</v>
      </c>
      <c r="AA57" s="13"/>
    </row>
    <row r="58" spans="2:27" x14ac:dyDescent="0.25">
      <c r="K58" s="26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2:27" x14ac:dyDescent="0.25">
      <c r="B59" t="s">
        <v>94</v>
      </c>
      <c r="C59" t="s">
        <v>70</v>
      </c>
      <c r="E59" s="44">
        <f>E55/E57</f>
        <v>0.64570839797777346</v>
      </c>
      <c r="F59" s="44">
        <f t="shared" ref="F59:J59" si="27">F55/F57</f>
        <v>0.64833353820764628</v>
      </c>
      <c r="G59" s="44">
        <f t="shared" si="27"/>
        <v>0.65181977779539069</v>
      </c>
      <c r="H59" s="44">
        <f t="shared" si="27"/>
        <v>0.6600223796520982</v>
      </c>
      <c r="I59" s="44">
        <f t="shared" si="27"/>
        <v>0.6951835281038119</v>
      </c>
      <c r="J59" s="44">
        <f t="shared" si="27"/>
        <v>0.67916506054852488</v>
      </c>
      <c r="K59" s="65">
        <f>AVERAGE(L59:Z59)</f>
        <v>0.67816632946433564</v>
      </c>
      <c r="L59" s="43">
        <f>IFERROR(L55/L57,"")</f>
        <v>0.65759255010021056</v>
      </c>
      <c r="M59" s="43">
        <f t="shared" ref="M59:Z59" si="28">IFERROR(M55/M57,"")</f>
        <v>0.66000957894337031</v>
      </c>
      <c r="N59" s="43">
        <f t="shared" si="28"/>
        <v>0.67594263083574435</v>
      </c>
      <c r="O59" s="43">
        <f t="shared" si="28"/>
        <v>0.68962932423822199</v>
      </c>
      <c r="P59" s="43">
        <f t="shared" si="28"/>
        <v>0.68962932423822199</v>
      </c>
      <c r="Q59" s="43">
        <f t="shared" si="28"/>
        <v>0.68907225729867616</v>
      </c>
      <c r="R59" s="43">
        <f t="shared" si="28"/>
        <v>0.68528864059590311</v>
      </c>
      <c r="S59" s="43" t="str">
        <f t="shared" si="28"/>
        <v/>
      </c>
      <c r="T59" s="43" t="str">
        <f t="shared" si="28"/>
        <v/>
      </c>
      <c r="U59" s="43" t="str">
        <f t="shared" si="28"/>
        <v/>
      </c>
      <c r="V59" s="43" t="str">
        <f t="shared" si="28"/>
        <v/>
      </c>
      <c r="W59" s="43" t="str">
        <f t="shared" si="28"/>
        <v/>
      </c>
      <c r="X59" s="43" t="str">
        <f t="shared" si="28"/>
        <v/>
      </c>
      <c r="Y59" s="43" t="str">
        <f t="shared" si="28"/>
        <v/>
      </c>
      <c r="Z59" s="43" t="str">
        <f t="shared" si="28"/>
        <v/>
      </c>
      <c r="AA59" s="13"/>
    </row>
    <row r="60" spans="2:27" x14ac:dyDescent="0.25">
      <c r="K60" s="26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2:27" ht="15.75" thickBot="1" x14ac:dyDescent="0.3">
      <c r="B61" s="14" t="s">
        <v>95</v>
      </c>
      <c r="K61" s="26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2:27" x14ac:dyDescent="0.25">
      <c r="B62" t="s">
        <v>96</v>
      </c>
      <c r="C62" t="s">
        <v>93</v>
      </c>
      <c r="E62" s="6"/>
      <c r="F62" s="6"/>
      <c r="G62" s="6">
        <v>-990000</v>
      </c>
      <c r="H62" s="6">
        <v>406000</v>
      </c>
      <c r="I62" s="6">
        <v>-251000</v>
      </c>
      <c r="J62" s="6">
        <v>872000</v>
      </c>
      <c r="K62" s="15">
        <f>SUM(L62:Z62)</f>
        <v>750000</v>
      </c>
      <c r="L62" s="16">
        <f>IF(L30&gt;0,200000/4,0)</f>
        <v>50000</v>
      </c>
      <c r="M62" s="16">
        <f t="shared" ref="M62:O62" si="29">IF(M30&gt;0,200000/4,0)</f>
        <v>50000</v>
      </c>
      <c r="N62" s="16">
        <f t="shared" si="29"/>
        <v>50000</v>
      </c>
      <c r="O62" s="16">
        <f t="shared" si="29"/>
        <v>50000</v>
      </c>
      <c r="P62" s="16">
        <f>IF(P30&gt;0,200000*0.75,0)</f>
        <v>150000</v>
      </c>
      <c r="Q62" s="16">
        <f>IF(Q30&gt;0,200000,0)</f>
        <v>200000</v>
      </c>
      <c r="R62" s="16">
        <f t="shared" ref="R62:Z62" si="30">IF(R30&gt;0,200000,0)</f>
        <v>200000</v>
      </c>
      <c r="S62" s="16">
        <f t="shared" si="30"/>
        <v>0</v>
      </c>
      <c r="T62" s="16">
        <f t="shared" si="30"/>
        <v>0</v>
      </c>
      <c r="U62" s="16">
        <f t="shared" si="30"/>
        <v>0</v>
      </c>
      <c r="V62" s="16">
        <f t="shared" si="30"/>
        <v>0</v>
      </c>
      <c r="W62" s="16">
        <f t="shared" si="30"/>
        <v>0</v>
      </c>
      <c r="X62" s="16">
        <f t="shared" si="30"/>
        <v>0</v>
      </c>
      <c r="Y62" s="16">
        <f t="shared" si="30"/>
        <v>0</v>
      </c>
      <c r="Z62" s="16">
        <f t="shared" si="30"/>
        <v>0</v>
      </c>
      <c r="AA62" s="16"/>
    </row>
    <row r="63" spans="2:27" x14ac:dyDescent="0.25">
      <c r="B63" s="8" t="s">
        <v>97</v>
      </c>
      <c r="C63" t="s">
        <v>93</v>
      </c>
      <c r="E63" s="6">
        <v>4899000</v>
      </c>
      <c r="F63" s="6">
        <v>3871000</v>
      </c>
      <c r="G63" s="6">
        <v>4468000</v>
      </c>
      <c r="H63" s="6">
        <v>3530000</v>
      </c>
      <c r="I63" s="6">
        <v>4318000</v>
      </c>
      <c r="J63" s="6">
        <v>91000</v>
      </c>
      <c r="K63" s="15">
        <f t="shared" ref="K63:K64" si="31">SUM(L63:Z63)</f>
        <v>9402472.2388231512</v>
      </c>
      <c r="L63" s="16">
        <f>0.5*L51+15*L52</f>
        <v>797733.85015787045</v>
      </c>
      <c r="M63" s="16">
        <f t="shared" ref="M63:Z63" si="32">0.5*M51+15*M52</f>
        <v>797733.85015787045</v>
      </c>
      <c r="N63" s="16">
        <f t="shared" si="32"/>
        <v>797733.85015787045</v>
      </c>
      <c r="O63" s="16">
        <f t="shared" si="32"/>
        <v>787602.52531742339</v>
      </c>
      <c r="P63" s="16">
        <f t="shared" si="32"/>
        <v>2406563.271803238</v>
      </c>
      <c r="Q63" s="16">
        <f t="shared" si="32"/>
        <v>2983689.5678089606</v>
      </c>
      <c r="R63" s="16">
        <f t="shared" si="32"/>
        <v>831415.32341991842</v>
      </c>
      <c r="S63" s="16">
        <f t="shared" si="32"/>
        <v>0</v>
      </c>
      <c r="T63" s="16">
        <f t="shared" si="32"/>
        <v>0</v>
      </c>
      <c r="U63" s="16">
        <f t="shared" si="32"/>
        <v>0</v>
      </c>
      <c r="V63" s="16">
        <f t="shared" si="32"/>
        <v>0</v>
      </c>
      <c r="W63" s="16">
        <f t="shared" si="32"/>
        <v>0</v>
      </c>
      <c r="X63" s="16">
        <f t="shared" si="32"/>
        <v>0</v>
      </c>
      <c r="Y63" s="16">
        <f t="shared" si="32"/>
        <v>0</v>
      </c>
      <c r="Z63" s="16">
        <f t="shared" si="32"/>
        <v>0</v>
      </c>
      <c r="AA63" s="16"/>
    </row>
    <row r="64" spans="2:27" x14ac:dyDescent="0.25">
      <c r="B64" s="32" t="s">
        <v>95</v>
      </c>
      <c r="C64" t="s">
        <v>93</v>
      </c>
      <c r="E64" s="6">
        <v>179996000</v>
      </c>
      <c r="F64" s="6">
        <v>175847000</v>
      </c>
      <c r="G64" s="6">
        <v>184305000</v>
      </c>
      <c r="H64" s="6">
        <v>191026000</v>
      </c>
      <c r="I64" s="6">
        <v>216054000</v>
      </c>
      <c r="J64" s="6">
        <v>45924000</v>
      </c>
      <c r="K64" s="15">
        <f t="shared" si="31"/>
        <v>551966739.41338921</v>
      </c>
      <c r="L64" s="16">
        <f>L57-SUM(L62:L63)</f>
        <v>44242688.63718541</v>
      </c>
      <c r="M64" s="16">
        <f t="shared" ref="M64:Z64" si="33">M57-SUM(M62:M63)</f>
        <v>44077562.470567279</v>
      </c>
      <c r="N64" s="16">
        <f t="shared" si="33"/>
        <v>45012525.50441049</v>
      </c>
      <c r="O64" s="16">
        <f t="shared" si="33"/>
        <v>47032512.23616185</v>
      </c>
      <c r="P64" s="16">
        <f t="shared" si="33"/>
        <v>143713231.83271679</v>
      </c>
      <c r="Q64" s="16">
        <f t="shared" si="33"/>
        <v>178233772.86965847</v>
      </c>
      <c r="R64" s="16">
        <f t="shared" si="33"/>
        <v>49654445.862688959</v>
      </c>
      <c r="S64" s="16">
        <f t="shared" si="33"/>
        <v>0</v>
      </c>
      <c r="T64" s="16">
        <f t="shared" si="33"/>
        <v>0</v>
      </c>
      <c r="U64" s="16">
        <f t="shared" si="33"/>
        <v>0</v>
      </c>
      <c r="V64" s="16">
        <f t="shared" si="33"/>
        <v>0</v>
      </c>
      <c r="W64" s="16">
        <f t="shared" si="33"/>
        <v>0</v>
      </c>
      <c r="X64" s="16">
        <f t="shared" si="33"/>
        <v>0</v>
      </c>
      <c r="Y64" s="16">
        <f t="shared" si="33"/>
        <v>0</v>
      </c>
      <c r="Z64" s="16">
        <f t="shared" si="33"/>
        <v>0</v>
      </c>
      <c r="AA64" s="16"/>
    </row>
    <row r="65" spans="2:27" x14ac:dyDescent="0.25">
      <c r="K65" s="26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2:27" ht="15.75" thickBot="1" x14ac:dyDescent="0.3">
      <c r="B66" s="14" t="s">
        <v>131</v>
      </c>
      <c r="K66" s="26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2:27" x14ac:dyDescent="0.25">
      <c r="E67" s="11"/>
      <c r="F67" s="11"/>
      <c r="G67" s="11"/>
      <c r="H67" s="11"/>
      <c r="I67" s="11"/>
      <c r="J67" s="11"/>
      <c r="K67" s="26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2:27" x14ac:dyDescent="0.25">
      <c r="B68" s="3" t="s">
        <v>132</v>
      </c>
      <c r="E68" s="37"/>
      <c r="F68" s="37"/>
      <c r="G68" s="37"/>
      <c r="H68" s="37"/>
      <c r="I68" s="37"/>
      <c r="J68" s="37"/>
      <c r="K68" s="26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2:27" x14ac:dyDescent="0.25">
      <c r="B69" t="s">
        <v>135</v>
      </c>
      <c r="C69" t="s">
        <v>134</v>
      </c>
      <c r="E69" s="37">
        <f>E70/E30</f>
        <v>59.703583335668057</v>
      </c>
      <c r="F69" s="37">
        <f t="shared" ref="F69:J69" si="34">F70/F30</f>
        <v>63.716868593088947</v>
      </c>
      <c r="G69" s="37">
        <f t="shared" si="34"/>
        <v>69.60275918339849</v>
      </c>
      <c r="H69" s="37">
        <f t="shared" si="34"/>
        <v>68.790996392263963</v>
      </c>
      <c r="I69" s="37">
        <f t="shared" si="34"/>
        <v>75.804347867846644</v>
      </c>
      <c r="J69" s="37">
        <f t="shared" si="34"/>
        <v>76.055900249853551</v>
      </c>
      <c r="K69" s="58">
        <f>AVERAGEIF(L69:Z69,"&gt;0")</f>
        <v>80.085714285714289</v>
      </c>
      <c r="L69" s="50">
        <v>77</v>
      </c>
      <c r="M69" s="50">
        <v>78</v>
      </c>
      <c r="N69" s="50">
        <f>M69</f>
        <v>78</v>
      </c>
      <c r="O69" s="50">
        <f>N69</f>
        <v>78</v>
      </c>
      <c r="P69" s="50">
        <f>IF(AND(P29*275&lt;=SUM(P18:P26),P30&gt;0),$O$69,IF(AND(P29*275&gt;SUM(P18:P26),P30&gt;0,SUM(P18:P26)&gt;=0.5*P29*275),$O$69,IF(AND(P29*275&gt;SUM(P18:P26),P30&gt;0,SUM(P18:P26)&lt;0.5*P29*275),$O$69*1.2,IF(P30=0,0))))</f>
        <v>78</v>
      </c>
      <c r="Q69" s="50">
        <f>IF(AND(Q29*366&lt;=SUM(Q18:Q26),Q30&gt;0),$O$69,IF(AND(Q29*366&gt;SUM(Q18:Q26),Q30&gt;0,SUM(Q18:Q26)&gt;=0.5*Q29*366),$O$69,IF(AND(Q29*366&gt;SUM(Q18:Q26),Q30&gt;0,SUM(Q18:Q26)&lt;0.5*Q29*366),$O$69*1.2,IF(Q30=0,0))))</f>
        <v>78</v>
      </c>
      <c r="R69" s="50">
        <f>IF(AND(R29*365&lt;=SUM(R18:R26),R30&gt;0),$O$69,IF(AND(R29*365&gt;SUM(R18:R26),R30&gt;0,SUM(R18:R26)&gt;=0.5*R29*365),$O$69,IF(AND(R29*365&gt;SUM(R18:R26),R30&gt;0,SUM(R18:R26)&lt;0.5*R29*365),$O$69*1.2,IF(R30=0,0))))</f>
        <v>93.6</v>
      </c>
      <c r="S69" s="50">
        <f t="shared" ref="S69:Z69" si="35">IF(AND(S29*365&lt;=SUM(S18:S26),S30&gt;0),$O$69,IF(AND(S29*365&gt;SUM(S18:S26),S30&gt;0,SUM(S18:S26)&gt;=0.5*S29*365),$O$69,IF(AND(S29*365&gt;SUM(S18:S26),S30&gt;0,SUM(S18:S26)&lt;0.5*S29*365),$O$69*1.2,IF(S30=0,0))))</f>
        <v>0</v>
      </c>
      <c r="T69" s="50">
        <f t="shared" si="35"/>
        <v>0</v>
      </c>
      <c r="U69" s="50">
        <f>IF(AND(U29*366&lt;=SUM(U18:U26),U30&gt;0),$O$69,IF(AND(U29*366&gt;SUM(U18:U26),U30&gt;0,SUM(U18:U26)&gt;=0.5*U29*366),$O$69,IF(AND(U29*366&gt;SUM(U18:U26),U30&gt;0,SUM(U18:U26)&lt;0.5*U29*366),$O$69*1.2,IF(U30=0,0))))</f>
        <v>0</v>
      </c>
      <c r="V69" s="50">
        <f t="shared" si="35"/>
        <v>0</v>
      </c>
      <c r="W69" s="50">
        <f t="shared" si="35"/>
        <v>0</v>
      </c>
      <c r="X69" s="50">
        <f t="shared" si="35"/>
        <v>0</v>
      </c>
      <c r="Y69" s="50">
        <f>IF(AND(Y29*366&lt;=SUM(Y18:Y26),Y30&gt;0),$O$69,IF(AND(Y29*366&gt;SUM(Y18:Y26),Y30&gt;0,SUM(Y18:Y26)&gt;=0.5*Y29*366),$O$69,IF(AND(Y29*366&gt;SUM(Y18:Y26),Y30&gt;0,SUM(Y18:Y26)&lt;0.5*Y29*366),$O$69*1.2,IF(Y30=0,0))))</f>
        <v>0</v>
      </c>
      <c r="Z69" s="50">
        <f t="shared" si="35"/>
        <v>0</v>
      </c>
      <c r="AA69" s="13"/>
    </row>
    <row r="70" spans="2:27" x14ac:dyDescent="0.25">
      <c r="B70" s="42" t="s">
        <v>136</v>
      </c>
      <c r="C70" t="s">
        <v>93</v>
      </c>
      <c r="E70" s="6">
        <v>63930000</v>
      </c>
      <c r="F70" s="6">
        <v>66296000</v>
      </c>
      <c r="G70" s="6">
        <v>74386000</v>
      </c>
      <c r="H70" s="6">
        <v>64277000</v>
      </c>
      <c r="I70" s="6">
        <v>78924000</v>
      </c>
      <c r="J70" s="6">
        <v>19086000</v>
      </c>
      <c r="K70" s="15">
        <f>SUM(L70:Z70)</f>
        <v>273245817.42305017</v>
      </c>
      <c r="L70" s="16">
        <f>L69*L30</f>
        <v>20765693.666666664</v>
      </c>
      <c r="M70" s="16">
        <f t="shared" ref="M70:Z70" si="36">M69*M30</f>
        <v>21035378</v>
      </c>
      <c r="N70" s="16">
        <f t="shared" si="36"/>
        <v>21035378</v>
      </c>
      <c r="O70" s="16">
        <f t="shared" si="36"/>
        <v>20151721.627397262</v>
      </c>
      <c r="P70" s="16">
        <f t="shared" si="36"/>
        <v>61574704.97260274</v>
      </c>
      <c r="Q70" s="16">
        <f t="shared" si="36"/>
        <v>81950334.618082196</v>
      </c>
      <c r="R70" s="16">
        <f t="shared" si="36"/>
        <v>46732606.538301349</v>
      </c>
      <c r="S70" s="16">
        <f t="shared" si="36"/>
        <v>0</v>
      </c>
      <c r="T70" s="16">
        <f t="shared" si="36"/>
        <v>0</v>
      </c>
      <c r="U70" s="16">
        <f t="shared" si="36"/>
        <v>0</v>
      </c>
      <c r="V70" s="16">
        <f t="shared" si="36"/>
        <v>0</v>
      </c>
      <c r="W70" s="16">
        <f t="shared" si="36"/>
        <v>0</v>
      </c>
      <c r="X70" s="16">
        <f t="shared" si="36"/>
        <v>0</v>
      </c>
      <c r="Y70" s="16">
        <f t="shared" si="36"/>
        <v>0</v>
      </c>
      <c r="Z70" s="16">
        <f t="shared" si="36"/>
        <v>0</v>
      </c>
      <c r="AA70" s="16"/>
    </row>
    <row r="71" spans="2:27" x14ac:dyDescent="0.25">
      <c r="B71" s="42" t="s">
        <v>133</v>
      </c>
      <c r="C71" t="s">
        <v>93</v>
      </c>
      <c r="E71" s="6">
        <f>E70+SUM(E62:E63)</f>
        <v>68829000</v>
      </c>
      <c r="F71" s="6">
        <f t="shared" ref="F71:J71" si="37">F70+SUM(F62:F63)</f>
        <v>70167000</v>
      </c>
      <c r="G71" s="6">
        <f t="shared" si="37"/>
        <v>77864000</v>
      </c>
      <c r="H71" s="6">
        <f t="shared" si="37"/>
        <v>68213000</v>
      </c>
      <c r="I71" s="6">
        <f t="shared" si="37"/>
        <v>82991000</v>
      </c>
      <c r="J71" s="6">
        <f t="shared" si="37"/>
        <v>20049000</v>
      </c>
      <c r="K71" s="15">
        <f>SUM(L71:Z71)</f>
        <v>283398289.66187334</v>
      </c>
      <c r="L71" s="16">
        <f>L70+SUM(L62:L63)</f>
        <v>21613427.516824536</v>
      </c>
      <c r="M71" s="16">
        <f t="shared" ref="M71:Z71" si="38">M70+SUM(M62:M63)</f>
        <v>21883111.850157872</v>
      </c>
      <c r="N71" s="16">
        <f t="shared" si="38"/>
        <v>21883111.850157872</v>
      </c>
      <c r="O71" s="16">
        <f t="shared" si="38"/>
        <v>20989324.152714685</v>
      </c>
      <c r="P71" s="16">
        <f t="shared" si="38"/>
        <v>64131268.244405977</v>
      </c>
      <c r="Q71" s="16">
        <f t="shared" si="38"/>
        <v>85134024.185891151</v>
      </c>
      <c r="R71" s="16">
        <f t="shared" si="38"/>
        <v>47764021.86172127</v>
      </c>
      <c r="S71" s="16">
        <f t="shared" si="38"/>
        <v>0</v>
      </c>
      <c r="T71" s="16">
        <f t="shared" si="38"/>
        <v>0</v>
      </c>
      <c r="U71" s="16">
        <f t="shared" si="38"/>
        <v>0</v>
      </c>
      <c r="V71" s="16">
        <f t="shared" si="38"/>
        <v>0</v>
      </c>
      <c r="W71" s="16">
        <f t="shared" si="38"/>
        <v>0</v>
      </c>
      <c r="X71" s="16">
        <f t="shared" si="38"/>
        <v>0</v>
      </c>
      <c r="Y71" s="16">
        <f t="shared" si="38"/>
        <v>0</v>
      </c>
      <c r="Z71" s="16">
        <f t="shared" si="38"/>
        <v>0</v>
      </c>
      <c r="AA71" s="16"/>
    </row>
    <row r="72" spans="2:27" x14ac:dyDescent="0.25">
      <c r="B72" t="s">
        <v>137</v>
      </c>
      <c r="C72" t="s">
        <v>43</v>
      </c>
      <c r="E72" s="11">
        <f>E71/(E51+E52*E15/E14)</f>
        <v>6.293547251280776</v>
      </c>
      <c r="F72" s="11">
        <f t="shared" ref="F72:J72" si="39">F71/(F51+F52*F15/F14)</f>
        <v>6.1056583161856546</v>
      </c>
      <c r="G72" s="11">
        <f t="shared" si="39"/>
        <v>6.6995865548633944</v>
      </c>
      <c r="H72" s="11">
        <f t="shared" si="39"/>
        <v>7.5252537356375413</v>
      </c>
      <c r="I72" s="11">
        <f t="shared" si="39"/>
        <v>9.4910252752475834</v>
      </c>
      <c r="J72" s="11">
        <f t="shared" si="39"/>
        <v>10.043991153184283</v>
      </c>
      <c r="K72" s="56">
        <f>AVERAGE(L72:Z72)</f>
        <v>12.778547399627334</v>
      </c>
      <c r="L72" s="24">
        <f>IFERROR(L71/(L51+L52*L15/L14),"")</f>
        <v>10.545374807778961</v>
      </c>
      <c r="M72" s="24">
        <f t="shared" ref="M72:Z72" si="40">IFERROR(M71/(M51+M52*M15/M14),"")</f>
        <v>10.716200006039323</v>
      </c>
      <c r="N72" s="24">
        <f t="shared" si="40"/>
        <v>10.974895904148299</v>
      </c>
      <c r="O72" s="24">
        <f t="shared" si="40"/>
        <v>10.961601124886291</v>
      </c>
      <c r="P72" s="24">
        <f t="shared" si="40"/>
        <v>10.961126355338726</v>
      </c>
      <c r="Q72" s="24">
        <f t="shared" si="40"/>
        <v>11.731784669741467</v>
      </c>
      <c r="R72" s="24">
        <f t="shared" si="40"/>
        <v>23.558848929458271</v>
      </c>
      <c r="S72" s="24" t="str">
        <f t="shared" si="40"/>
        <v/>
      </c>
      <c r="T72" s="24" t="str">
        <f t="shared" si="40"/>
        <v/>
      </c>
      <c r="U72" s="24" t="str">
        <f t="shared" si="40"/>
        <v/>
      </c>
      <c r="V72" s="24" t="str">
        <f t="shared" si="40"/>
        <v/>
      </c>
      <c r="W72" s="24" t="str">
        <f t="shared" si="40"/>
        <v/>
      </c>
      <c r="X72" s="24" t="str">
        <f t="shared" si="40"/>
        <v/>
      </c>
      <c r="Y72" s="24" t="str">
        <f t="shared" si="40"/>
        <v/>
      </c>
      <c r="Z72" s="24" t="str">
        <f t="shared" si="40"/>
        <v/>
      </c>
      <c r="AA72" s="13"/>
    </row>
    <row r="73" spans="2:27" x14ac:dyDescent="0.25">
      <c r="K73" s="26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2:27" x14ac:dyDescent="0.25">
      <c r="B74" t="s">
        <v>143</v>
      </c>
      <c r="C74" t="s">
        <v>93</v>
      </c>
      <c r="E74" s="6">
        <v>4547000</v>
      </c>
      <c r="F74" s="6">
        <v>6414000</v>
      </c>
      <c r="G74" s="6">
        <v>6475000</v>
      </c>
      <c r="H74" s="6">
        <v>6027000</v>
      </c>
      <c r="I74" s="6">
        <v>8111000</v>
      </c>
      <c r="J74" s="6">
        <v>1590000</v>
      </c>
      <c r="K74" s="15">
        <f>SUM(L74:Z74)</f>
        <v>23660769.230769232</v>
      </c>
      <c r="L74" s="16">
        <f>IF(L30&gt;0,(SUM($F$74:$H$74)+$J$74)/13,0)</f>
        <v>1577384.6153846155</v>
      </c>
      <c r="M74" s="16">
        <f t="shared" ref="M74:O74" si="41">IF(M30&gt;0,(SUM($F$74:$H$74)+$J$74)/13,0)</f>
        <v>1577384.6153846155</v>
      </c>
      <c r="N74" s="16">
        <f t="shared" si="41"/>
        <v>1577384.6153846155</v>
      </c>
      <c r="O74" s="16">
        <f t="shared" si="41"/>
        <v>1577384.6153846155</v>
      </c>
      <c r="P74" s="16">
        <f>IF(P30&gt;0,(SUM($F$74:$H$74)+$J$74)/13*3,0)</f>
        <v>4732153.846153846</v>
      </c>
      <c r="Q74" s="16">
        <f>IF(Q30&gt;0,(SUM($F$74:$H$74)+$J$74)/13*4,0)</f>
        <v>6309538.461538462</v>
      </c>
      <c r="R74" s="16">
        <f t="shared" ref="R74:Z74" si="42">IF(R30&gt;0,(SUM($F$74:$H$74)+$J$74)/13*4,0)</f>
        <v>6309538.461538462</v>
      </c>
      <c r="S74" s="16">
        <f t="shared" si="42"/>
        <v>0</v>
      </c>
      <c r="T74" s="16">
        <f t="shared" si="42"/>
        <v>0</v>
      </c>
      <c r="U74" s="16">
        <f t="shared" si="42"/>
        <v>0</v>
      </c>
      <c r="V74" s="16">
        <f t="shared" si="42"/>
        <v>0</v>
      </c>
      <c r="W74" s="16">
        <f t="shared" si="42"/>
        <v>0</v>
      </c>
      <c r="X74" s="16">
        <f t="shared" si="42"/>
        <v>0</v>
      </c>
      <c r="Y74" s="16">
        <f t="shared" si="42"/>
        <v>0</v>
      </c>
      <c r="Z74" s="16">
        <f t="shared" si="42"/>
        <v>0</v>
      </c>
      <c r="AA74" s="13"/>
    </row>
    <row r="75" spans="2:27" x14ac:dyDescent="0.25">
      <c r="B75" s="8" t="s">
        <v>139</v>
      </c>
      <c r="C75" t="s">
        <v>93</v>
      </c>
      <c r="E75" s="6">
        <v>32929000</v>
      </c>
      <c r="F75" s="6">
        <v>32251000</v>
      </c>
      <c r="G75" s="47">
        <v>30736000</v>
      </c>
      <c r="H75" s="6">
        <v>28387000</v>
      </c>
      <c r="I75" s="6">
        <v>32257000</v>
      </c>
      <c r="J75" s="6">
        <v>8287000</v>
      </c>
      <c r="K75" s="15">
        <f t="shared" ref="K75:K76" si="43">SUM(L75:Z75)</f>
        <v>82388802.072183982</v>
      </c>
      <c r="L75" s="16">
        <f>AVERAGE($E$75/$E$90,$F$75/$F$90,$G$75/$G$90,$H$75/$H$90,$I$75/$I$90,$J$75/$J$90)*L90</f>
        <v>8474700.5180459954</v>
      </c>
      <c r="M75" s="16">
        <f t="shared" ref="M75:O75" si="44">AVERAGE($E$75/$E$90,$F$75/$F$90,$G$75/$G$90,$H$75/$H$90,$I$75/$I$90,$J$75/$J$90)*M90</f>
        <v>8474700.5180459954</v>
      </c>
      <c r="N75" s="16">
        <f t="shared" si="44"/>
        <v>8474700.5180459954</v>
      </c>
      <c r="O75" s="16">
        <f t="shared" si="44"/>
        <v>8474700.5180459954</v>
      </c>
      <c r="P75" s="16">
        <f>IF(Auxiliary!B14&gt;=3,P90*2.59+4000000,IF(Auxiliary!B14=2,P90*2.59+2000000,IF(Auxiliary!B14=1,14000000,0)))</f>
        <v>19540000</v>
      </c>
      <c r="Q75" s="16">
        <f>IF(Auxiliary!C14&gt;=3,Q90*2.59+4000000,IF(Auxiliary!C14=2,Q90*2.59+2000000,IF(Auxiliary!C14=1,14000000,0)))</f>
        <v>14950000</v>
      </c>
      <c r="R75" s="16">
        <f>IF(Auxiliary!D14&gt;=3,R90*2.59+4000000,IF(Auxiliary!D14=2,R90*2.59+2000000,IF(Auxiliary!D14=1,14000000,0)))</f>
        <v>14000000</v>
      </c>
      <c r="S75" s="16">
        <f>IF(Auxiliary!E14&gt;=3,S90*2.59+4000000,IF(Auxiliary!E14=2,S90*2.59+2000000,IF(Auxiliary!E14=1,14000000,0)))</f>
        <v>0</v>
      </c>
      <c r="T75" s="16">
        <f>IF(Auxiliary!F14&gt;=3,T90*2.59+4000000,IF(Auxiliary!F14=2,T90*2.59+2000000,IF(Auxiliary!F14=1,14000000,0)))</f>
        <v>0</v>
      </c>
      <c r="U75" s="16">
        <f>IF(Auxiliary!G14&gt;=3,U90*2.59+4000000,IF(Auxiliary!G14=2,U90*2.59+2000000,IF(Auxiliary!G14=1,14000000,0)))</f>
        <v>0</v>
      </c>
      <c r="V75" s="16">
        <f>IF(Auxiliary!H14&gt;=3,V90*2.59+4000000,IF(Auxiliary!H14=2,V90*2.59+2000000,IF(Auxiliary!H14=1,14000000,0)))</f>
        <v>0</v>
      </c>
      <c r="W75" s="16">
        <f>IF(Auxiliary!I14&gt;=3,W90*2.59+4000000,IF(Auxiliary!I14=2,W90*2.59+2000000,IF(Auxiliary!I14=1,14000000,0)))</f>
        <v>0</v>
      </c>
      <c r="X75" s="16">
        <f>IF(Auxiliary!J14&gt;=3,X90*2.59+4000000,IF(Auxiliary!J14=2,X90*2.59+2000000,IF(Auxiliary!J14=1,14000000,0)))</f>
        <v>0</v>
      </c>
      <c r="Y75" s="16">
        <f>IF(Auxiliary!K14&gt;=3,Y90*2.59+4000000,IF(Auxiliary!K14=2,Y90*2.59+2000000,IF(Auxiliary!K14=1,14000000,0)))</f>
        <v>0</v>
      </c>
      <c r="Z75" s="16">
        <f>IF(Auxiliary!L14&gt;=3,Z90*2.59+4000000,IF(Auxiliary!L14=2,Z90*2.59+2000000,IF(Auxiliary!L14=1,14000000,0)))</f>
        <v>0</v>
      </c>
      <c r="AA75" s="13"/>
    </row>
    <row r="76" spans="2:27" x14ac:dyDescent="0.25">
      <c r="B76" t="s">
        <v>145</v>
      </c>
      <c r="C76" t="s">
        <v>93</v>
      </c>
      <c r="E76" s="6">
        <f>E71+SUM(E74:E75)</f>
        <v>106305000</v>
      </c>
      <c r="F76" s="6">
        <f>F71+SUM(F74:F75)</f>
        <v>108832000</v>
      </c>
      <c r="G76" s="6">
        <f t="shared" ref="G76:J76" si="45">G71+SUM(G74:G75)</f>
        <v>115075000</v>
      </c>
      <c r="H76" s="6">
        <f t="shared" si="45"/>
        <v>102627000</v>
      </c>
      <c r="I76" s="6">
        <f t="shared" si="45"/>
        <v>123359000</v>
      </c>
      <c r="J76" s="6">
        <f t="shared" si="45"/>
        <v>29926000</v>
      </c>
      <c r="K76" s="15">
        <f t="shared" si="43"/>
        <v>389447860.96482658</v>
      </c>
      <c r="L76" s="16">
        <f>L71+SUM(L74:L75)</f>
        <v>31665512.650255147</v>
      </c>
      <c r="M76" s="16">
        <f t="shared" ref="M76:Z76" si="46">M71+SUM(M74:M75)</f>
        <v>31935196.983588483</v>
      </c>
      <c r="N76" s="16">
        <f t="shared" si="46"/>
        <v>31935196.983588483</v>
      </c>
      <c r="O76" s="16">
        <f t="shared" si="46"/>
        <v>31041409.286145296</v>
      </c>
      <c r="P76" s="16">
        <f t="shared" si="46"/>
        <v>88403422.090559825</v>
      </c>
      <c r="Q76" s="16">
        <f t="shared" si="46"/>
        <v>106393562.64742962</v>
      </c>
      <c r="R76" s="16">
        <f t="shared" si="46"/>
        <v>68073560.323259741</v>
      </c>
      <c r="S76" s="16">
        <f t="shared" si="46"/>
        <v>0</v>
      </c>
      <c r="T76" s="16">
        <f t="shared" si="46"/>
        <v>0</v>
      </c>
      <c r="U76" s="16">
        <f t="shared" si="46"/>
        <v>0</v>
      </c>
      <c r="V76" s="16">
        <f t="shared" si="46"/>
        <v>0</v>
      </c>
      <c r="W76" s="16">
        <f t="shared" si="46"/>
        <v>0</v>
      </c>
      <c r="X76" s="16">
        <f t="shared" si="46"/>
        <v>0</v>
      </c>
      <c r="Y76" s="16">
        <f t="shared" si="46"/>
        <v>0</v>
      </c>
      <c r="Z76" s="16">
        <f t="shared" si="46"/>
        <v>0</v>
      </c>
      <c r="AA76" s="13"/>
    </row>
    <row r="77" spans="2:27" x14ac:dyDescent="0.25">
      <c r="K77" s="26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2:27" ht="15.75" thickBot="1" x14ac:dyDescent="0.3">
      <c r="B78" s="14" t="s">
        <v>146</v>
      </c>
      <c r="E78" s="11"/>
      <c r="F78" s="11"/>
      <c r="G78" s="11"/>
      <c r="H78" s="11"/>
      <c r="I78" s="11"/>
      <c r="J78" s="11"/>
      <c r="K78" s="26"/>
      <c r="L78" s="16"/>
      <c r="M78" s="16"/>
      <c r="N78" s="16"/>
      <c r="O78" s="16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2:27" x14ac:dyDescent="0.25">
      <c r="B79" t="s">
        <v>182</v>
      </c>
      <c r="C79" t="s">
        <v>93</v>
      </c>
      <c r="E79" s="54"/>
      <c r="F79" s="6"/>
      <c r="G79" s="6"/>
      <c r="H79" s="6"/>
      <c r="I79" s="6"/>
      <c r="J79" s="6"/>
      <c r="K79" s="15">
        <f t="shared" ref="K79:K81" si="47">SUM(L79:Z79)</f>
        <v>16559002.182401678</v>
      </c>
      <c r="L79" s="16">
        <f>3%*L64</f>
        <v>1327280.6591155622</v>
      </c>
      <c r="M79" s="16">
        <f t="shared" ref="M79:Z79" si="48">3%*M64</f>
        <v>1322326.8741170184</v>
      </c>
      <c r="N79" s="16">
        <f t="shared" si="48"/>
        <v>1350375.7651323148</v>
      </c>
      <c r="O79" s="16">
        <f t="shared" si="48"/>
        <v>1410975.3670848554</v>
      </c>
      <c r="P79" s="16">
        <f t="shared" si="48"/>
        <v>4311396.954981504</v>
      </c>
      <c r="Q79" s="16">
        <f t="shared" si="48"/>
        <v>5347013.1860897541</v>
      </c>
      <c r="R79" s="16">
        <f t="shared" si="48"/>
        <v>1489633.3758806686</v>
      </c>
      <c r="S79" s="16">
        <f t="shared" si="48"/>
        <v>0</v>
      </c>
      <c r="T79" s="16">
        <f t="shared" si="48"/>
        <v>0</v>
      </c>
      <c r="U79" s="16">
        <f t="shared" si="48"/>
        <v>0</v>
      </c>
      <c r="V79" s="16">
        <f t="shared" si="48"/>
        <v>0</v>
      </c>
      <c r="W79" s="16">
        <f t="shared" si="48"/>
        <v>0</v>
      </c>
      <c r="X79" s="16">
        <f t="shared" si="48"/>
        <v>0</v>
      </c>
      <c r="Y79" s="16">
        <f t="shared" si="48"/>
        <v>0</v>
      </c>
      <c r="Z79" s="16">
        <f t="shared" si="48"/>
        <v>0</v>
      </c>
      <c r="AA79" s="13"/>
    </row>
    <row r="80" spans="2:27" x14ac:dyDescent="0.25">
      <c r="B80" t="s">
        <v>183</v>
      </c>
      <c r="C80" t="s">
        <v>93</v>
      </c>
      <c r="E80" s="6"/>
      <c r="F80" s="6"/>
      <c r="G80" s="6"/>
      <c r="H80" s="6"/>
      <c r="I80" s="6"/>
      <c r="J80" s="6"/>
      <c r="K80" s="15">
        <f t="shared" si="47"/>
        <v>19129511.456967734</v>
      </c>
      <c r="L80" s="16">
        <f>7.5%*(L57-L76+L75)</f>
        <v>1642470.7766350596</v>
      </c>
      <c r="M80" s="16">
        <f t="shared" ref="M80:Z80" si="49">7.5%*(M57-M76+M75)</f>
        <v>1609859.9891386996</v>
      </c>
      <c r="N80" s="16">
        <f t="shared" si="49"/>
        <v>1679982.2166769404</v>
      </c>
      <c r="O80" s="16">
        <f t="shared" si="49"/>
        <v>1897755.4495034979</v>
      </c>
      <c r="P80" s="16">
        <f t="shared" si="49"/>
        <v>5805477.9760470148</v>
      </c>
      <c r="Q80" s="16">
        <f t="shared" si="49"/>
        <v>6748042.4842528356</v>
      </c>
      <c r="R80" s="16">
        <f t="shared" si="49"/>
        <v>-254077.43528631458</v>
      </c>
      <c r="S80" s="16">
        <f t="shared" si="49"/>
        <v>0</v>
      </c>
      <c r="T80" s="16">
        <f t="shared" si="49"/>
        <v>0</v>
      </c>
      <c r="U80" s="16">
        <f t="shared" si="49"/>
        <v>0</v>
      </c>
      <c r="V80" s="16">
        <f t="shared" si="49"/>
        <v>0</v>
      </c>
      <c r="W80" s="16">
        <f t="shared" si="49"/>
        <v>0</v>
      </c>
      <c r="X80" s="16">
        <f t="shared" si="49"/>
        <v>0</v>
      </c>
      <c r="Y80" s="16">
        <f t="shared" si="49"/>
        <v>0</v>
      </c>
      <c r="Z80" s="16">
        <f t="shared" si="49"/>
        <v>0</v>
      </c>
      <c r="AA80" s="13"/>
    </row>
    <row r="81" spans="2:27" x14ac:dyDescent="0.25">
      <c r="B81" t="s">
        <v>184</v>
      </c>
      <c r="C81" t="s">
        <v>93</v>
      </c>
      <c r="E81" s="6"/>
      <c r="F81" s="6"/>
      <c r="G81" s="6"/>
      <c r="H81" s="6"/>
      <c r="I81" s="6"/>
      <c r="J81" s="6"/>
      <c r="K81" s="15">
        <f t="shared" si="47"/>
        <v>2810596.0582610625</v>
      </c>
      <c r="L81" s="16">
        <f>0.5%*L57</f>
        <v>225452.11243671642</v>
      </c>
      <c r="M81" s="16">
        <f t="shared" ref="M81:Z81" si="50">0.5%*M57</f>
        <v>224626.48160362575</v>
      </c>
      <c r="N81" s="16">
        <f t="shared" si="50"/>
        <v>229301.29677284183</v>
      </c>
      <c r="O81" s="16">
        <f t="shared" si="50"/>
        <v>239350.57380739637</v>
      </c>
      <c r="P81" s="16">
        <f t="shared" si="50"/>
        <v>731348.97552260011</v>
      </c>
      <c r="Q81" s="16">
        <f t="shared" si="50"/>
        <v>907087.3121873372</v>
      </c>
      <c r="R81" s="16">
        <f t="shared" si="50"/>
        <v>253429.30593054442</v>
      </c>
      <c r="S81" s="16">
        <f t="shared" si="50"/>
        <v>0</v>
      </c>
      <c r="T81" s="16">
        <f t="shared" si="50"/>
        <v>0</v>
      </c>
      <c r="U81" s="16">
        <f t="shared" si="50"/>
        <v>0</v>
      </c>
      <c r="V81" s="16">
        <f t="shared" si="50"/>
        <v>0</v>
      </c>
      <c r="W81" s="16">
        <f t="shared" si="50"/>
        <v>0</v>
      </c>
      <c r="X81" s="16">
        <f t="shared" si="50"/>
        <v>0</v>
      </c>
      <c r="Y81" s="16">
        <f t="shared" si="50"/>
        <v>0</v>
      </c>
      <c r="Z81" s="16">
        <f t="shared" si="50"/>
        <v>0</v>
      </c>
      <c r="AA81" s="13"/>
    </row>
    <row r="82" spans="2:27" x14ac:dyDescent="0.25">
      <c r="K82" s="26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2:27" ht="15.75" thickBot="1" x14ac:dyDescent="0.3">
      <c r="B83" s="14" t="s">
        <v>147</v>
      </c>
      <c r="K83" s="26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2:27" x14ac:dyDescent="0.25">
      <c r="B84" t="s">
        <v>148</v>
      </c>
      <c r="C84" t="s">
        <v>93</v>
      </c>
      <c r="E84" s="6">
        <v>65351000</v>
      </c>
      <c r="F84" s="6">
        <v>59028000</v>
      </c>
      <c r="G84" s="6">
        <v>60808000</v>
      </c>
      <c r="H84" s="6">
        <v>74811000</v>
      </c>
      <c r="I84" s="6">
        <v>66616000</v>
      </c>
      <c r="J84" s="6">
        <v>11037000</v>
      </c>
      <c r="K84" s="15">
        <f t="shared" ref="K84:K85" si="51">SUM(L84:Z84)</f>
        <v>134172240.98975533</v>
      </c>
      <c r="L84" s="16">
        <f>L57-L76-SUM(L79:L81)</f>
        <v>10229706.288900796</v>
      </c>
      <c r="M84" s="16">
        <f t="shared" ref="M84:Z84" si="52">M57-M76-SUM(M79:M81)</f>
        <v>9833285.9922773242</v>
      </c>
      <c r="N84" s="16">
        <f t="shared" si="52"/>
        <v>10665403.092397783</v>
      </c>
      <c r="O84" s="16">
        <f t="shared" si="52"/>
        <v>13280624.084938228</v>
      </c>
      <c r="P84" s="16">
        <f t="shared" si="52"/>
        <v>47018149.107409075</v>
      </c>
      <c r="Q84" s="16">
        <f t="shared" si="52"/>
        <v>62021756.807507887</v>
      </c>
      <c r="R84" s="16">
        <f t="shared" si="52"/>
        <v>-18876684.383675762</v>
      </c>
      <c r="S84" s="16">
        <f t="shared" si="52"/>
        <v>0</v>
      </c>
      <c r="T84" s="16">
        <f t="shared" si="52"/>
        <v>0</v>
      </c>
      <c r="U84" s="16">
        <f t="shared" si="52"/>
        <v>0</v>
      </c>
      <c r="V84" s="16">
        <f t="shared" si="52"/>
        <v>0</v>
      </c>
      <c r="W84" s="16">
        <f t="shared" si="52"/>
        <v>0</v>
      </c>
      <c r="X84" s="16">
        <f t="shared" si="52"/>
        <v>0</v>
      </c>
      <c r="Y84" s="16">
        <f t="shared" si="52"/>
        <v>0</v>
      </c>
      <c r="Z84" s="16">
        <f t="shared" si="52"/>
        <v>0</v>
      </c>
      <c r="AA84" s="16"/>
    </row>
    <row r="85" spans="2:27" x14ac:dyDescent="0.25">
      <c r="B85" t="s">
        <v>140</v>
      </c>
      <c r="C85" t="s">
        <v>93</v>
      </c>
      <c r="E85" s="6">
        <v>7256000</v>
      </c>
      <c r="F85" s="6">
        <v>5548000</v>
      </c>
      <c r="G85" s="6">
        <v>6616000</v>
      </c>
      <c r="H85" s="6">
        <v>8200000</v>
      </c>
      <c r="I85" s="6">
        <v>7261000</v>
      </c>
      <c r="J85" s="6">
        <v>909000</v>
      </c>
      <c r="K85" s="15">
        <f t="shared" si="51"/>
        <v>15304892.537343109</v>
      </c>
      <c r="L85" s="16">
        <f>IF(L84&gt;=0,10%*L84,0)</f>
        <v>1022970.6288900797</v>
      </c>
      <c r="M85" s="16">
        <f t="shared" ref="M85:Z85" si="53">IF(M84&gt;=0,10%*M84,0)</f>
        <v>983328.59922773251</v>
      </c>
      <c r="N85" s="16">
        <f t="shared" si="53"/>
        <v>1066540.3092397784</v>
      </c>
      <c r="O85" s="16">
        <f t="shared" si="53"/>
        <v>1328062.4084938229</v>
      </c>
      <c r="P85" s="16">
        <f t="shared" si="53"/>
        <v>4701814.9107409073</v>
      </c>
      <c r="Q85" s="16">
        <f t="shared" si="53"/>
        <v>6202175.6807507891</v>
      </c>
      <c r="R85" s="16">
        <f t="shared" si="53"/>
        <v>0</v>
      </c>
      <c r="S85" s="16">
        <f t="shared" si="53"/>
        <v>0</v>
      </c>
      <c r="T85" s="16">
        <f t="shared" si="53"/>
        <v>0</v>
      </c>
      <c r="U85" s="16">
        <f t="shared" si="53"/>
        <v>0</v>
      </c>
      <c r="V85" s="16">
        <f t="shared" si="53"/>
        <v>0</v>
      </c>
      <c r="W85" s="16">
        <f t="shared" si="53"/>
        <v>0</v>
      </c>
      <c r="X85" s="16">
        <f t="shared" si="53"/>
        <v>0</v>
      </c>
      <c r="Y85" s="16">
        <f t="shared" si="53"/>
        <v>0</v>
      </c>
      <c r="Z85" s="16">
        <f t="shared" si="53"/>
        <v>0</v>
      </c>
      <c r="AA85" s="16"/>
    </row>
    <row r="86" spans="2:27" x14ac:dyDescent="0.25">
      <c r="B86" t="s">
        <v>149</v>
      </c>
      <c r="C86" t="s">
        <v>70</v>
      </c>
      <c r="E86" s="18">
        <f>(E84-E87)/E84</f>
        <v>0.32022463313491761</v>
      </c>
      <c r="F86" s="18">
        <f t="shared" ref="F86:J86" si="54">(F84-F87)/F84</f>
        <v>0.31415599376567055</v>
      </c>
      <c r="G86" s="18">
        <f t="shared" si="54"/>
        <v>0.29653992895671621</v>
      </c>
      <c r="H86" s="18">
        <f t="shared" si="54"/>
        <v>0.38665436900990496</v>
      </c>
      <c r="I86" s="18">
        <f t="shared" si="54"/>
        <v>0.35405908490452742</v>
      </c>
      <c r="J86" s="18">
        <f t="shared" si="54"/>
        <v>0.26864184108000361</v>
      </c>
      <c r="K86" s="64">
        <f>AVERAGE(L86:Z86)</f>
        <v>0.29999999999999993</v>
      </c>
      <c r="L86" s="34">
        <v>0.3</v>
      </c>
      <c r="M86" s="34">
        <f>L86</f>
        <v>0.3</v>
      </c>
      <c r="N86" s="34">
        <f t="shared" ref="N86:Z86" si="55">M86</f>
        <v>0.3</v>
      </c>
      <c r="O86" s="34">
        <f t="shared" si="55"/>
        <v>0.3</v>
      </c>
      <c r="P86" s="34">
        <f t="shared" si="55"/>
        <v>0.3</v>
      </c>
      <c r="Q86" s="34">
        <f t="shared" si="55"/>
        <v>0.3</v>
      </c>
      <c r="R86" s="34">
        <f t="shared" si="55"/>
        <v>0.3</v>
      </c>
      <c r="S86" s="34">
        <f t="shared" si="55"/>
        <v>0.3</v>
      </c>
      <c r="T86" s="34">
        <f t="shared" si="55"/>
        <v>0.3</v>
      </c>
      <c r="U86" s="34">
        <f t="shared" si="55"/>
        <v>0.3</v>
      </c>
      <c r="V86" s="34">
        <f t="shared" si="55"/>
        <v>0.3</v>
      </c>
      <c r="W86" s="34">
        <f t="shared" si="55"/>
        <v>0.3</v>
      </c>
      <c r="X86" s="34">
        <f t="shared" si="55"/>
        <v>0.3</v>
      </c>
      <c r="Y86" s="34">
        <f t="shared" si="55"/>
        <v>0.3</v>
      </c>
      <c r="Z86" s="34">
        <f t="shared" si="55"/>
        <v>0.3</v>
      </c>
      <c r="AA86" s="13"/>
    </row>
    <row r="87" spans="2:27" x14ac:dyDescent="0.25">
      <c r="B87" t="s">
        <v>147</v>
      </c>
      <c r="C87" t="s">
        <v>93</v>
      </c>
      <c r="E87" s="6">
        <v>44424000</v>
      </c>
      <c r="F87" s="6">
        <v>40484000</v>
      </c>
      <c r="G87" s="6">
        <v>42776000</v>
      </c>
      <c r="H87" s="6">
        <v>45885000</v>
      </c>
      <c r="I87" s="6">
        <v>43030000</v>
      </c>
      <c r="J87" s="6">
        <v>8072000</v>
      </c>
      <c r="K87" s="15">
        <f>SUM(L87:Z87)</f>
        <v>77544138.601585835</v>
      </c>
      <c r="L87" s="16">
        <f>IF(L84&gt;=0,(L84-L85)*(1-L86),L84)</f>
        <v>6444714.9620075012</v>
      </c>
      <c r="M87" s="16">
        <f t="shared" ref="M87:Z87" si="56">IF(M84&gt;=0,(M84-M85)*(1-M86),M84)</f>
        <v>6194970.1751347138</v>
      </c>
      <c r="N87" s="16">
        <f t="shared" si="56"/>
        <v>6719203.9482106026</v>
      </c>
      <c r="O87" s="16">
        <f t="shared" si="56"/>
        <v>8366793.1735110832</v>
      </c>
      <c r="P87" s="16">
        <f t="shared" si="56"/>
        <v>29621433.937667716</v>
      </c>
      <c r="Q87" s="16">
        <f t="shared" si="56"/>
        <v>39073706.788729966</v>
      </c>
      <c r="R87" s="16">
        <f t="shared" si="56"/>
        <v>-18876684.383675762</v>
      </c>
      <c r="S87" s="16">
        <f t="shared" si="56"/>
        <v>0</v>
      </c>
      <c r="T87" s="16">
        <f t="shared" si="56"/>
        <v>0</v>
      </c>
      <c r="U87" s="16">
        <f t="shared" si="56"/>
        <v>0</v>
      </c>
      <c r="V87" s="16">
        <f t="shared" si="56"/>
        <v>0</v>
      </c>
      <c r="W87" s="16">
        <f t="shared" si="56"/>
        <v>0</v>
      </c>
      <c r="X87" s="16">
        <f t="shared" si="56"/>
        <v>0</v>
      </c>
      <c r="Y87" s="16">
        <f t="shared" si="56"/>
        <v>0</v>
      </c>
      <c r="Z87" s="16">
        <f t="shared" si="56"/>
        <v>0</v>
      </c>
      <c r="AA87" s="16"/>
    </row>
    <row r="88" spans="2:27" x14ac:dyDescent="0.25">
      <c r="K88" s="26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2:27" ht="15.75" thickBot="1" x14ac:dyDescent="0.3">
      <c r="B89" s="14" t="s">
        <v>156</v>
      </c>
      <c r="K89" s="26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2:27" x14ac:dyDescent="0.25">
      <c r="B90" t="s">
        <v>157</v>
      </c>
      <c r="C90" t="s">
        <v>93</v>
      </c>
      <c r="E90" s="6">
        <v>18385000</v>
      </c>
      <c r="F90" s="6">
        <v>9277000</v>
      </c>
      <c r="G90" s="6">
        <v>9969000</v>
      </c>
      <c r="H90" s="6">
        <v>10787000</v>
      </c>
      <c r="I90" s="6">
        <v>14492000</v>
      </c>
      <c r="J90" s="6">
        <v>3575000</v>
      </c>
      <c r="K90" s="15">
        <f>SUM(L90:Z90)</f>
        <v>26100000</v>
      </c>
      <c r="L90" s="16">
        <f>(13400000-$J$90)/3</f>
        <v>3275000</v>
      </c>
      <c r="M90" s="16">
        <f t="shared" ref="M90:O90" si="57">(13400000-$J$90)/3</f>
        <v>3275000</v>
      </c>
      <c r="N90" s="16">
        <f t="shared" si="57"/>
        <v>3275000</v>
      </c>
      <c r="O90" s="16">
        <f t="shared" si="57"/>
        <v>3275000</v>
      </c>
      <c r="P90" s="16">
        <f>IF(Auxiliary!B14&gt;=6,AVERAGE($E$90:$I$90)*0.75,IF(Auxiliary!B14=5,11000000*0.75,IF(Auxiliary!B14=4,9500000*0.75,IF(Auxiliary!B14=3,8000000*0.75,IF(Auxiliary!B14=2,5000000*0.75,IF(Auxiliary!B14=1,2000000*0.75,0))))))</f>
        <v>6000000</v>
      </c>
      <c r="Q90" s="16">
        <f>IF(Auxiliary!C14&gt;=6,AVERAGE($E$90:$I$90),IF(Auxiliary!C14=5,11000000,IF(Auxiliary!C14=4,9500000,IF(Auxiliary!C14=3,8000000,IF(Auxiliary!C14=2,5000000,IF(Auxiliary!C14=1,2000000,0))))))</f>
        <v>5000000</v>
      </c>
      <c r="R90" s="16">
        <f>IF(Auxiliary!D14&gt;=6,AVERAGE($E$90:$I$90),IF(Auxiliary!D14=5,11000000,IF(Auxiliary!D14=4,9500000,IF(Auxiliary!D14=3,8000000,IF(Auxiliary!D14=2,5000000,IF(Auxiliary!D14=1,2000000,0))))))</f>
        <v>2000000</v>
      </c>
      <c r="S90" s="16">
        <f>IF(Auxiliary!E14&gt;=6,AVERAGE($E$90:$I$90),IF(Auxiliary!E14=5,11000000,IF(Auxiliary!E14=4,9500000,IF(Auxiliary!E14=3,8000000,IF(Auxiliary!E14=2,5000000,IF(Auxiliary!E14=1,2000000,0))))))</f>
        <v>0</v>
      </c>
      <c r="T90" s="16">
        <f>IF(Auxiliary!F14&gt;=6,AVERAGE($E$90:$I$90),IF(Auxiliary!F14=5,11000000,IF(Auxiliary!F14=4,9500000,IF(Auxiliary!F14=3,8000000,IF(Auxiliary!F14=2,5000000,IF(Auxiliary!F14=1,2000000,0))))))</f>
        <v>0</v>
      </c>
      <c r="U90" s="16">
        <f>IF(Auxiliary!G14&gt;=6,AVERAGE($E$90:$I$90),IF(Auxiliary!G14=5,11000000,IF(Auxiliary!G14=4,9500000,IF(Auxiliary!G14=3,8000000,IF(Auxiliary!G14=2,5000000,IF(Auxiliary!G14=1,2000000,0))))))</f>
        <v>0</v>
      </c>
      <c r="V90" s="16">
        <f>IF(Auxiliary!H14&gt;=6,AVERAGE($E$90:$I$90),IF(Auxiliary!H14=5,11000000,IF(Auxiliary!H14=4,9500000,IF(Auxiliary!H14=3,8000000,IF(Auxiliary!H14=2,5000000,IF(Auxiliary!H14=1,2000000,0))))))</f>
        <v>0</v>
      </c>
      <c r="W90" s="16">
        <f>IF(Auxiliary!I14&gt;=6,AVERAGE($E$90:$I$90),IF(Auxiliary!I14=5,11000000,IF(Auxiliary!I14=4,9500000,IF(Auxiliary!I14=3,8000000,IF(Auxiliary!I14=2,5000000,IF(Auxiliary!I14=1,2000000,0))))))</f>
        <v>0</v>
      </c>
      <c r="X90" s="16">
        <f>IF(Auxiliary!J14&gt;=6,AVERAGE($E$90:$I$90),IF(Auxiliary!J14=5,11000000,IF(Auxiliary!J14=4,9500000,IF(Auxiliary!J14=3,8000000,IF(Auxiliary!J14=2,5000000,IF(Auxiliary!J14=1,2000000,0))))))</f>
        <v>0</v>
      </c>
      <c r="Y90" s="16">
        <f>IF(Auxiliary!K14&gt;=6,AVERAGE($E$90:$I$90),IF(Auxiliary!K14=5,11000000,IF(Auxiliary!K14=4,9500000,IF(Auxiliary!K14=3,8000000,IF(Auxiliary!K14=2,5000000,IF(Auxiliary!K14=1,2000000,0))))))</f>
        <v>0</v>
      </c>
      <c r="Z90" s="16">
        <f>IF(Auxiliary!L14&gt;=6,AVERAGE($E$90:$I$90),IF(Auxiliary!L14=5,11000000,IF(Auxiliary!L14=4,9500000,IF(Auxiliary!L14=3,8000000,IF(Auxiliary!L14=2,5000000,IF(Auxiliary!L14=1,2000000,0))))))</f>
        <v>0</v>
      </c>
      <c r="AA90" s="16"/>
    </row>
    <row r="91" spans="2:27" x14ac:dyDescent="0.25">
      <c r="B91" t="s">
        <v>158</v>
      </c>
      <c r="C91" t="s">
        <v>93</v>
      </c>
      <c r="E91" s="6">
        <v>6439000</v>
      </c>
      <c r="F91" s="6">
        <v>6947000</v>
      </c>
      <c r="G91" s="6">
        <v>4077000</v>
      </c>
      <c r="H91" s="6">
        <v>4406000</v>
      </c>
      <c r="I91" s="6">
        <v>8784000</v>
      </c>
      <c r="J91" s="6">
        <v>1529000</v>
      </c>
      <c r="K91" s="15">
        <f>SUM(L91:Z91)</f>
        <v>22728238.095238093</v>
      </c>
      <c r="L91" s="16">
        <f>(7400000-$J$91)/3</f>
        <v>1957000</v>
      </c>
      <c r="M91" s="16">
        <f t="shared" ref="M91:N91" si="58">(7400000-$J$91)/3</f>
        <v>1957000</v>
      </c>
      <c r="N91" s="16">
        <f t="shared" si="58"/>
        <v>1957000</v>
      </c>
      <c r="O91" s="16">
        <f>IF(AND(O30&gt;0,P30&gt;0),SUM($E$91:$J$91)/21*3,0)</f>
        <v>4597428.5714285718</v>
      </c>
      <c r="P91" s="16">
        <f>IF(AND(P30&gt;0,Q30&gt;0),SUM($E$91:$J$91)/21*4,0)</f>
        <v>6129904.7619047621</v>
      </c>
      <c r="Q91" s="16">
        <f t="shared" ref="Q91:Z91" si="59">IF(AND(Q30&gt;0,R30&gt;0),SUM($E$91:$J$91)/21*4,0)</f>
        <v>6129904.7619047621</v>
      </c>
      <c r="R91" s="16">
        <f t="shared" si="59"/>
        <v>0</v>
      </c>
      <c r="S91" s="16">
        <f t="shared" si="59"/>
        <v>0</v>
      </c>
      <c r="T91" s="16">
        <f t="shared" si="59"/>
        <v>0</v>
      </c>
      <c r="U91" s="16">
        <f t="shared" si="59"/>
        <v>0</v>
      </c>
      <c r="V91" s="16">
        <f t="shared" si="59"/>
        <v>0</v>
      </c>
      <c r="W91" s="16">
        <f t="shared" si="59"/>
        <v>0</v>
      </c>
      <c r="X91" s="16">
        <f t="shared" si="59"/>
        <v>0</v>
      </c>
      <c r="Y91" s="16">
        <f t="shared" si="59"/>
        <v>0</v>
      </c>
      <c r="Z91" s="16">
        <f t="shared" si="59"/>
        <v>0</v>
      </c>
      <c r="AA91" s="16"/>
    </row>
    <row r="92" spans="2:27" x14ac:dyDescent="0.25">
      <c r="B92" t="s">
        <v>159</v>
      </c>
      <c r="C92" t="s">
        <v>93</v>
      </c>
      <c r="E92" s="6"/>
      <c r="F92" s="6"/>
      <c r="G92" s="6"/>
      <c r="H92" s="6"/>
      <c r="I92" s="6"/>
      <c r="J92" s="6"/>
      <c r="K92" s="15"/>
      <c r="L92" s="16"/>
      <c r="M92" s="16"/>
      <c r="N92" s="16" t="str">
        <f>IF(AND(N30=0,M30&gt;0),2650000*1.2,IF(AND(N30=0,M30=0,L30&gt;0),2650000*1.2,""))</f>
        <v/>
      </c>
      <c r="O92" s="16" t="str">
        <f t="shared" ref="O92:Z92" si="60">IF(AND(O30=0,N30&gt;0),2650000*1.2,IF(AND(O30=0,N30=0,M30&gt;0),2650000*1.2,""))</f>
        <v/>
      </c>
      <c r="P92" s="16" t="str">
        <f t="shared" si="60"/>
        <v/>
      </c>
      <c r="Q92" s="16" t="str">
        <f t="shared" si="60"/>
        <v/>
      </c>
      <c r="R92" s="16" t="str">
        <f t="shared" si="60"/>
        <v/>
      </c>
      <c r="S92" s="16">
        <f t="shared" si="60"/>
        <v>3180000</v>
      </c>
      <c r="T92" s="16">
        <f t="shared" si="60"/>
        <v>3180000</v>
      </c>
      <c r="U92" s="16" t="str">
        <f t="shared" si="60"/>
        <v/>
      </c>
      <c r="V92" s="16" t="str">
        <f t="shared" si="60"/>
        <v/>
      </c>
      <c r="W92" s="16" t="str">
        <f t="shared" si="60"/>
        <v/>
      </c>
      <c r="X92" s="16" t="str">
        <f t="shared" si="60"/>
        <v/>
      </c>
      <c r="Y92" s="16" t="str">
        <f t="shared" si="60"/>
        <v/>
      </c>
      <c r="Z92" s="16" t="str">
        <f t="shared" si="60"/>
        <v/>
      </c>
      <c r="AA92" s="16"/>
    </row>
    <row r="93" spans="2:27" x14ac:dyDescent="0.25">
      <c r="B93" t="s">
        <v>160</v>
      </c>
      <c r="C93" t="s">
        <v>43</v>
      </c>
      <c r="E93" s="11">
        <f>(E76-E75+SUM(E79:E81)+E85+SUM(E90:E92))/(E51+E52*E15/E14)</f>
        <v>9.6426262030694261</v>
      </c>
      <c r="F93" s="11">
        <f t="shared" ref="F93:J93" si="61">(F76-F75+SUM(F79:F81)+F85+SUM(F90:F92))/(F51+F52*F15/F14)</f>
        <v>8.5582939611470881</v>
      </c>
      <c r="G93" s="11">
        <f t="shared" si="61"/>
        <v>9.034512584085217</v>
      </c>
      <c r="H93" s="11">
        <f t="shared" si="61"/>
        <v>10.770866227427325</v>
      </c>
      <c r="I93" s="11">
        <f t="shared" si="61"/>
        <v>13.91089182508755</v>
      </c>
      <c r="J93" s="11">
        <f t="shared" si="61"/>
        <v>13.852882606007871</v>
      </c>
      <c r="K93" s="56">
        <f>AVERAGE(L93:Z93)</f>
        <v>18.383015188803288</v>
      </c>
      <c r="L93" s="24">
        <f>IFERROR((L76-L75+SUM(L79:L81)+L85+SUM(L90:L92))/(L51+L52*L15/L14),"")</f>
        <v>15.925814379004168</v>
      </c>
      <c r="M93" s="24">
        <f t="shared" ref="M93:Z93" si="62">IFERROR((M76-M75+SUM(M79:M81)+M85+SUM(M90:M92))/(M51+M52*M15/M14),"")</f>
        <v>16.078203243339036</v>
      </c>
      <c r="N93" s="24">
        <f t="shared" si="62"/>
        <v>16.55965360675026</v>
      </c>
      <c r="O93" s="24">
        <f t="shared" si="62"/>
        <v>18.443282053104348</v>
      </c>
      <c r="P93" s="24">
        <f t="shared" si="62"/>
        <v>16.50090601425428</v>
      </c>
      <c r="Q93" s="24">
        <f t="shared" si="62"/>
        <v>16.781431130780827</v>
      </c>
      <c r="R93" s="24">
        <f t="shared" si="62"/>
        <v>28.391815894390096</v>
      </c>
      <c r="S93" s="24" t="str">
        <f t="shared" si="62"/>
        <v/>
      </c>
      <c r="T93" s="24" t="str">
        <f t="shared" si="62"/>
        <v/>
      </c>
      <c r="U93" s="24" t="str">
        <f t="shared" si="62"/>
        <v/>
      </c>
      <c r="V93" s="24" t="str">
        <f t="shared" si="62"/>
        <v/>
      </c>
      <c r="W93" s="24" t="str">
        <f t="shared" si="62"/>
        <v/>
      </c>
      <c r="X93" s="24" t="str">
        <f t="shared" si="62"/>
        <v/>
      </c>
      <c r="Y93" s="24" t="str">
        <f t="shared" si="62"/>
        <v/>
      </c>
      <c r="Z93" s="24" t="str">
        <f t="shared" si="62"/>
        <v/>
      </c>
      <c r="AA93" s="13"/>
    </row>
    <row r="94" spans="2:27" x14ac:dyDescent="0.25">
      <c r="H94" s="6"/>
      <c r="K94" s="26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2:27" ht="15.75" thickBot="1" x14ac:dyDescent="0.3">
      <c r="B95" s="14" t="s">
        <v>162</v>
      </c>
      <c r="K95" s="26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2:27" x14ac:dyDescent="0.25">
      <c r="B96" t="s">
        <v>162</v>
      </c>
      <c r="C96" t="s">
        <v>93</v>
      </c>
      <c r="E96" s="6">
        <f>E87+E75-SUM(E90:E92)</f>
        <v>52529000</v>
      </c>
      <c r="F96" s="6">
        <f t="shared" ref="F96:Z96" si="63">F87+F75-SUM(F90:F92)</f>
        <v>56511000</v>
      </c>
      <c r="G96" s="6">
        <f t="shared" si="63"/>
        <v>59466000</v>
      </c>
      <c r="H96" s="6">
        <f t="shared" si="63"/>
        <v>59079000</v>
      </c>
      <c r="I96" s="6">
        <f t="shared" si="63"/>
        <v>52011000</v>
      </c>
      <c r="J96" s="6">
        <f t="shared" si="63"/>
        <v>11255000</v>
      </c>
      <c r="K96" s="15">
        <f>SUM(L96:Z96)</f>
        <v>104744702.57853171</v>
      </c>
      <c r="L96" s="16">
        <f t="shared" si="63"/>
        <v>9687415.4800534956</v>
      </c>
      <c r="M96" s="16">
        <f t="shared" si="63"/>
        <v>9437670.6931807101</v>
      </c>
      <c r="N96" s="16">
        <f t="shared" si="63"/>
        <v>9961904.466256598</v>
      </c>
      <c r="O96" s="16">
        <f t="shared" si="63"/>
        <v>8969065.1201285087</v>
      </c>
      <c r="P96" s="16">
        <f t="shared" si="63"/>
        <v>37031529.175762951</v>
      </c>
      <c r="Q96" s="16">
        <f t="shared" si="63"/>
        <v>42893802.026825204</v>
      </c>
      <c r="R96" s="16">
        <f t="shared" si="63"/>
        <v>-6876684.3836757615</v>
      </c>
      <c r="S96" s="16">
        <f t="shared" si="63"/>
        <v>-3180000</v>
      </c>
      <c r="T96" s="16">
        <f t="shared" si="63"/>
        <v>-3180000</v>
      </c>
      <c r="U96" s="16">
        <f t="shared" si="63"/>
        <v>0</v>
      </c>
      <c r="V96" s="16">
        <f t="shared" si="63"/>
        <v>0</v>
      </c>
      <c r="W96" s="16">
        <f t="shared" si="63"/>
        <v>0</v>
      </c>
      <c r="X96" s="16">
        <f t="shared" si="63"/>
        <v>0</v>
      </c>
      <c r="Y96" s="16">
        <f t="shared" si="63"/>
        <v>0</v>
      </c>
      <c r="Z96" s="16">
        <f t="shared" si="63"/>
        <v>0</v>
      </c>
      <c r="AA96" s="13"/>
    </row>
    <row r="97" spans="2:27" x14ac:dyDescent="0.25">
      <c r="B97" s="3" t="s">
        <v>163</v>
      </c>
      <c r="C97" s="3" t="s">
        <v>93</v>
      </c>
      <c r="K97" s="15">
        <f>SUM(L97:Z97)</f>
        <v>97440419.798827037</v>
      </c>
      <c r="L97" s="15">
        <f>L96</f>
        <v>9687415.4800534956</v>
      </c>
      <c r="M97" s="15">
        <f>M96/(1+$D$4)^(0.25)</f>
        <v>9239800.3886684887</v>
      </c>
      <c r="N97" s="15">
        <f>N96/(1+$D$4)^(0.5)</f>
        <v>9548560.6657115463</v>
      </c>
      <c r="O97" s="15">
        <f>O96/(1+$D$4)^(0.75)</f>
        <v>8416673.6079192329</v>
      </c>
      <c r="P97" s="15">
        <f>P96/(1+$D$4)^(1)</f>
        <v>34022225.937501378</v>
      </c>
      <c r="Q97" s="15">
        <f>Q96/(1+$D$4)^(2)</f>
        <v>36205679.234076083</v>
      </c>
      <c r="R97" s="15">
        <f>R96/(1+$D$4)^(3)</f>
        <v>-5332763.5371477921</v>
      </c>
      <c r="S97" s="15">
        <f>S96/(1+$D$4)^(4)</f>
        <v>-2265642.7612741585</v>
      </c>
      <c r="T97" s="15">
        <f>T96/(1+$D$4)^(5)</f>
        <v>-2081529.2166812287</v>
      </c>
      <c r="U97" s="15">
        <f>U96/(1+$D$4)^(6)</f>
        <v>0</v>
      </c>
      <c r="V97" s="15">
        <f>V96/(1+$D$4)^(7)</f>
        <v>0</v>
      </c>
      <c r="W97" s="15">
        <f>W96/(1+$D$4)^(8)</f>
        <v>0</v>
      </c>
      <c r="X97" s="15">
        <f>X96/(1+$D$4)^(9)</f>
        <v>0</v>
      </c>
      <c r="Y97" s="15">
        <f>Y96/(1+$D$4)^(10)</f>
        <v>0</v>
      </c>
      <c r="Z97" s="15">
        <f>Z96/(1+$D$4)^(11)</f>
        <v>0</v>
      </c>
      <c r="AA97" s="13"/>
    </row>
  </sheetData>
  <pageMargins left="0.7" right="0.7" top="0.75" bottom="0.75" header="0.3" footer="0.3"/>
  <pageSetup orientation="portrait" r:id="rId1"/>
  <ignoredErrors>
    <ignoredError sqref="H29 V18:V19 V22:V26 U30 Y30 U31:U32 Y31:Y32 Y69 U69 K30 K51:K52 K55:K57 K96 K73 K71 K76 K86" formula="1"/>
    <ignoredError sqref="E71:J71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8B17-CDC5-4E41-BDB6-E5EC77F83BD9}">
  <dimension ref="A1:AZ79"/>
  <sheetViews>
    <sheetView showGridLines="0" topLeftCell="A10" zoomScaleNormal="100" workbookViewId="0">
      <selection activeCell="H71" sqref="H71"/>
    </sheetView>
  </sheetViews>
  <sheetFormatPr defaultRowHeight="15" x14ac:dyDescent="0.25"/>
  <cols>
    <col min="1" max="1" width="10.42578125" customWidth="1"/>
    <col min="2" max="2" width="36.85546875" bestFit="1" customWidth="1"/>
    <col min="3" max="3" width="10.85546875" customWidth="1"/>
    <col min="4" max="4" width="9.5703125" customWidth="1"/>
    <col min="5" max="5" width="12.7109375" bestFit="1" customWidth="1"/>
    <col min="6" max="6" width="10.85546875" bestFit="1" customWidth="1"/>
    <col min="7" max="7" width="15.28515625" bestFit="1" customWidth="1"/>
    <col min="8" max="8" width="18.5703125" bestFit="1" customWidth="1"/>
    <col min="9" max="9" width="12" bestFit="1" customWidth="1"/>
    <col min="10" max="10" width="12.7109375" bestFit="1" customWidth="1"/>
    <col min="11" max="12" width="15.28515625" bestFit="1" customWidth="1"/>
    <col min="13" max="13" width="18.5703125" bestFit="1" customWidth="1"/>
    <col min="14" max="14" width="10.85546875" bestFit="1" customWidth="1"/>
    <col min="15" max="15" width="12.7109375" bestFit="1" customWidth="1"/>
    <col min="16" max="16" width="12" bestFit="1" customWidth="1"/>
    <col min="17" max="17" width="15.28515625" bestFit="1" customWidth="1"/>
    <col min="18" max="18" width="18.5703125" bestFit="1" customWidth="1"/>
    <col min="19" max="30" width="12" bestFit="1" customWidth="1"/>
    <col min="31" max="45" width="10.85546875" bestFit="1" customWidth="1"/>
    <col min="46" max="46" width="9.85546875" bestFit="1" customWidth="1"/>
  </cols>
  <sheetData>
    <row r="1" spans="1:52" ht="23.25" x14ac:dyDescent="0.35">
      <c r="A1" s="1" t="s">
        <v>186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 x14ac:dyDescent="0.25">
      <c r="A2" s="3" t="s">
        <v>9</v>
      </c>
    </row>
    <row r="3" spans="1:52" x14ac:dyDescent="0.25">
      <c r="A3" t="s">
        <v>187</v>
      </c>
    </row>
    <row r="4" spans="1:52" x14ac:dyDescent="0.25">
      <c r="A4" t="s">
        <v>185</v>
      </c>
      <c r="C4" s="3" t="s">
        <v>1</v>
      </c>
      <c r="D4" s="4">
        <f>WACC!C23</f>
        <v>8.8451097931970868E-2</v>
      </c>
    </row>
    <row r="6" spans="1:52" x14ac:dyDescent="0.25">
      <c r="B6" s="3" t="s">
        <v>2</v>
      </c>
      <c r="E6" s="3" t="s">
        <v>3</v>
      </c>
      <c r="F6" s="3" t="s">
        <v>4</v>
      </c>
      <c r="G6" s="3" t="s">
        <v>6</v>
      </c>
      <c r="H6" s="3" t="s">
        <v>8</v>
      </c>
      <c r="J6" s="3" t="s">
        <v>3</v>
      </c>
      <c r="K6" s="3" t="s">
        <v>4</v>
      </c>
      <c r="L6" s="3" t="s">
        <v>6</v>
      </c>
      <c r="M6" s="3" t="s">
        <v>8</v>
      </c>
      <c r="O6" s="3" t="s">
        <v>3</v>
      </c>
      <c r="P6" s="3" t="s">
        <v>4</v>
      </c>
      <c r="Q6" s="3" t="s">
        <v>6</v>
      </c>
      <c r="R6" s="3" t="s">
        <v>8</v>
      </c>
    </row>
    <row r="7" spans="1:52" x14ac:dyDescent="0.25">
      <c r="B7" t="s">
        <v>11</v>
      </c>
      <c r="C7" s="5">
        <v>1</v>
      </c>
      <c r="E7" t="s">
        <v>12</v>
      </c>
      <c r="F7" s="6">
        <f>25786000-J29</f>
        <v>24490245</v>
      </c>
      <c r="G7">
        <v>0.66</v>
      </c>
      <c r="H7" s="6">
        <f>F7*G7/Auxiliary!$C$4</f>
        <v>519670.57586308167</v>
      </c>
      <c r="J7" t="s">
        <v>13</v>
      </c>
      <c r="K7" s="6">
        <v>1723000</v>
      </c>
      <c r="L7" s="11">
        <v>0.5</v>
      </c>
      <c r="M7" s="6">
        <f>K7*L7/Auxiliary!$C$4</f>
        <v>27697.868168873007</v>
      </c>
      <c r="O7" t="s">
        <v>14</v>
      </c>
      <c r="P7" s="6">
        <v>27052000</v>
      </c>
      <c r="Q7">
        <v>0.43</v>
      </c>
      <c r="R7" s="6">
        <f>P7*Q7/Auxiliary!$C$4</f>
        <v>373989.05835504539</v>
      </c>
    </row>
    <row r="8" spans="1:52" x14ac:dyDescent="0.25">
      <c r="B8" t="s">
        <v>15</v>
      </c>
      <c r="C8" s="5">
        <v>0.5</v>
      </c>
      <c r="E8" s="69" t="s">
        <v>16</v>
      </c>
      <c r="F8" s="7">
        <v>62821000</v>
      </c>
      <c r="G8" s="8">
        <v>0.53</v>
      </c>
      <c r="H8" s="7">
        <f>F8*G8/Auxiliary!$C$4</f>
        <v>1070463.2865995225</v>
      </c>
      <c r="J8" s="69" t="s">
        <v>17</v>
      </c>
      <c r="K8" s="7">
        <v>31552000</v>
      </c>
      <c r="L8" s="8">
        <v>0.38</v>
      </c>
      <c r="M8" s="7">
        <f>K8*L8/Auxiliary!$C$4</f>
        <v>385479.735178673</v>
      </c>
    </row>
    <row r="9" spans="1:52" x14ac:dyDescent="0.25">
      <c r="B9" t="s">
        <v>18</v>
      </c>
      <c r="C9" s="5">
        <v>0</v>
      </c>
      <c r="E9" t="s">
        <v>19</v>
      </c>
      <c r="F9" s="6">
        <f>SUM(F7:F8)</f>
        <v>87311245</v>
      </c>
      <c r="G9" s="11">
        <f>(F7*G7+F8*G8)/F9</f>
        <v>0.56646416735896965</v>
      </c>
      <c r="H9" s="6">
        <f>SUM(H7:H8)</f>
        <v>1590133.8624626042</v>
      </c>
      <c r="J9" t="s">
        <v>19</v>
      </c>
      <c r="K9" s="6">
        <f>SUM(K7:K8)</f>
        <v>33275000</v>
      </c>
      <c r="L9" s="11">
        <f>(K7*L7+K8*L8)/K9</f>
        <v>0.38621367392937639</v>
      </c>
      <c r="M9" s="6">
        <f>SUM(M7:M8)</f>
        <v>413177.60334754601</v>
      </c>
    </row>
    <row r="11" spans="1:52" x14ac:dyDescent="0.25">
      <c r="B11" s="12" t="s">
        <v>20</v>
      </c>
      <c r="C11" s="12" t="s">
        <v>21</v>
      </c>
      <c r="D11" s="12"/>
      <c r="E11" s="12" t="s">
        <v>22</v>
      </c>
      <c r="F11" s="12" t="s">
        <v>23</v>
      </c>
      <c r="G11" s="12" t="s">
        <v>24</v>
      </c>
      <c r="H11" s="12" t="s">
        <v>25</v>
      </c>
      <c r="I11" s="12" t="s">
        <v>26</v>
      </c>
      <c r="J11" s="12" t="s">
        <v>27</v>
      </c>
      <c r="K11" s="12" t="s">
        <v>28</v>
      </c>
      <c r="L11" s="12" t="s">
        <v>29</v>
      </c>
      <c r="M11" s="12" t="s">
        <v>30</v>
      </c>
      <c r="N11" s="12" t="s">
        <v>31</v>
      </c>
      <c r="O11" s="12" t="s">
        <v>32</v>
      </c>
      <c r="P11" s="12" t="s">
        <v>33</v>
      </c>
      <c r="Q11" s="12" t="s">
        <v>34</v>
      </c>
      <c r="R11" s="12" t="s">
        <v>35</v>
      </c>
      <c r="S11" s="12" t="s">
        <v>36</v>
      </c>
      <c r="T11" s="12" t="s">
        <v>37</v>
      </c>
      <c r="U11" s="12" t="s">
        <v>38</v>
      </c>
      <c r="V11" s="12" t="s">
        <v>39</v>
      </c>
      <c r="W11" s="12" t="s">
        <v>40</v>
      </c>
      <c r="X11" s="12" t="s">
        <v>41</v>
      </c>
      <c r="Y11" s="12" t="s">
        <v>54</v>
      </c>
      <c r="Z11" s="12" t="s">
        <v>55</v>
      </c>
      <c r="AA11" s="12" t="s">
        <v>71</v>
      </c>
      <c r="AB11" s="12" t="s">
        <v>72</v>
      </c>
      <c r="AC11" s="12" t="s">
        <v>73</v>
      </c>
      <c r="AD11" s="12" t="s">
        <v>74</v>
      </c>
      <c r="AE11" s="12" t="s">
        <v>75</v>
      </c>
      <c r="AF11" s="12" t="s">
        <v>76</v>
      </c>
      <c r="AG11" s="12" t="s">
        <v>77</v>
      </c>
      <c r="AH11" s="12" t="s">
        <v>78</v>
      </c>
      <c r="AI11" s="12" t="s">
        <v>79</v>
      </c>
      <c r="AJ11" s="12" t="s">
        <v>80</v>
      </c>
      <c r="AK11" s="12" t="s">
        <v>81</v>
      </c>
      <c r="AL11" s="12" t="s">
        <v>180</v>
      </c>
      <c r="AM11" s="12" t="s">
        <v>181</v>
      </c>
      <c r="AN11" s="12" t="s">
        <v>191</v>
      </c>
      <c r="AO11" s="12" t="s">
        <v>192</v>
      </c>
      <c r="AP11" s="12" t="s">
        <v>193</v>
      </c>
      <c r="AQ11" s="12" t="s">
        <v>194</v>
      </c>
      <c r="AR11" s="12" t="s">
        <v>195</v>
      </c>
      <c r="AS11" s="12" t="s">
        <v>196</v>
      </c>
      <c r="AT11" s="12" t="s">
        <v>197</v>
      </c>
      <c r="AU11" s="12" t="s">
        <v>198</v>
      </c>
      <c r="AV11" s="12" t="s">
        <v>199</v>
      </c>
      <c r="AW11" s="12" t="s">
        <v>200</v>
      </c>
      <c r="AX11" s="12" t="s">
        <v>201</v>
      </c>
      <c r="AY11" s="12"/>
      <c r="AZ11" s="12"/>
    </row>
    <row r="12" spans="1:52" x14ac:dyDescent="0.25"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2" ht="15.75" thickBot="1" x14ac:dyDescent="0.3">
      <c r="B13" s="14" t="s">
        <v>42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2" x14ac:dyDescent="0.25">
      <c r="B14" t="s">
        <v>85</v>
      </c>
      <c r="C14" t="s">
        <v>43</v>
      </c>
      <c r="E14" s="6"/>
      <c r="F14" s="6"/>
      <c r="G14" s="6"/>
      <c r="H14" s="6">
        <v>1853</v>
      </c>
      <c r="I14" s="6">
        <v>1785</v>
      </c>
      <c r="J14" s="6">
        <v>1890</v>
      </c>
      <c r="K14" s="15">
        <f>AVERAGE(L14:AW14)</f>
        <v>1757.1052631578948</v>
      </c>
      <c r="L14" s="16">
        <f>'Central sheet'!L23</f>
        <v>1870</v>
      </c>
      <c r="M14" s="16">
        <f>'Central sheet'!M23</f>
        <v>1850</v>
      </c>
      <c r="N14" s="16">
        <f>'Central sheet'!N23</f>
        <v>1800</v>
      </c>
      <c r="O14" s="16">
        <f>'Central sheet'!O23</f>
        <v>1750</v>
      </c>
      <c r="P14" s="16">
        <f>'Central sheet'!P23</f>
        <v>1750</v>
      </c>
      <c r="Q14" s="16">
        <f>'Central sheet'!Q23</f>
        <v>1750</v>
      </c>
      <c r="R14" s="16">
        <f>'Central sheet'!R23</f>
        <v>1750</v>
      </c>
      <c r="S14" s="16">
        <f>'Central sheet'!S23</f>
        <v>1750</v>
      </c>
      <c r="T14" s="16">
        <f>'Central sheet'!T23</f>
        <v>1750</v>
      </c>
      <c r="U14" s="16">
        <f>'Central sheet'!U23</f>
        <v>1750</v>
      </c>
      <c r="V14" s="16">
        <f>'Central sheet'!V23</f>
        <v>1750</v>
      </c>
      <c r="W14" s="16">
        <f>'Central sheet'!W23</f>
        <v>1750</v>
      </c>
      <c r="X14" s="16">
        <f>'Central sheet'!X23</f>
        <v>1750</v>
      </c>
      <c r="Y14" s="16">
        <f>'Central sheet'!Y23</f>
        <v>1750</v>
      </c>
      <c r="Z14" s="16">
        <f>'Central sheet'!Z23</f>
        <v>1750</v>
      </c>
      <c r="AA14" s="16">
        <f>'Central sheet'!AA23</f>
        <v>1750</v>
      </c>
      <c r="AB14" s="16">
        <f>'Central sheet'!AB23</f>
        <v>1750</v>
      </c>
      <c r="AC14" s="16">
        <f>'Central sheet'!AC23</f>
        <v>1750</v>
      </c>
      <c r="AD14" s="16">
        <f>'Central sheet'!AD23</f>
        <v>1750</v>
      </c>
      <c r="AE14" s="16">
        <f>'Central sheet'!AE23</f>
        <v>1750</v>
      </c>
      <c r="AF14" s="16">
        <f>'Central sheet'!AF23</f>
        <v>1750</v>
      </c>
      <c r="AG14" s="16">
        <f>'Central sheet'!AG23</f>
        <v>1750</v>
      </c>
      <c r="AH14" s="16">
        <f>'Central sheet'!AH23</f>
        <v>1750</v>
      </c>
      <c r="AI14" s="16">
        <f>'Central sheet'!AI23</f>
        <v>1750</v>
      </c>
      <c r="AJ14" s="16">
        <f>'Central sheet'!AJ23</f>
        <v>1750</v>
      </c>
      <c r="AK14" s="16">
        <f>'Central sheet'!AK23</f>
        <v>1750</v>
      </c>
      <c r="AL14" s="16">
        <f>'Central sheet'!AL23</f>
        <v>1750</v>
      </c>
      <c r="AM14" s="16">
        <f>'Central sheet'!AM23</f>
        <v>1750</v>
      </c>
      <c r="AN14" s="16">
        <f>'Central sheet'!AN23</f>
        <v>1750</v>
      </c>
      <c r="AO14" s="16">
        <f>'Central sheet'!AO23</f>
        <v>1750</v>
      </c>
      <c r="AP14" s="16">
        <f>'Central sheet'!AP23</f>
        <v>1750</v>
      </c>
      <c r="AQ14" s="16">
        <f>'Central sheet'!AQ23</f>
        <v>1750</v>
      </c>
      <c r="AR14" s="16">
        <f>'Central sheet'!AR23</f>
        <v>1750</v>
      </c>
      <c r="AS14" s="16">
        <f>'Central sheet'!AS23</f>
        <v>1750</v>
      </c>
      <c r="AT14" s="16">
        <f>'Central sheet'!AT23</f>
        <v>1750</v>
      </c>
      <c r="AU14" s="16">
        <f>'Central sheet'!AU23</f>
        <v>1750</v>
      </c>
      <c r="AV14" s="16">
        <f>'Central sheet'!AV23</f>
        <v>1750</v>
      </c>
      <c r="AW14" s="16">
        <f>'Central sheet'!AW23</f>
        <v>1750</v>
      </c>
      <c r="AX14" s="13"/>
    </row>
    <row r="15" spans="1:52" x14ac:dyDescent="0.25"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2" ht="15.75" thickBot="1" x14ac:dyDescent="0.3">
      <c r="B16" s="14" t="s">
        <v>56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2:50" x14ac:dyDescent="0.25">
      <c r="B17" t="s">
        <v>12</v>
      </c>
      <c r="C17" t="s">
        <v>57</v>
      </c>
      <c r="J17" s="6">
        <v>25786000</v>
      </c>
      <c r="K17" s="15">
        <f>L17</f>
        <v>24490245</v>
      </c>
      <c r="L17" s="16">
        <f>F7</f>
        <v>24490245</v>
      </c>
      <c r="M17" s="16">
        <f>IF(L17-L28*91&gt;=0,L17-L28*91,0)</f>
        <v>22790245</v>
      </c>
      <c r="N17" s="16">
        <f>IF(M17-M28*92&gt;=0,M17-M28*92,0)</f>
        <v>21090245</v>
      </c>
      <c r="O17" s="16">
        <f>IF(N17-N28*92&gt;=0,N17-N28*92,0)</f>
        <v>19586000</v>
      </c>
      <c r="P17" s="16">
        <f>IF(O17-O28*90&gt;=0,O17-O28*90,0)</f>
        <v>18025940</v>
      </c>
      <c r="Q17" s="16">
        <f>IF(P17-P28*275&gt;=0,P17-P28*275,0)</f>
        <v>13259090</v>
      </c>
      <c r="R17" s="16">
        <f>IF(Q17-Q28*366&gt;=0,Q17-Q28*366,0)</f>
        <v>6914846</v>
      </c>
      <c r="S17" s="16">
        <f>IF(R17-R28*365&gt;=0,R17-R28*365,0)</f>
        <v>587936</v>
      </c>
      <c r="T17" s="16">
        <f t="shared" ref="T17:U17" si="0">IF(S17-S28*365&gt;=0,S17-S28*365,0)</f>
        <v>0</v>
      </c>
      <c r="U17" s="16">
        <f t="shared" si="0"/>
        <v>0</v>
      </c>
      <c r="V17" s="16">
        <f>IF(U17-U28*366&gt;=0,U17-U28*366,0)</f>
        <v>0</v>
      </c>
      <c r="W17" s="16">
        <f>IF(V17-V28*365&gt;=0,V17-V28*365,0)</f>
        <v>0</v>
      </c>
      <c r="X17" s="16">
        <f t="shared" ref="X17:Y17" si="1">IF(W17-W28*365&gt;=0,W17-W28*365,0)</f>
        <v>0</v>
      </c>
      <c r="Y17" s="16">
        <f t="shared" si="1"/>
        <v>0</v>
      </c>
      <c r="Z17" s="16">
        <f>IF(Y17-Y28*366&gt;=0,Y17-Y28*366,0)</f>
        <v>0</v>
      </c>
      <c r="AA17" s="16">
        <f>IF(Z17-Z28*365&gt;=0,Z17-Z28*365,0)</f>
        <v>0</v>
      </c>
      <c r="AB17" s="16">
        <f t="shared" ref="AB17:AW17" si="2">IF(AA17-AA28*365&gt;=0,AA17-AA28*365,0)</f>
        <v>0</v>
      </c>
      <c r="AC17" s="16">
        <f t="shared" si="2"/>
        <v>0</v>
      </c>
      <c r="AD17" s="16">
        <f>IF(AC17-AC28*366&gt;=0,AC17-AC28*366,0)</f>
        <v>0</v>
      </c>
      <c r="AE17" s="16">
        <f t="shared" si="2"/>
        <v>0</v>
      </c>
      <c r="AF17" s="16">
        <f t="shared" si="2"/>
        <v>0</v>
      </c>
      <c r="AG17" s="16">
        <f t="shared" si="2"/>
        <v>0</v>
      </c>
      <c r="AH17" s="16">
        <f>IF(AG17-AG28*366&gt;=0,AG17-AG28*366,0)</f>
        <v>0</v>
      </c>
      <c r="AI17" s="16">
        <f t="shared" si="2"/>
        <v>0</v>
      </c>
      <c r="AJ17" s="16">
        <f t="shared" si="2"/>
        <v>0</v>
      </c>
      <c r="AK17" s="16">
        <f t="shared" si="2"/>
        <v>0</v>
      </c>
      <c r="AL17" s="16">
        <f t="shared" si="2"/>
        <v>0</v>
      </c>
      <c r="AM17" s="16">
        <f>IF(AL17-AL28*366&gt;=0,AL17-AL28*366,0)</f>
        <v>0</v>
      </c>
      <c r="AN17" s="16">
        <f t="shared" si="2"/>
        <v>0</v>
      </c>
      <c r="AO17" s="16">
        <f t="shared" si="2"/>
        <v>0</v>
      </c>
      <c r="AP17" s="16">
        <f t="shared" si="2"/>
        <v>0</v>
      </c>
      <c r="AQ17" s="16">
        <f>IF(AP17-AP28*366&gt;=0,AP17-AP28*366,0)</f>
        <v>0</v>
      </c>
      <c r="AR17" s="16">
        <f t="shared" si="2"/>
        <v>0</v>
      </c>
      <c r="AS17" s="16">
        <f t="shared" si="2"/>
        <v>0</v>
      </c>
      <c r="AT17" s="16">
        <f t="shared" si="2"/>
        <v>0</v>
      </c>
      <c r="AU17" s="16">
        <f>IF(AT17-AT28*366&gt;=0,AT17-AT28*366,0)</f>
        <v>0</v>
      </c>
      <c r="AV17" s="16">
        <f t="shared" si="2"/>
        <v>0</v>
      </c>
      <c r="AW17" s="16">
        <f t="shared" si="2"/>
        <v>0</v>
      </c>
      <c r="AX17" s="13"/>
    </row>
    <row r="18" spans="2:50" x14ac:dyDescent="0.25">
      <c r="B18" t="s">
        <v>16</v>
      </c>
      <c r="C18" t="s">
        <v>57</v>
      </c>
      <c r="J18" s="6">
        <f>F8</f>
        <v>62821000</v>
      </c>
      <c r="K18" s="15">
        <f>J18</f>
        <v>62821000</v>
      </c>
      <c r="L18" s="16">
        <f>J18</f>
        <v>62821000</v>
      </c>
      <c r="M18" s="16">
        <f>IF(L17-L28*91&gt;=0,L18,IF(L18+L17-L28*91&gt;=0,L18+L17-L28*91,0))</f>
        <v>62821000</v>
      </c>
      <c r="N18" s="16">
        <f>IF(M17-M28*92&gt;=0,M18,IF(M18+M17-M28*92&gt;=0,M18+M17-M28*92,0))</f>
        <v>62821000</v>
      </c>
      <c r="O18" s="16">
        <f>IF(N17-N28*92&gt;=0,N18,IF(N18+N17-N28*92&gt;=0,N18+N17-N28*92,0))</f>
        <v>62821000</v>
      </c>
      <c r="P18" s="16">
        <f>IF(O17-O28*90&gt;=0,O18,IF(O18+O17-O28*90&gt;=0,O18+O17-O28*90,0))</f>
        <v>62821000</v>
      </c>
      <c r="Q18" s="16">
        <f>IF(P17-P28*275&gt;=0,P18,IF(P18+P17-P28*275&gt;=0,P18+P17-P28*275,0))</f>
        <v>62821000</v>
      </c>
      <c r="R18" s="16">
        <f>IF(Q17-Q28*366&gt;=0,Q18,IF(Q18+Q17-Q28*366&gt;=0,Q18+Q17-Q28*366,0))</f>
        <v>62821000</v>
      </c>
      <c r="S18" s="16">
        <f>IF(R17-R28*365&gt;=0,R18,IF(R18+R17-R28*365&gt;=0,R18+R17-R28*365,0))</f>
        <v>62821000</v>
      </c>
      <c r="T18" s="16">
        <f>IF(S17-S28*365&gt;=0,S18,IF(S18+S17-S28*365&gt;=0,S18+S17-S28*365,0))</f>
        <v>57082026</v>
      </c>
      <c r="U18" s="16">
        <f>IF(T17-T28*365&gt;=0,T18,IF(T18+T17-T28*365&gt;=0,T18+T17-T28*365,0))</f>
        <v>50755116</v>
      </c>
      <c r="V18" s="16">
        <f>IF(U17-U28*366&gt;=0,U18,IF(U18+U17-U28*366&gt;=0,U18+U17-U28*366,0))</f>
        <v>44410872</v>
      </c>
      <c r="W18" s="16">
        <f>IF(V17-V28*365&gt;=0,V18,IF(V18+V17-V28*365&gt;=0,V18+V17-V28*365,0))</f>
        <v>38083962</v>
      </c>
      <c r="X18" s="16">
        <f t="shared" ref="X18:Y18" si="3">IF(W17-W28*365&gt;=0,W18,IF(W18+W17-W28*365&gt;=0,W18+W17-W28*365,0))</f>
        <v>31757052</v>
      </c>
      <c r="Y18" s="16">
        <f t="shared" si="3"/>
        <v>25430142</v>
      </c>
      <c r="Z18" s="16">
        <f>IF(Y17-Y28*366&gt;=0,Y18,IF(Y18+Y17-Y28*366&gt;=0,Y18+Y17-Y28*366,0))</f>
        <v>19085898</v>
      </c>
      <c r="AA18" s="16">
        <f>IF(Z17-Z28*365&gt;=0,Z18,IF(Z18+Z17-Z28*365&gt;=0,Z18+Z17-Z28*365,0))</f>
        <v>12758988</v>
      </c>
      <c r="AB18" s="16">
        <f t="shared" ref="AB18:AW18" si="4">IF(AA17-AA28*365&gt;=0,AA18,IF(AA18+AA17-AA28*365&gt;=0,AA18+AA17-AA28*365,0))</f>
        <v>6432078</v>
      </c>
      <c r="AC18" s="16">
        <f t="shared" si="4"/>
        <v>105168</v>
      </c>
      <c r="AD18" s="16">
        <f>IF(AC17-AC28*366&gt;=0,AC18,IF(AC18+AC17-AC28*366&gt;=0,AC18+AC17-AC28*366,0))</f>
        <v>0</v>
      </c>
      <c r="AE18" s="16">
        <f t="shared" si="4"/>
        <v>0</v>
      </c>
      <c r="AF18" s="16">
        <f t="shared" si="4"/>
        <v>0</v>
      </c>
      <c r="AG18" s="16">
        <f t="shared" si="4"/>
        <v>0</v>
      </c>
      <c r="AH18" s="16">
        <f>IF(AG17-AG28*366&gt;=0,AG18,IF(AG18+AG17-AG28*366&gt;=0,AG18+AG17-AG28*366,0))</f>
        <v>0</v>
      </c>
      <c r="AI18" s="16">
        <f t="shared" si="4"/>
        <v>0</v>
      </c>
      <c r="AJ18" s="16">
        <f t="shared" si="4"/>
        <v>0</v>
      </c>
      <c r="AK18" s="16">
        <f t="shared" si="4"/>
        <v>0</v>
      </c>
      <c r="AL18" s="16">
        <f t="shared" si="4"/>
        <v>0</v>
      </c>
      <c r="AM18" s="16">
        <f>IF(AL17-AL28*366&gt;=0,AL18,IF(AL18+AL17-AL28*366&gt;=0,AL18+AL17-AL28*366,0))</f>
        <v>0</v>
      </c>
      <c r="AN18" s="16">
        <f t="shared" si="4"/>
        <v>0</v>
      </c>
      <c r="AO18" s="16">
        <f t="shared" si="4"/>
        <v>0</v>
      </c>
      <c r="AP18" s="16">
        <f t="shared" si="4"/>
        <v>0</v>
      </c>
      <c r="AQ18" s="16">
        <f>IF(AP17-AP28*366&gt;=0,AP18,IF(AP18+AP17-AP28*366&gt;=0,AP18+AP17-AP28*366,0))</f>
        <v>0</v>
      </c>
      <c r="AR18" s="16">
        <f t="shared" si="4"/>
        <v>0</v>
      </c>
      <c r="AS18" s="16">
        <f t="shared" si="4"/>
        <v>0</v>
      </c>
      <c r="AT18" s="16">
        <f t="shared" si="4"/>
        <v>0</v>
      </c>
      <c r="AU18" s="16">
        <f>IF(AT17-AT28*366&gt;=0,AT18,IF(AT18+AT17-AT28*366&gt;=0,AT18+AT17-AT28*366,0))</f>
        <v>0</v>
      </c>
      <c r="AV18" s="16">
        <f t="shared" si="4"/>
        <v>0</v>
      </c>
      <c r="AW18" s="16">
        <f t="shared" si="4"/>
        <v>0</v>
      </c>
      <c r="AX18" s="13"/>
    </row>
    <row r="19" spans="2:50" x14ac:dyDescent="0.25">
      <c r="J19" s="6"/>
      <c r="K19" s="26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2:50" ht="15.75" thickBot="1" x14ac:dyDescent="0.3">
      <c r="B20" s="14" t="s">
        <v>58</v>
      </c>
      <c r="J20" s="6"/>
      <c r="K20" s="2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2:50" x14ac:dyDescent="0.25">
      <c r="B21" t="s">
        <v>13</v>
      </c>
      <c r="C21" t="s">
        <v>57</v>
      </c>
      <c r="J21" s="6">
        <f>K7*C7</f>
        <v>1723000</v>
      </c>
      <c r="K21" s="15">
        <f>J21</f>
        <v>1723000</v>
      </c>
      <c r="L21" s="16">
        <f>J21</f>
        <v>1723000</v>
      </c>
      <c r="M21" s="16">
        <f>IF(SUM(L17:L18)-L28*91&gt;=0,L21,IF(SUM(L17:L18)+L21-L28*91&gt;=0,SUM(L17:L18)+L21-L28*91,0))</f>
        <v>1723000</v>
      </c>
      <c r="N21" s="16">
        <f>IF(SUM(M17:M18)-M28*92&gt;=0,M21,IF(SUM(M17:M18)+M21-M28*92&gt;=0,SUM(M17:M18)+M21-M28*92,0))</f>
        <v>1723000</v>
      </c>
      <c r="O21" s="16">
        <f>IF(SUM(N17:N18)-N28*92&gt;=0,N21,IF(SUM(N17:N18)+N21-N28*92&gt;=0,SUM(N17:N18)+N21-N28*92,0))</f>
        <v>1723000</v>
      </c>
      <c r="P21" s="16">
        <f>IF(SUM(O17:O18)-O28*90&gt;=0,O21,IF(SUM(O17:O18)+O21-O28*90&gt;=0,SUM(O17:O18)+O21-O28*90,0))</f>
        <v>1723000</v>
      </c>
      <c r="Q21" s="16">
        <f>IF(SUM(P17:P18)-P28*275&gt;=0,P21,IF(SUM(P17:P18)+P21-P28*275&gt;=0,SUM(P17:P18)+P21-P28*275,0))</f>
        <v>1723000</v>
      </c>
      <c r="R21" s="16">
        <f>IF(SUM(Q17:Q18)-Q28*366&gt;=0,Q21,IF(SUM(Q17:Q18)+Q21-Q28*366&gt;=0,SUM(Q17:Q18)+Q21-Q28*366,0))</f>
        <v>1723000</v>
      </c>
      <c r="S21" s="16">
        <f>IF(SUM(R17:R18)-R28*365&gt;=0,R21,IF(SUM(R17:R18)+R21-R28*365&gt;=0,SUM(R17:R18)+R21-R28*365,0))</f>
        <v>1723000</v>
      </c>
      <c r="T21" s="16">
        <f>IF(SUM(S17:S18)-S28*365&gt;=0,S21,IF(SUM(S17:S18)+S21-S28*365&gt;=0,SUM(S17:S18)+S21-S28*365,0))</f>
        <v>1723000</v>
      </c>
      <c r="U21" s="16">
        <f>IF(SUM(T17:T18)-T28*365&gt;=0,T21,IF(SUM(T17:T18)+T21-T28*365&gt;=0,SUM(T17:T18)+T21-T28*365,0))</f>
        <v>1723000</v>
      </c>
      <c r="V21" s="16">
        <f>IF(SUM(U17:U18)-U28*366&gt;=0,U21,IF(SUM(U17:U18)+U21-U28*366&gt;=0,SUM(U17:U18)+U21-U28*366,0))</f>
        <v>1723000</v>
      </c>
      <c r="W21" s="16">
        <f>IF(SUM(V17:V18)-V28*365&gt;=0,V21,IF(SUM(V17:V18)+V21-V28*365&gt;=0,SUM(V17:V18)+V21-V28*365,0))</f>
        <v>1723000</v>
      </c>
      <c r="X21" s="16">
        <f>IF(SUM(W17:W18)-W28*365&gt;=0,W21,IF(SUM(W17:W18)+W21-W28*365&gt;=0,SUM(W17:W18)+W21-W28*365,0))</f>
        <v>1723000</v>
      </c>
      <c r="Y21" s="16">
        <f t="shared" ref="Y21" si="5">IF(SUM(X17:X18)-X28*365&gt;=0,X21,IF(SUM(X17:X18)+X21-X28*365&gt;=0,SUM(X17:X18)+X21-X28*365,0))</f>
        <v>1723000</v>
      </c>
      <c r="Z21" s="16">
        <f>IF(SUM(Y17:Y18)-Y28*366&gt;=0,Y21,IF(SUM(Y17:Y18)+Y21-Y28*366&gt;=0,SUM(Y17:Y18)+Y21-Y28*366,0))</f>
        <v>1723000</v>
      </c>
      <c r="AA21" s="16">
        <f>IF(SUM(Z17:Z18)-Z28*365&gt;=0,Z21,IF(SUM(Z17:Z18)+Z21-Z28*365&gt;=0,SUM(Z17:Z18)+Z21-Z28*365,0))</f>
        <v>1723000</v>
      </c>
      <c r="AB21" s="16">
        <f t="shared" ref="AB21:AW21" si="6">IF(SUM(AA17:AA18)-AA28*365&gt;=0,AA21,IF(SUM(AA17:AA18)+AA21-AA28*365&gt;=0,SUM(AA17:AA18)+AA21-AA28*365,0))</f>
        <v>1723000</v>
      </c>
      <c r="AC21" s="16">
        <f t="shared" si="6"/>
        <v>1723000</v>
      </c>
      <c r="AD21" s="16">
        <f t="shared" si="6"/>
        <v>0</v>
      </c>
      <c r="AE21" s="16">
        <f t="shared" si="6"/>
        <v>0</v>
      </c>
      <c r="AF21" s="16">
        <f t="shared" si="6"/>
        <v>0</v>
      </c>
      <c r="AG21" s="16">
        <f t="shared" si="6"/>
        <v>0</v>
      </c>
      <c r="AH21" s="16">
        <f t="shared" si="6"/>
        <v>0</v>
      </c>
      <c r="AI21" s="16">
        <f t="shared" si="6"/>
        <v>0</v>
      </c>
      <c r="AJ21" s="16">
        <f t="shared" si="6"/>
        <v>0</v>
      </c>
      <c r="AK21" s="16">
        <f t="shared" si="6"/>
        <v>0</v>
      </c>
      <c r="AL21" s="16">
        <f t="shared" si="6"/>
        <v>0</v>
      </c>
      <c r="AM21" s="16">
        <f>IF(SUM(AL17:AL18)-AL28*366&gt;=0,AL21,IF(SUM(AL17:AL18)+AL21-AL28*366&gt;=0,SUM(AL17:AL18)+AL21-AL28*366,0))</f>
        <v>0</v>
      </c>
      <c r="AN21" s="16">
        <f t="shared" si="6"/>
        <v>0</v>
      </c>
      <c r="AO21" s="16">
        <f t="shared" si="6"/>
        <v>0</v>
      </c>
      <c r="AP21" s="16">
        <f t="shared" si="6"/>
        <v>0</v>
      </c>
      <c r="AQ21" s="16">
        <f>IF(SUM(AP17:AP18)-AP28*366&gt;=0,AP21,IF(SUM(AP17:AP18)+AP21-AP28*366&gt;=0,SUM(AP17:AP18)+AP21-AP28*366,0))</f>
        <v>0</v>
      </c>
      <c r="AR21" s="16">
        <f t="shared" si="6"/>
        <v>0</v>
      </c>
      <c r="AS21" s="16">
        <f t="shared" si="6"/>
        <v>0</v>
      </c>
      <c r="AT21" s="16">
        <f t="shared" si="6"/>
        <v>0</v>
      </c>
      <c r="AU21" s="16">
        <f>IF(SUM(AT17:AT18)-AT28*366&gt;=0,AT21,IF(SUM(AT17:AT18)+AT21-AT28*366&gt;=0,SUM(AT17:AT18)+AT21-AT28*366,0))</f>
        <v>0</v>
      </c>
      <c r="AV21" s="16">
        <f t="shared" si="6"/>
        <v>0</v>
      </c>
      <c r="AW21" s="16">
        <f t="shared" si="6"/>
        <v>0</v>
      </c>
      <c r="AX21" s="16"/>
    </row>
    <row r="22" spans="2:50" x14ac:dyDescent="0.25">
      <c r="B22" t="s">
        <v>17</v>
      </c>
      <c r="C22" t="s">
        <v>57</v>
      </c>
      <c r="J22" s="6">
        <f>K8*C8</f>
        <v>15776000</v>
      </c>
      <c r="K22" s="15">
        <f>J22</f>
        <v>15776000</v>
      </c>
      <c r="L22" s="16">
        <f>J22</f>
        <v>15776000</v>
      </c>
      <c r="M22" s="16">
        <f>IF(SUM(L17:L18)+L21-L28*91&gt;=0,L22,IF(SUM(L17:L18)+SUM(L21:L22)-L28*91&gt;=0,SUM(L17:L18)+SUM(L21:L22)-L28*91,0))</f>
        <v>15776000</v>
      </c>
      <c r="N22" s="16">
        <f>IF(SUM(M17:M18)+M21-M28*92&gt;=0,M22,IF(SUM(M17:M18)+SUM(M21:M22)-M28*92&gt;=0,SUM(M17:M18)+SUM(M21:M22)-M28*92,0))</f>
        <v>15776000</v>
      </c>
      <c r="O22" s="16">
        <f>IF(SUM(N17:N18)+N21-N28*92&gt;=0,N22,IF(SUM(N17:N18)+SUM(N21:N22)-N28*92&gt;=0,SUM(N17:N18)+SUM(N21:N22)-N28*92,0))</f>
        <v>15776000</v>
      </c>
      <c r="P22" s="16">
        <f>IF(SUM(O17:O18)+O21-O28*90&gt;=0,O22,IF(SUM(O17:O18)+SUM(O21:O22)-O28*90&gt;=0,SUM(O17:O18)+SUM(O21:O22)-O28*90,0))</f>
        <v>15776000</v>
      </c>
      <c r="Q22" s="16">
        <f>IF(SUM(P17:P18)+P21-P28*275&gt;=0,P22,IF(SUM(P17:P18)+SUM(P21:P22)-P28*275&gt;=0,SUM(P17:P18)+SUM(P21:P22)-P28*275,0))</f>
        <v>15776000</v>
      </c>
      <c r="R22" s="16">
        <f>IF(SUM(Q17:Q18)+Q21-Q28*366&gt;=0,Q22,IF(SUM(Q17:Q18)+SUM(Q21:Q22)-Q28*366&gt;=0,SUM(Q17:Q18)+SUM(Q21:Q22)-Q28*366,0))</f>
        <v>15776000</v>
      </c>
      <c r="S22" s="16">
        <f>IF(SUM(R17:R18)+R21-R28*365&gt;=0,R22,IF(SUM(R17:R18)+SUM(R21:R22)-R28*365&gt;=0,SUM(R17:R18)+SUM(R21:R22)-R28*365,0))</f>
        <v>15776000</v>
      </c>
      <c r="T22" s="16">
        <f>IF(SUM(S17:S18)+S21-S28*365&gt;=0,S22,IF(SUM(S17:S18)+SUM(S21:S22)-S28*365&gt;=0,SUM(S17:S18)+SUM(S21:S22)-S28*365,0))</f>
        <v>15776000</v>
      </c>
      <c r="U22" s="16">
        <f>IF(SUM(T17:T18)+T21-T28*365&gt;=0,T22,IF(SUM(T17:T18)+SUM(T21:T22)-T28*365&gt;=0,SUM(T17:T18)+SUM(T21:T22)-T28*365,0))</f>
        <v>15776000</v>
      </c>
      <c r="V22" s="16">
        <f>IF(SUM(U17:U18)+U21-U28*366&gt;=0,U22,IF(SUM(U17:U18)+SUM(U21:U22)-U28*366&gt;=0,SUM(U17:U18)+SUM(U21:U22)-U28*366,0))</f>
        <v>15776000</v>
      </c>
      <c r="W22" s="16">
        <f>IF(SUM(V17:V18)+V21-V28*365&gt;=0,V22,IF(SUM(V17:V18)+SUM(V21:V22)-V28*365&gt;=0,SUM(V17:V18)+SUM(V21:V22)-V28*365,0))</f>
        <v>15776000</v>
      </c>
      <c r="X22" s="16">
        <f>IF(SUM(W17:W18)+W21-W28*365&gt;=0,W22,IF(SUM(W17:W18)+SUM(W21:W22)-W28*365&gt;=0,SUM(W17:W18)+SUM(W21:W22)-W28*365,0))</f>
        <v>15776000</v>
      </c>
      <c r="Y22" s="16">
        <f t="shared" ref="Y22:AW22" si="7">IF(SUM(X17:X18)+X21-X28*365&gt;=0,X22,IF(SUM(X17:X18)+SUM(X21:X22)-X28*365&gt;=0,SUM(X17:X18)+SUM(X21:X22)-X28*365,0))</f>
        <v>15776000</v>
      </c>
      <c r="Z22" s="16">
        <f>IF(SUM(Y17:Y18)+Y21-Y28*366&gt;=0,Y22,IF(SUM(Y17:Y18)+SUM(Y21:Y22)-Y28*366&gt;=0,SUM(Y17:Y18)+SUM(Y21:Y22)-Y28*366,0))</f>
        <v>15776000</v>
      </c>
      <c r="AA22" s="16">
        <f t="shared" si="7"/>
        <v>15776000</v>
      </c>
      <c r="AB22" s="16">
        <f t="shared" si="7"/>
        <v>15776000</v>
      </c>
      <c r="AC22" s="16">
        <f t="shared" si="7"/>
        <v>15776000</v>
      </c>
      <c r="AD22" s="16">
        <f t="shared" si="7"/>
        <v>11277258</v>
      </c>
      <c r="AE22" s="16">
        <f t="shared" si="7"/>
        <v>4950348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>IF(SUM(AL17:AL18)+AL21-AL28*366&gt;=0,AL22,IF(SUM(AL17:AL18)+SUM(AL21:AL22)-AL28*366&gt;=0,SUM(AL17:AL18)+SUM(AL21:AL22)-AL28*366,0))</f>
        <v>0</v>
      </c>
      <c r="AN22" s="16">
        <f t="shared" si="7"/>
        <v>0</v>
      </c>
      <c r="AO22" s="16">
        <f t="shared" si="7"/>
        <v>0</v>
      </c>
      <c r="AP22" s="16">
        <f t="shared" si="7"/>
        <v>0</v>
      </c>
      <c r="AQ22" s="16">
        <f>IF(SUM(AP17:AP18)+AP21-AP28*366&gt;=0,AP22,IF(SUM(AP17:AP18)+SUM(AP21:AP22)-AP28*366&gt;=0,SUM(AP17:AP18)+SUM(AP21:AP22)-AP28*366,0))</f>
        <v>0</v>
      </c>
      <c r="AR22" s="16">
        <f t="shared" si="7"/>
        <v>0</v>
      </c>
      <c r="AS22" s="16">
        <f t="shared" si="7"/>
        <v>0</v>
      </c>
      <c r="AT22" s="16">
        <f t="shared" si="7"/>
        <v>0</v>
      </c>
      <c r="AU22" s="16">
        <f>IF(SUM(AT17:AT18)+AT21-AT28*366&gt;=0,AT22,IF(SUM(AT17:AT18)+SUM(AT21:AT22)-AT28*366&gt;=0,SUM(AT17:AT18)+SUM(AT21:AT22)-AT28*366,0))</f>
        <v>0</v>
      </c>
      <c r="AV22" s="16">
        <f t="shared" si="7"/>
        <v>0</v>
      </c>
      <c r="AW22" s="16">
        <f t="shared" si="7"/>
        <v>0</v>
      </c>
      <c r="AX22" s="13"/>
    </row>
    <row r="23" spans="2:50" x14ac:dyDescent="0.25">
      <c r="J23" s="6"/>
      <c r="K23" s="26"/>
      <c r="L23" s="13"/>
      <c r="M23" s="66"/>
      <c r="N23" s="66"/>
      <c r="O23" s="66"/>
      <c r="P23" s="66"/>
      <c r="Q23" s="66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2:50" ht="15.75" thickBot="1" x14ac:dyDescent="0.3">
      <c r="B24" s="14" t="s">
        <v>59</v>
      </c>
      <c r="J24" s="6"/>
      <c r="K24" s="26"/>
      <c r="L24" s="13"/>
      <c r="M24" s="66"/>
      <c r="N24" s="66"/>
      <c r="O24" s="66"/>
      <c r="P24" s="66"/>
      <c r="Q24" s="66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2:50" x14ac:dyDescent="0.25">
      <c r="B25" t="s">
        <v>60</v>
      </c>
      <c r="C25" t="s">
        <v>57</v>
      </c>
      <c r="J25" s="6">
        <f>P7*C9</f>
        <v>0</v>
      </c>
      <c r="K25" s="15">
        <f>J25</f>
        <v>0</v>
      </c>
      <c r="L25" s="16">
        <f>J25</f>
        <v>0</v>
      </c>
      <c r="M25" s="16">
        <f>IF(SUM(L17:L18)+SUM(L21:L22)-L28*91&gt;=0,L25,IF(SUM(L17:L18)+SUM(L21:L22)+L25-L28*91&gt;=0,SUM(L17:L18)+SUM(L21:L22)+L25-L28*91,0))</f>
        <v>0</v>
      </c>
      <c r="N25" s="16">
        <f>IF(SUM(M17:M18)+SUM(M21:M22)-M28*92&gt;=0,M25,IF(SUM(M17:M18)+SUM(M21:M22)+M25-M28*92&gt;=0,SUM(M17:M18)+SUM(M21:M22)+M25-M28*92,0))</f>
        <v>0</v>
      </c>
      <c r="O25" s="16">
        <f>IF(SUM(N17:N18)+SUM(N21:N22)-N28*92&gt;=0,N25,IF(SUM(N17:N18)+SUM(N21:N22)+N25-N28*92&gt;=0,SUM(N17:N18)+SUM(N21:N22)+N25-N28*92,0))</f>
        <v>0</v>
      </c>
      <c r="P25" s="16">
        <f>IF(SUM(O17:O18)+SUM(O21:O22)-O28*90&gt;=0,O25,IF(SUM(O17:O18)+SUM(O21:O22)+O25-O28*90&gt;=0,SUM(O17:O18)+SUM(O21:O22)+O25-O28*90,0))</f>
        <v>0</v>
      </c>
      <c r="Q25" s="16">
        <f>IF(SUM(P17:P18)+SUM(P21:P22)-P28*275&gt;=0,P25,IF(SUM(P17:P18)+SUM(P21:P22)+P25-P28*275&gt;=0,SUM(P17:P18)+SUM(P21:P22)+P25-P28*275,0))</f>
        <v>0</v>
      </c>
      <c r="R25" s="16">
        <f>IF(SUM(Q17:Q18)+SUM(Q21:Q22)-Q28*366&gt;=0,Q25,IF(SUM(Q17:Q18)+SUM(Q21:Q22)+Q25-Q28*366&gt;=0,SUM(Q17:Q18)+SUM(Q21:Q22)+Q25-Q28*366,0))</f>
        <v>0</v>
      </c>
      <c r="S25" s="16">
        <f>IF(SUM(R17:R18)+SUM(R21:R22)-R28*365&gt;=0,R25,IF(SUM(R17:R18)+SUM(R21:R22)+R25-R28*365&gt;=0,SUM(R17:R18)+SUM(R21:R22)+R25-R28*365,0))</f>
        <v>0</v>
      </c>
      <c r="T25" s="16">
        <f>IF(SUM(S17:S18)+SUM(S21:S22)-S28*365&gt;=0,S25,IF(SUM(S17:S18)+SUM(S21:S22)+S25-S28*365&gt;=0,SUM(S17:S18)+SUM(S21:S22)+S25-S28*365,0))</f>
        <v>0</v>
      </c>
      <c r="U25" s="16">
        <f>IF(SUM(T17:T18)+SUM(T21:T22)-T28*365&gt;=0,T25,IF(SUM(T17:T18)+SUM(T21:T22)+T25-T28*365&gt;=0,SUM(T17:T18)+SUM(T21:T22)+T25-T28*365,0))</f>
        <v>0</v>
      </c>
      <c r="V25" s="16">
        <f>IF(SUM(U17:U18)+SUM(U21:U22)-U28*366&gt;=0,U25,IF(SUM(U17:U18)+SUM(U21:U22)+U25-U28*366&gt;=0,SUM(U17:U18)+SUM(U21:U22)+U25-U28*366,0))</f>
        <v>0</v>
      </c>
      <c r="W25" s="16">
        <f>IF(SUM(V17:V18)+SUM(V21:V22)-V28*365&gt;=0,V25,IF(SUM(V17:V18)+SUM(V21:V22)+V25-V28*365&gt;=0,SUM(V17:V18)+SUM(V21:V22)+V25-V28*365,0))</f>
        <v>0</v>
      </c>
      <c r="X25" s="16">
        <f>IF(SUM(W17:W18)+SUM(W21:W22)-W28*365&gt;=0,W25,IF(SUM(W17:W18)+SUM(W21:W22)+W25-W28*365&gt;=0,SUM(W17:W18)+SUM(W21:W22)+W25-W28*365,0))</f>
        <v>0</v>
      </c>
      <c r="Y25" s="16">
        <f t="shared" ref="Y25" si="8">IF(SUM(X17:X18)+SUM(X21:X22)-X28*365&gt;=0,X25,IF(SUM(X17:X18)+SUM(X21:X22)+X25-X28*365&gt;=0,SUM(X17:X18)+SUM(X21:X22)+X25-X28*365,0))</f>
        <v>0</v>
      </c>
      <c r="Z25" s="16">
        <f>IF(SUM(Y17:Y18)+SUM(Y21:Y22)-Y28*366&gt;=0,Y25,IF(SUM(Y17:Y18)+SUM(Y21:Y22)+Y25-Y28*366&gt;=0,SUM(Y17:Y18)+SUM(Y21:Y22)+Y25-Y28*366,0))</f>
        <v>0</v>
      </c>
      <c r="AA25" s="16">
        <f>IF(SUM(Z17:Z18)+SUM(Z21:Z22)-Z28*365&gt;=0,Z25,IF(SUM(Z17:Z18)+SUM(Z21:Z22)+Z25-Z28*365&gt;=0,SUM(Z17:Z18)+SUM(Z21:Z22)+Z25-Z28*365,0))</f>
        <v>0</v>
      </c>
      <c r="AB25" s="16">
        <f t="shared" ref="AB25:AW25" si="9">IF(SUM(AA17:AA18)+SUM(AA21:AA22)-AA28*365&gt;=0,AA25,IF(SUM(AA17:AA18)+SUM(AA21:AA22)+AA25-AA28*365&gt;=0,SUM(AA17:AA18)+SUM(AA21:AA22)+AA25-AA28*365,0))</f>
        <v>0</v>
      </c>
      <c r="AC25" s="16">
        <f t="shared" si="9"/>
        <v>0</v>
      </c>
      <c r="AD25" s="16">
        <f>IF(SUM(AC17:AC18)+SUM(AC21:AC22)-AC28*366&gt;=0,AC25,IF(SUM(AC17:AC18)+SUM(AC21:AC22)+AC25-AC28*366&gt;=0,SUM(AC17:AC18)+SUM(AC21:AC22)+AC25-AC28*366,0))</f>
        <v>0</v>
      </c>
      <c r="AE25" s="16">
        <f t="shared" si="9"/>
        <v>0</v>
      </c>
      <c r="AF25" s="16">
        <f t="shared" si="9"/>
        <v>0</v>
      </c>
      <c r="AG25" s="16">
        <f t="shared" si="9"/>
        <v>0</v>
      </c>
      <c r="AH25" s="16">
        <f t="shared" si="9"/>
        <v>0</v>
      </c>
      <c r="AI25" s="16">
        <f t="shared" si="9"/>
        <v>0</v>
      </c>
      <c r="AJ25" s="16">
        <f t="shared" si="9"/>
        <v>0</v>
      </c>
      <c r="AK25" s="16">
        <f t="shared" si="9"/>
        <v>0</v>
      </c>
      <c r="AL25" s="16">
        <f t="shared" si="9"/>
        <v>0</v>
      </c>
      <c r="AM25" s="16">
        <f t="shared" si="9"/>
        <v>0</v>
      </c>
      <c r="AN25" s="16">
        <f t="shared" si="9"/>
        <v>0</v>
      </c>
      <c r="AO25" s="16">
        <f t="shared" si="9"/>
        <v>0</v>
      </c>
      <c r="AP25" s="16">
        <f t="shared" si="9"/>
        <v>0</v>
      </c>
      <c r="AQ25" s="16">
        <f>IF(SUM(AP17:AP18)+SUM(AP21:AP22)-AP28*366&gt;=0,AP25,IF(SUM(AP17:AP18)+SUM(AP21:AP22)+AP25-AP28*366&gt;=0,SUM(AP17:AP18)+SUM(AP21:AP22)+AP25-AP28*366,0))</f>
        <v>0</v>
      </c>
      <c r="AR25" s="16">
        <f t="shared" si="9"/>
        <v>0</v>
      </c>
      <c r="AS25" s="16">
        <f t="shared" si="9"/>
        <v>0</v>
      </c>
      <c r="AT25" s="16">
        <f t="shared" si="9"/>
        <v>0</v>
      </c>
      <c r="AU25" s="16">
        <f>IF(SUM(AT17:AT18)+SUM(AT21:AT22)-AT28*366&gt;=0,AT25,IF(SUM(AT17:AT18)+SUM(AT21:AT22)+AT25-AT28*366&gt;=0,SUM(AT17:AT18)+SUM(AT21:AT22)+AT25-AT28*366,0))</f>
        <v>0</v>
      </c>
      <c r="AV25" s="16">
        <f t="shared" si="9"/>
        <v>0</v>
      </c>
      <c r="AW25" s="16">
        <f t="shared" si="9"/>
        <v>0</v>
      </c>
      <c r="AX25" s="13"/>
    </row>
    <row r="26" spans="2:50" x14ac:dyDescent="0.25">
      <c r="K26" s="26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2:50" ht="15.75" thickBot="1" x14ac:dyDescent="0.3">
      <c r="B27" s="14" t="s">
        <v>61</v>
      </c>
      <c r="K27" s="2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2:50" x14ac:dyDescent="0.25">
      <c r="B28" t="s">
        <v>62</v>
      </c>
      <c r="C28" t="s">
        <v>63</v>
      </c>
      <c r="H28" s="6">
        <f>H29/366</f>
        <v>4398.9071038251368</v>
      </c>
      <c r="I28" s="6">
        <f>I29/365</f>
        <v>17681.224657534247</v>
      </c>
      <c r="J28" s="6">
        <f>J29/90</f>
        <v>14397.277777777777</v>
      </c>
      <c r="K28" s="15">
        <f>AVERAGE(L28:AW28)</f>
        <v>17373.686017929438</v>
      </c>
      <c r="L28" s="16">
        <f>L29/91</f>
        <v>18681.31868131868</v>
      </c>
      <c r="M28" s="16">
        <f>M29/92</f>
        <v>18478.260869565216</v>
      </c>
      <c r="N28" s="16">
        <f>N29/92</f>
        <v>16350.489130434782</v>
      </c>
      <c r="O28" s="16">
        <v>17334</v>
      </c>
      <c r="P28" s="16">
        <f>O28</f>
        <v>17334</v>
      </c>
      <c r="Q28" s="16">
        <f t="shared" ref="Q28:AW28" si="10">P28</f>
        <v>17334</v>
      </c>
      <c r="R28" s="16">
        <f t="shared" si="10"/>
        <v>17334</v>
      </c>
      <c r="S28" s="16">
        <f t="shared" si="10"/>
        <v>17334</v>
      </c>
      <c r="T28" s="16">
        <f t="shared" si="10"/>
        <v>17334</v>
      </c>
      <c r="U28" s="16">
        <f t="shared" si="10"/>
        <v>17334</v>
      </c>
      <c r="V28" s="16">
        <f t="shared" si="10"/>
        <v>17334</v>
      </c>
      <c r="W28" s="16">
        <f t="shared" si="10"/>
        <v>17334</v>
      </c>
      <c r="X28" s="16">
        <f t="shared" si="10"/>
        <v>17334</v>
      </c>
      <c r="Y28" s="16">
        <f t="shared" si="10"/>
        <v>17334</v>
      </c>
      <c r="Z28" s="16">
        <f t="shared" si="10"/>
        <v>17334</v>
      </c>
      <c r="AA28" s="16">
        <f t="shared" si="10"/>
        <v>17334</v>
      </c>
      <c r="AB28" s="16">
        <f t="shared" si="10"/>
        <v>17334</v>
      </c>
      <c r="AC28" s="16">
        <f t="shared" si="10"/>
        <v>17334</v>
      </c>
      <c r="AD28" s="16">
        <f t="shared" si="10"/>
        <v>17334</v>
      </c>
      <c r="AE28" s="16">
        <f t="shared" si="10"/>
        <v>17334</v>
      </c>
      <c r="AF28" s="16">
        <f t="shared" si="10"/>
        <v>17334</v>
      </c>
      <c r="AG28" s="16">
        <f t="shared" si="10"/>
        <v>17334</v>
      </c>
      <c r="AH28" s="16">
        <f t="shared" si="10"/>
        <v>17334</v>
      </c>
      <c r="AI28" s="16">
        <f t="shared" si="10"/>
        <v>17334</v>
      </c>
      <c r="AJ28" s="16">
        <f t="shared" si="10"/>
        <v>17334</v>
      </c>
      <c r="AK28" s="16">
        <f t="shared" si="10"/>
        <v>17334</v>
      </c>
      <c r="AL28" s="16">
        <f t="shared" si="10"/>
        <v>17334</v>
      </c>
      <c r="AM28" s="16">
        <f t="shared" si="10"/>
        <v>17334</v>
      </c>
      <c r="AN28" s="16">
        <f t="shared" si="10"/>
        <v>17334</v>
      </c>
      <c r="AO28" s="16">
        <f t="shared" si="10"/>
        <v>17334</v>
      </c>
      <c r="AP28" s="16">
        <f t="shared" si="10"/>
        <v>17334</v>
      </c>
      <c r="AQ28" s="16">
        <f t="shared" si="10"/>
        <v>17334</v>
      </c>
      <c r="AR28" s="16">
        <f t="shared" si="10"/>
        <v>17334</v>
      </c>
      <c r="AS28" s="16">
        <f t="shared" si="10"/>
        <v>17334</v>
      </c>
      <c r="AT28" s="16">
        <f t="shared" si="10"/>
        <v>17334</v>
      </c>
      <c r="AU28" s="16">
        <f t="shared" si="10"/>
        <v>17334</v>
      </c>
      <c r="AV28" s="16">
        <f t="shared" si="10"/>
        <v>17334</v>
      </c>
      <c r="AW28" s="16">
        <f t="shared" si="10"/>
        <v>17334</v>
      </c>
      <c r="AX28" s="13"/>
    </row>
    <row r="29" spans="2:50" x14ac:dyDescent="0.25">
      <c r="B29" t="s">
        <v>64</v>
      </c>
      <c r="C29" t="s">
        <v>57</v>
      </c>
      <c r="E29" s="6"/>
      <c r="F29" s="6"/>
      <c r="G29" s="6"/>
      <c r="H29" s="6">
        <v>1610000</v>
      </c>
      <c r="I29" s="6">
        <v>6453647</v>
      </c>
      <c r="J29" s="6">
        <v>1295755</v>
      </c>
      <c r="K29" s="15">
        <f>SUM(L29:AW29)</f>
        <v>104827579</v>
      </c>
      <c r="L29" s="16">
        <v>1700000</v>
      </c>
      <c r="M29" s="16">
        <v>1700000</v>
      </c>
      <c r="N29" s="16">
        <f>6200000-J29-L29-M29</f>
        <v>1504245</v>
      </c>
      <c r="O29" s="16">
        <f>IF(O28*90&gt;=O25+SUM(O21:O22)+SUM(O17:O18),O25+SUM(O21:O22)+SUM(O17:O18),O28*90)</f>
        <v>1560060</v>
      </c>
      <c r="P29" s="16">
        <f>IF(P28*275&gt;=P25+SUM(P21:P22)+SUM(P17:P18),P25+SUM(P21:P22)+SUM(P17:P18),P28*275)</f>
        <v>4766850</v>
      </c>
      <c r="Q29" s="16">
        <f>IF(Q28*366&gt;=Q25+SUM(Q21:Q22)+SUM(Q17:Q18),Q25+SUM(Q21:Q22)+SUM(Q17:Q18),Q28*366)</f>
        <v>6344244</v>
      </c>
      <c r="R29" s="16">
        <f>IF(R28*365&gt;=R25+SUM(R21:R22)+SUM(R17:R18),R25+SUM(R21:R22)+SUM(R17:R18),R28*365)</f>
        <v>6326910</v>
      </c>
      <c r="S29" s="16">
        <f t="shared" ref="S29:AW29" si="11">IF(S28*365&gt;=S25+SUM(S21:S22)+SUM(S17:S18),S25+SUM(S21:S22)+SUM(S17:S18),S28*365)</f>
        <v>6326910</v>
      </c>
      <c r="T29" s="16">
        <f t="shared" si="11"/>
        <v>6326910</v>
      </c>
      <c r="U29" s="16">
        <f>IF(U28*366&gt;=U25+SUM(U21:U22)+SUM(U17:U18),U25+SUM(U21:U22)+SUM(U17:U18),U28*366)</f>
        <v>6344244</v>
      </c>
      <c r="V29" s="16">
        <f t="shared" si="11"/>
        <v>6326910</v>
      </c>
      <c r="W29" s="16">
        <f t="shared" si="11"/>
        <v>6326910</v>
      </c>
      <c r="X29" s="16">
        <f t="shared" si="11"/>
        <v>6326910</v>
      </c>
      <c r="Y29" s="16">
        <f>IF(Y28*366&gt;=Y25+SUM(Y21:Y22)+SUM(Y17:Y18),Y25+SUM(Y21:Y22)+SUM(Y17:Y18),Y28*366)</f>
        <v>6344244</v>
      </c>
      <c r="Z29" s="16">
        <f t="shared" si="11"/>
        <v>6326910</v>
      </c>
      <c r="AA29" s="16">
        <f t="shared" si="11"/>
        <v>6326910</v>
      </c>
      <c r="AB29" s="16">
        <f t="shared" si="11"/>
        <v>6326910</v>
      </c>
      <c r="AC29" s="16">
        <f>IF(AC28*366&gt;=AC25+SUM(AC21:AC22)+SUM(AC17:AC18),AC25+SUM(AC21:AC22)+SUM(AC17:AC18),AC28*366)</f>
        <v>6344244</v>
      </c>
      <c r="AD29" s="16">
        <f t="shared" si="11"/>
        <v>6326910</v>
      </c>
      <c r="AE29" s="16">
        <f t="shared" si="11"/>
        <v>4950348</v>
      </c>
      <c r="AF29" s="16">
        <f t="shared" si="11"/>
        <v>0</v>
      </c>
      <c r="AG29" s="16">
        <f>IF(AG28*366&gt;=AG25+SUM(AG21:AG22)+SUM(AG17:AG18),AG25+SUM(AG21:AG22)+SUM(AG17:AG18),AG28*366)</f>
        <v>0</v>
      </c>
      <c r="AH29" s="16">
        <f t="shared" si="11"/>
        <v>0</v>
      </c>
      <c r="AI29" s="16">
        <f t="shared" si="11"/>
        <v>0</v>
      </c>
      <c r="AJ29" s="16">
        <f t="shared" si="11"/>
        <v>0</v>
      </c>
      <c r="AK29" s="16">
        <f t="shared" si="11"/>
        <v>0</v>
      </c>
      <c r="AL29" s="16">
        <f>IF(AL28*366&gt;=AL25+SUM(AL21:AL22)+SUM(AL17:AL18),AL25+SUM(AL21:AL22)+SUM(AL17:AL18),AL28*366)</f>
        <v>0</v>
      </c>
      <c r="AM29" s="16">
        <f t="shared" si="11"/>
        <v>0</v>
      </c>
      <c r="AN29" s="16">
        <f t="shared" si="11"/>
        <v>0</v>
      </c>
      <c r="AO29" s="16">
        <f t="shared" si="11"/>
        <v>0</v>
      </c>
      <c r="AP29" s="16">
        <f>IF(AP28*366&gt;=AP25+SUM(AP21:AP22)+SUM(AP17:AP18),AP25+SUM(AP21:AP22)+SUM(AP17:AP18),AP28*366)</f>
        <v>0</v>
      </c>
      <c r="AQ29" s="16">
        <f t="shared" si="11"/>
        <v>0</v>
      </c>
      <c r="AR29" s="16">
        <f t="shared" si="11"/>
        <v>0</v>
      </c>
      <c r="AS29" s="16">
        <f t="shared" si="11"/>
        <v>0</v>
      </c>
      <c r="AT29" s="16">
        <f>IF(AT28*366&gt;=AT25+SUM(AT21:AT22)+SUM(AT17:AT18),AT25+SUM(AT21:AT22)+SUM(AT17:AT18),AT28*366)</f>
        <v>0</v>
      </c>
      <c r="AU29" s="16">
        <f t="shared" si="11"/>
        <v>0</v>
      </c>
      <c r="AV29" s="16">
        <f t="shared" si="11"/>
        <v>0</v>
      </c>
      <c r="AW29" s="16">
        <f t="shared" si="11"/>
        <v>0</v>
      </c>
      <c r="AX29" s="13"/>
    </row>
    <row r="30" spans="2:50" x14ac:dyDescent="0.25">
      <c r="B30" t="s">
        <v>67</v>
      </c>
      <c r="C30" t="s">
        <v>66</v>
      </c>
      <c r="H30" s="11">
        <v>1</v>
      </c>
      <c r="I30">
        <v>0.96</v>
      </c>
      <c r="J30">
        <v>0.88</v>
      </c>
      <c r="K30" s="56">
        <f>AVERAGEIF(L30:AW30,"&gt;0")</f>
        <v>0.57313541264487655</v>
      </c>
      <c r="L30" s="24">
        <f>(0.8*6200000-$J$30*$J$29)/(6200000-$J$29)</f>
        <v>0.77886312775972655</v>
      </c>
      <c r="M30" s="24">
        <f t="shared" ref="M30:N30" si="12">(0.8*6200000-$J$30*$J$29)/(6200000-$J$29)</f>
        <v>0.77886312775972655</v>
      </c>
      <c r="N30" s="24">
        <f t="shared" si="12"/>
        <v>0.77886312775972655</v>
      </c>
      <c r="O30" s="13">
        <v>0.66</v>
      </c>
      <c r="P30" s="24">
        <f>IF(P17&gt;=P28*275,$G$7,IF(AND(P17=0,P18&gt;=P28*275),$G$8,IF(AND(P17+P18=0,P21&gt;=P28*275),$L$7,IF(AND(SUM(P17:P18)+P21=0,P22&gt;=P28*275),$L$8,IF(AND(SUM(P17:P18)+SUM(P21:P22)=0,P25&gt;=P28*275),$Q$7,IF(SUM(P17:P18)+SUM(P21:P22)+P25=0,0,IF(AND(P28*275&gt;SUM(P17:P18),SUM(P17:P18)+P21&gt;=P28*275),(P17*$G$7+P18*$G$8+(P21-Q21)*$L$7)/(P28*275),IF(AND(P28*275&gt;P18+P21,P18+SUM(P21:P22)&gt;=P28*275),(P18*$G$8+P21*$L$7+(P22-Q22)*$L$8)/(P28*275),IF(AND(P28*275&gt;SUM(P21:P22),SUM(P21:P22)+P25&gt;=P28*275),(P21*$L$7+P22*$L$8+(P25-Q25)*$Q$7)/(P28*275),IF(AND(P28*275&gt;P17,P17+P18&gt;=P28*275),(P17*$G$7+(P18-Q18)*$G$8)/(P28*275),IF(AND(P28*275&gt;P18,P18+P21&gt;=P28*275),(P18*$G$8+(P21-Q21)*$L$7)/(P28*275),IF(AND(P28*275&gt;P21,SUM(P21:P22)&gt;=P28*275),(P21*$L$7+(P22-Q22)*$L$8)/(P28*275),IF(AND(P28*275&gt;P22,P22+P25&gt;=P28*275),(P22*$L$8+(P25-Q25)*$Q$7)/(P28*275),IF(AND(P17&gt;0,P18&gt;0,P28*275&gt;SUM(P17:P18)),(P17*$G$7+P18*$G$8)/SUM(P17:P18),IF(AND(P18&gt;0,P21&gt;0,P28*275&gt;SUM(P18:P21)),(P18*$G$8+P21*$L$7)/SUM(P18:P21),IF(AND(P21&gt;0,P22&gt;0,P28*275&gt;SUM(P21:P22)),(P21*$L$7+P22*$L$8)/SUM(P21:P22),IF(AND(P22&gt;0,P25&gt;0,P28*275&gt;SUM(P22:P25)),(P22*$L$8+P25*$Q$7)/SUM(P22:P25),IF(AND(P18&gt;0,P28*275&gt;P18),$G$8,IF(AND(P21&gt;0,P28*275&gt;P21),$L$7,IF(AND(P22&gt;0,P28*275&gt;P22),$L$8,IF(AND(P25&gt;0,P28*275&gt;P25),$Q$7)))))))))))))))))))))</f>
        <v>0.66</v>
      </c>
      <c r="Q30" s="24">
        <f>IF(Q17&gt;=Q28*366,$G$7,IF(AND(Q17=0,Q18&gt;=Q28*366),$G$8,IF(AND(Q17+Q18=0,Q21&gt;=Q28*366),$L$7,IF(AND(SUM(Q17:Q18)+Q21=0,Q22&gt;=Q28*366),$L$8,IF(AND(SUM(Q17:Q18)+SUM(Q21:Q22)=0,Q25&gt;=Q28*366),$Q$7,IF(SUM(Q17:Q18)+SUM(Q21:Q22)+Q25=0,0,IF(AND(Q28*366&gt;SUM(Q17:Q18),SUM(Q17:Q18)+Q21&gt;=Q28*366),(Q17*$G$7+Q18*$G$8+(Q21-R21)*$L$7)/(Q28*366),IF(AND(Q28*366&gt;Q18+Q21,Q18+SUM(Q21:Q22)&gt;=Q28*366),(Q18*$G$8+Q21*$L$7+(Q22-R22)*$L$8)/(Q28*366),IF(AND(Q28*366&gt;SUM(Q21:Q22),SUM(Q21:Q22)+Q25&gt;=Q28*366),(Q21*$L$7+Q22*$L$8+(Q25-R25)*$Q$7)/(Q28*366),IF(AND(Q28*366&gt;Q17,Q17+Q18&gt;=Q28*366),(Q17*$G$7+(Q18-R18)*$G$8)/(Q28*366),IF(AND(Q28*366&gt;Q18,Q18+Q21&gt;=Q28*366),(Q18*$G$8+(Q21-R21)*$L$7)/(Q28*366),IF(AND(Q28*366&gt;Q21,SUM(Q21:Q22)&gt;=Q28*366),(Q21*$L$7+(Q22-R22)*$L$8)/(Q28*366),IF(AND(Q28*366&gt;Q22,Q22+Q25&gt;=Q28*366),(Q22*$L$8+(Q25-R25)*$Q$7)/(Q28*366),IF(AND(Q17&gt;0,Q18&gt;0,Q28*366&gt;SUM(Q17:Q18)),(Q17*$G$7+Q18*$G$8)/SUM(Q17:Q18),IF(AND(Q18&gt;0,Q21&gt;0,Q28*366&gt;SUM(Q18:Q21)),(Q18*$G$8+Q21*$L$7)/SUM(Q18:Q21),IF(AND(Q21&gt;0,Q22&gt;0,Q28*366&gt;SUM(Q21:Q22)),(Q21*$L$7+Q22*$L$8)/SUM(Q21:Q22),IF(AND(Q22&gt;0,Q25&gt;0,Q28*366&gt;SUM(Q22:Q25)),(Q22*$L$8+Q25*$Q$7)/SUM(Q22:Q25),IF(AND(Q18&gt;0,Q28*366&gt;Q18),$G$8,IF(AND(Q21&gt;0,Q28*366&gt;Q21),$L$7,IF(AND(Q22&gt;0,Q28*366&gt;Q22),$L$8,IF(AND(Q25&gt;0,Q28*366&gt;Q25),$Q$7)))))))))))))))))))))</f>
        <v>0.66</v>
      </c>
      <c r="R30" s="24">
        <f>IF(R17&gt;=R28*365,$G$7,IF(AND(R17=0,R18&gt;=R28*365),$G$8,IF(AND(R17+R18=0,R21&gt;=R28*365),$L$7,IF(AND(SUM(R17:R18)+R21=0,R22&gt;=R28*365),$L$8,IF(AND(SUM(R17:R18)+SUM(R21:R22)=0,R25&gt;=R28*365),$Q$7,IF(SUM(R17:R18)+SUM(R21:R22)+R25=0,0,IF(AND(R28*365&gt;SUM(R17:R18),SUM(R17:R18)+R21&gt;=R28*365),(R17*$G$7+R18*$G$8+(R21-S21)*$L$7)/(R28*365),IF(AND(R28*365&gt;R18+R21,R18+SUM(R21:R22)&gt;=R28*365),(R18*$G$8+R21*$L$7+(R22-S22)*$L$8)/(R28*365),IF(AND(R28*365&gt;SUM(R21:R22),SUM(R21:R22)+R25&gt;=R28*365),(R21*$L$7+R22*$L$8+(R25-S25)*$Q$7)/(R28*365),IF(AND(R28*365&gt;R17,R17+R18&gt;=R28*365),(R17*$G$7+(R18-S18)*$G$8)/(R28*365),IF(AND(R28*365&gt;R18,R18+R21&gt;=R28*365),(R18*$G$8+(R21-S21)*$L$7)/(R28*365),IF(AND(R28*365&gt;R21,SUM(R21:R22)&gt;=R28*365),(R21*$L$7+(R22-S22)*$L$8)/(R28*365),IF(AND(R28*365&gt;R22,R22+R25&gt;=R28*365),(R22*$L$8+(R25-S25)*$Q$7)/(R28*365),IF(AND(R17&gt;0,R18&gt;0,R28*365&gt;SUM(R17:R18)),(R17*$G$7+R18*$G$8)/SUM(R17:R18),IF(AND(R18&gt;0,R21&gt;0,R28*365&gt;SUM(R18:R21)),(R18*$G$8+R21*$L$7)/SUM(R18:R21),IF(AND(R21&gt;0,R22&gt;0,R28*365&gt;SUM(R21:R22)),(R21*$L$7+R22*$L$8)/SUM(R21:R22),IF(AND(R22&gt;0,R25&gt;0,R28*365&gt;SUM(R22:R25)),(R22*$L$8+R25*$Q$7)/SUM(R22:R25),IF(AND(R18&gt;0,R28*365&gt;R18),$G$8,IF(AND(R21&gt;0,R28*365&gt;R21),$L$7,IF(AND(R22&gt;0,R28*365&gt;R22),$L$8,IF(AND(R25&gt;0,R28*365&gt;R25),$Q$7)))))))))))))))))))))</f>
        <v>0.66</v>
      </c>
      <c r="S30" s="24">
        <f t="shared" ref="S30:AV30" si="13">IF(S17&gt;=S28*365,$G$7,IF(AND(S17=0,S18&gt;=S28*365),$G$8,IF(AND(S17+S18=0,S21&gt;=S28*365),$L$7,IF(AND(SUM(S17:S18)+S21=0,S22&gt;=S28*365),$L$8,IF(AND(SUM(S17:S18)+SUM(S21:S22)=0,S25&gt;=S28*365),$Q$7,IF(SUM(S17:S18)+SUM(S21:S22)+S25=0,0,IF(AND(S28*365&gt;SUM(S17:S18),SUM(S17:S18)+S21&gt;=S28*365),(S17*$G$7+S18*$G$8+(S21-T21)*$L$7)/(S28*365),IF(AND(S28*365&gt;S18+S21,S18+SUM(S21:S22)&gt;=S28*365),(S18*$G$8+S21*$L$7+(S22-T22)*$L$8)/(S28*365),IF(AND(S28*365&gt;SUM(S21:S22),SUM(S21:S22)+S25&gt;=S28*365),(S21*$L$7+S22*$L$8+(S25-T25)*$Q$7)/(S28*365),IF(AND(S28*365&gt;S17,S17+S18&gt;=S28*365),(S17*$G$7+(S18-T18)*$G$8)/(S28*365),IF(AND(S28*365&gt;S18,S18+S21&gt;=S28*365),(S18*$G$8+(S21-T21)*$L$7)/(S28*365),IF(AND(S28*365&gt;S21,SUM(S21:S22)&gt;=S28*365),(S21*$L$7+(S22-T22)*$L$8)/(S28*365),IF(AND(S28*365&gt;S22,S22+S25&gt;=S28*365),(S22*$L$8+(S25-T25)*$Q$7)/(S28*365),IF(AND(S17&gt;0,S18&gt;0,S28*365&gt;SUM(S17:S18)),(S17*$G$7+S18*$G$8)/SUM(S17:S18),IF(AND(S18&gt;0,S21&gt;0,S28*365&gt;SUM(S18:S21)),(S18*$G$8+S21*$L$7)/SUM(S18:S21),IF(AND(S21&gt;0,S22&gt;0,S28*365&gt;SUM(S21:S22)),(S21*$L$7+S22*$L$8)/SUM(S21:S22),IF(AND(S22&gt;0,S25&gt;0,S28*365&gt;SUM(S22:S25)),(S22*$L$8+S25*$Q$7)/SUM(S22:S25),IF(AND(S18&gt;0,S28*365&gt;S18),$G$8,IF(AND(S21&gt;0,S28*365&gt;S21),$L$7,IF(AND(S22&gt;0,S28*365&gt;S22),$L$8,IF(AND(S25&gt;0,S28*365&gt;S25),$Q$7)))))))))))))))))))))</f>
        <v>0.54208041208109492</v>
      </c>
      <c r="T30" s="24">
        <f t="shared" si="13"/>
        <v>0.53</v>
      </c>
      <c r="U30" s="24">
        <f>IF(U17&gt;=U28*366,$G$7,IF(AND(U17=0,U18&gt;=U28*366),$G$8,IF(AND(U17+U18=0,U21&gt;=U28*366),$L$7,IF(AND(SUM(U17:U18)+U21=0,U22&gt;=U28*366),$L$8,IF(AND(SUM(U17:U18)+SUM(U21:U22)=0,U25&gt;=U28*366),$Q$7,IF(SUM(U17:U18)+SUM(U21:U22)+U25=0,0,IF(AND(U28*366&gt;SUM(U17:U18),SUM(U17:U18)+U21&gt;=U28*366),(U17*$G$7+U18*$G$8+(U21-V21)*$L$7)/(U28*366),IF(AND(U28*366&gt;U18+U21,U18+SUM(U21:U22)&gt;=U28*366),(U18*$G$8+U21*$L$7+(U22-V22)*$L$8)/(U28*366),IF(AND(U28*366&gt;SUM(U21:U22),SUM(U21:U22)+U25&gt;=U28*366),(U21*$L$7+U22*$L$8+(U25-V25)*$Q$7)/(U28*366),IF(AND(U28*366&gt;U17,U17+U18&gt;=U28*366),(U17*$G$7+(U18-V18)*$G$8)/(U28*366),IF(AND(U28*366&gt;U18,U18+U21&gt;=U28*366),(U18*$G$8+(U21-V21)*$L$7)/(U28*366),IF(AND(U28*366&gt;U21,SUM(U21:U22)&gt;=U28*366),(U21*$L$7+(U22-V22)*$L$8)/(U28*366),IF(AND(U28*366&gt;U22,U22+U25&gt;=U28*366),(U22*$L$8+(U25-V25)*$Q$7)/(U28*366),IF(AND(U17&gt;0,U18&gt;0,U28*366&gt;SUM(U17:U18)),(U17*$G$7+U18*$G$8)/SUM(U17:U18),IF(AND(U18&gt;0,U21&gt;0,U28*366&gt;SUM(U18:U21)),(U18*$G$8+U21*$L$7)/SUM(U18:U21),IF(AND(U21&gt;0,U22&gt;0,U28*366&gt;SUM(U21:U22)),(U21*$L$7+U22*$L$8)/SUM(U21:U22),IF(AND(U22&gt;0,U25&gt;0,U28*366&gt;SUM(U22:U25)),(U22*$L$8+U25*$Q$7)/SUM(U22:U25),IF(AND(U18&gt;0,U28*366&gt;U18),$G$8,IF(AND(U21&gt;0,U28*366&gt;U21),$L$7,IF(AND(U22&gt;0,U28*366&gt;U22),$L$8,IF(AND(U25&gt;0,U28*366&gt;U25),$Q$7)))))))))))))))))))))</f>
        <v>0.53</v>
      </c>
      <c r="V30" s="24">
        <f t="shared" si="13"/>
        <v>0.53</v>
      </c>
      <c r="W30" s="24">
        <f t="shared" si="13"/>
        <v>0.53</v>
      </c>
      <c r="X30" s="24">
        <f t="shared" si="13"/>
        <v>0.53</v>
      </c>
      <c r="Y30" s="24">
        <f>IF(Y17&gt;=Y28*366,$G$7,IF(AND(Y17=0,Y18&gt;=Y28*366),$G$8,IF(AND(Y17+Y18=0,Y21&gt;=Y28*366),$L$7,IF(AND(SUM(Y17:Y18)+Y21=0,Y22&gt;=Y28*366),$L$8,IF(AND(SUM(Y17:Y18)+SUM(Y21:Y22)=0,Y25&gt;=Y28*366),$Q$7,IF(SUM(Y17:Y18)+SUM(Y21:Y22)+Y25=0,0,IF(AND(Y28*366&gt;SUM(Y17:Y18),SUM(Y17:Y18)+Y21&gt;=Y28*366),(Y17*$G$7+Y18*$G$8+(Y21-Z21)*$L$7)/(Y28*366),IF(AND(Y28*366&gt;Y18+Y21,Y18+SUM(Y21:Y22)&gt;=Y28*366),(Y18*$G$8+Y21*$L$7+(Y22-Z22)*$L$8)/(Y28*366),IF(AND(Y28*366&gt;SUM(Y21:Y22),SUM(Y21:Y22)+Y25&gt;=Y28*366),(Y21*$L$7+Y22*$L$8+(Y25-Z25)*$Q$7)/(Y28*366),IF(AND(Y28*366&gt;Y17,Y17+Y18&gt;=Y28*366),(Y17*$G$7+(Y18-Z18)*$G$8)/(Y28*366),IF(AND(Y28*366&gt;Y18,Y18+Y21&gt;=Y28*366),(Y18*$G$8+(Y21-Z21)*$L$7)/(Y28*366),IF(AND(Y28*366&gt;Y21,SUM(Y21:Y22)&gt;=Y28*366),(Y21*$L$7+(Y22-Z22)*$L$8)/(Y28*366),IF(AND(Y28*366&gt;Y22,Y22+Y25&gt;=Y28*366),(Y22*$L$8+(Y25-Z25)*$Q$7)/(Y28*366),IF(AND(Y17&gt;0,Y18&gt;0,Y28*366&gt;SUM(Y17:Y18)),(Y17*$G$7+Y18*$G$8)/SUM(Y17:Y18),IF(AND(Y18&gt;0,Y21&gt;0,Y28*366&gt;SUM(Y18:Y21)),(Y18*$G$8+Y21*$L$7)/SUM(Y18:Y21),IF(AND(Y21&gt;0,Y22&gt;0,Y28*366&gt;SUM(Y21:Y22)),(Y21*$L$7+Y22*$L$8)/SUM(Y21:Y22),IF(AND(Y22&gt;0,Y25&gt;0,Y28*366&gt;SUM(Y22:Y25)),(Y22*$L$8+Y25*$Q$7)/SUM(Y22:Y25),IF(AND(Y18&gt;0,Y28*366&gt;Y18),$G$8,IF(AND(Y21&gt;0,Y28*366&gt;Y21),$L$7,IF(AND(Y22&gt;0,Y28*366&gt;Y22),$L$8,IF(AND(Y25&gt;0,Y28*366&gt;Y25),$Q$7)))))))))))))))))))))</f>
        <v>0.53</v>
      </c>
      <c r="Z30" s="24">
        <f t="shared" si="13"/>
        <v>0.53</v>
      </c>
      <c r="AA30" s="24">
        <f t="shared" si="13"/>
        <v>0.53</v>
      </c>
      <c r="AB30" s="24">
        <f t="shared" si="13"/>
        <v>0.53</v>
      </c>
      <c r="AC30" s="24">
        <f>IF(AC17&gt;=AC28*366,$G$7,IF(AND(AC17=0,AC18&gt;=AC28*366),$G$8,IF(AND(AC17+AC18=0,AC21&gt;=AC28*366),$L$7,IF(AND(SUM(AC17:AC18)+AC21=0,AC22&gt;=AC28*366),$L$8,IF(AND(SUM(AC17:AC18)+SUM(AC21:AC22)=0,AC25&gt;=AC28*366),$Q$7,IF(SUM(AC17:AC18)+SUM(AC21:AC22)+AC25=0,0,IF(AND(AC28*366&gt;SUM(AC17:AC18),SUM(AC17:AC18)+AC21&gt;=AC28*366),(AC17*$G$7+AC18*$G$8+(AC21-AD21)*$L$7)/(AC28*366),IF(AND(AC28*366&gt;AC18+AC21,AC18+SUM(AC21:AC22)&gt;=AC28*366),(AC18*$G$8+AC21*$L$7+(AC22-AD22)*$L$8)/(AC28*366),IF(AND(AC28*366&gt;SUM(AC21:AC22),SUM(AC21:AC22)+AC25&gt;=AC28*366),(AC21*$L$7+AC22*$L$8+(AC25-AD25)*$Q$7)/(AC28*366),IF(AND(AC28*366&gt;AC17,AC17+AC18&gt;=AC28*366),(AC17*$G$7+(AC18-AD18)*$G$8)/(AC28*366),IF(AND(AC28*366&gt;AC18,AC18+AC21&gt;=AC28*366),(AC18*$G$8+(AC21-AD21)*$L$7)/(AC28*366),IF(AND(AC28*366&gt;AC21,SUM(AC21:AC22)&gt;=AC28*366),(AC21*$L$7+(AC22-AD22)*$L$8)/(AC28*366),IF(AND(AC28*366&gt;AC22,AC22+AC25&gt;=AC28*366),(AC22*$L$8+(AC25-AD25)*$Q$7)/(AC28*366),IF(AND(AC17&gt;0,AC18&gt;0,AC28*366&gt;SUM(AC17:AC18)),(AC17*$G$7+AC18*$G$8)/SUM(AC17:AC18),IF(AND(AC18&gt;0,AC21&gt;0,AC28*366&gt;SUM(AC18:AC21)),(AC18*$G$8+AC21*$L$7)/SUM(AC18:AC21),IF(AND(AC21&gt;0,AC22&gt;0,AC28*366&gt;SUM(AC21:AC22)),(AC21*$L$7+AC22*$L$8)/SUM(AC21:AC22),IF(AND(AC22&gt;0,AC25&gt;0,AC28*366&gt;SUM(AC22:AC25)),(AC22*$L$8+AC25*$Q$7)/SUM(AC22:AC25),IF(AND(AC18&gt;0,AC28*366&gt;AC18),$G$8,IF(AND(AC21&gt;0,AC28*366&gt;AC21),$L$7,IF(AND(AC22&gt;0,AC28*366&gt;AC22),$L$8,IF(AND(AC25&gt;0,AC28*366&gt;AC25),$Q$7)))))))))))))))))))))</f>
        <v>0.41403845753725738</v>
      </c>
      <c r="AD30" s="24">
        <f t="shared" si="13"/>
        <v>0.38</v>
      </c>
      <c r="AE30" s="24">
        <f t="shared" si="13"/>
        <v>0.38</v>
      </c>
      <c r="AF30" s="24">
        <f t="shared" si="13"/>
        <v>0</v>
      </c>
      <c r="AG30" s="24">
        <f>IF(AG17&gt;=AG28*366,$G$7,IF(AND(AG17=0,AG18&gt;=AG28*366),$G$8,IF(AND(AG17+AG18=0,AG21&gt;=AG28*366),$L$7,IF(AND(SUM(AG17:AG18)+AG21=0,AG22&gt;=AG28*366),$L$8,IF(AND(SUM(AG17:AG18)+SUM(AG21:AG22)=0,AG25&gt;=AG28*366),$Q$7,IF(SUM(AG17:AG18)+SUM(AG21:AG22)+AG25=0,0,IF(AND(AG28*366&gt;SUM(AG17:AG18),SUM(AG17:AG18)+AG21&gt;=AG28*366),(AG17*$G$7+AG18*$G$8+(AG21-AH21)*$L$7)/(AG28*366),IF(AND(AG28*366&gt;AG18+AG21,AG18+SUM(AG21:AG22)&gt;=AG28*366),(AG18*$G$8+AG21*$L$7+(AG22-AH22)*$L$8)/(AG28*366),IF(AND(AG28*366&gt;SUM(AG21:AG22),SUM(AG21:AG22)+AG25&gt;=AG28*366),(AG21*$L$7+AG22*$L$8+(AG25-AH25)*$Q$7)/(AG28*366),IF(AND(AG28*366&gt;AG17,AG17+AG18&gt;=AG28*366),(AG17*$G$7+(AG18-AH18)*$G$8)/(AG28*366),IF(AND(AG28*366&gt;AG18,AG18+AG21&gt;=AG28*366),(AG18*$G$8+(AG21-AH21)*$L$7)/(AG28*366),IF(AND(AG28*366&gt;AG21,SUM(AG21:AG22)&gt;=AG28*366),(AG21*$L$7+(AG22-AH22)*$L$8)/(AG28*366),IF(AND(AG28*366&gt;AG22,AG22+AG25&gt;=AG28*366),(AG22*$L$8+(AG25-AH25)*$Q$7)/(AG28*366),IF(AND(AG17&gt;0,AG18&gt;0,AG28*366&gt;SUM(AG17:AG18)),(AG17*$G$7+AG18*$G$8)/SUM(AG17:AG18),IF(AND(AG18&gt;0,AG21&gt;0,AG28*366&gt;SUM(AG18:AG21)),(AG18*$G$8+AG21*$L$7)/SUM(AG18:AG21),IF(AND(AG21&gt;0,AG22&gt;0,AG28*366&gt;SUM(AG21:AG22)),(AG21*$L$7+AG22*$L$8)/SUM(AG21:AG22),IF(AND(AG22&gt;0,AG25&gt;0,AG28*366&gt;SUM(AG22:AG25)),(AG22*$L$8+AG25*$Q$7)/SUM(AG22:AG25),IF(AND(AG18&gt;0,AG28*366&gt;AG18),$G$8,IF(AND(AG21&gt;0,AG28*366&gt;AG21),$L$7,IF(AND(AG22&gt;0,AG28*366&gt;AG22),$L$8,IF(AND(AG25&gt;0,AG28*366&gt;AG25),$Q$7)))))))))))))))))))))</f>
        <v>0</v>
      </c>
      <c r="AH30" s="24">
        <f t="shared" si="13"/>
        <v>0</v>
      </c>
      <c r="AI30" s="24">
        <f t="shared" si="13"/>
        <v>0</v>
      </c>
      <c r="AJ30" s="24">
        <f t="shared" si="13"/>
        <v>0</v>
      </c>
      <c r="AK30" s="24">
        <f>IF(AK17&gt;=AK28*366,$G$7,IF(AND(AK17=0,AK18&gt;=AK28*366),$G$8,IF(AND(AK17+AK18=0,AK21&gt;=AK28*366),$L$7,IF(AND(SUM(AK17:AK18)+AK21=0,AK22&gt;=AK28*366),$L$8,IF(AND(SUM(AK17:AK18)+SUM(AK21:AK22)=0,AK25&gt;=AK28*366),$Q$7,IF(SUM(AK17:AK18)+SUM(AK21:AK22)+AK25=0,0,IF(AND(AK28*366&gt;SUM(AK17:AK18),SUM(AK17:AK18)+AK21&gt;=AK28*366),(AK17*$G$7+AK18*$G$8+(AK21-AL21)*$L$7)/(AK28*366),IF(AND(AK28*366&gt;AK18+AK21,AK18+SUM(AK21:AK22)&gt;=AK28*366),(AK18*$G$8+AK21*$L$7+(AK22-AL22)*$L$8)/(AK28*366),IF(AND(AK28*366&gt;SUM(AK21:AK22),SUM(AK21:AK22)+AK25&gt;=AK28*366),(AK21*$L$7+AK22*$L$8+(AK25-AL25)*$Q$7)/(AK28*366),IF(AND(AK28*366&gt;AK17,AK17+AK18&gt;=AK28*366),(AK17*$G$7+(AK18-AL18)*$G$8)/(AK28*366),IF(AND(AK28*366&gt;AK18,AK18+AK21&gt;=AK28*366),(AK18*$G$8+(AK21-AL21)*$L$7)/(AK28*366),IF(AND(AK28*366&gt;AK21,SUM(AK21:AK22)&gt;=AK28*366),(AK21*$L$7+(AK22-AL22)*$L$8)/(AK28*366),IF(AND(AK28*366&gt;AK22,AK22+AK25&gt;=AK28*366),(AK22*$L$8+(AK25-AL25)*$Q$7)/(AK28*366),IF(AND(AK17&gt;0,AK18&gt;0,AK28*366&gt;SUM(AK17:AK18)),(AK17*$G$7+AK18*$G$8)/SUM(AK17:AK18),IF(AND(AK18&gt;0,AK21&gt;0,AK28*366&gt;SUM(AK18:AK21)),(AK18*$G$8+AK21*$L$7)/SUM(AK18:AK21),IF(AND(AK21&gt;0,AK22&gt;0,AK28*366&gt;SUM(AK21:AK22)),(AK21*$L$7+AK22*$L$8)/SUM(AK21:AK22),IF(AND(AK22&gt;0,AK25&gt;0,AK28*366&gt;SUM(AK22:AK25)),(AK22*$L$8+AK25*$Q$7)/SUM(AK22:AK25),IF(AND(AK18&gt;0,AK28*366&gt;AK18),$G$8,IF(AND(AK21&gt;0,AK28*366&gt;AK21),$L$7,IF(AND(AK22&gt;0,AK28*366&gt;AK22),$L$8,IF(AND(AK25&gt;0,AK28*366&gt;AK25),$Q$7)))))))))))))))))))))</f>
        <v>0</v>
      </c>
      <c r="AL30" s="24">
        <f>IF(AL17&gt;=AL28*365,$G$7,IF(AND(AL17=0,AL18&gt;=AL28*365),$G$8,IF(AND(AL17+AL18=0,AL21&gt;=AL28*365),$L$7,IF(AND(SUM(AL17:AL18)+AL21=0,AL22&gt;=AL28*365),$L$8,IF(AND(SUM(AL17:AL18)+SUM(AL21:AL22)=0,AL25&gt;=AL28*365),$Q$7,IF(SUM(AL17:AL18)+SUM(AL21:AL22)+AL25=0,0,IF(AND(AL28*365&gt;SUM(AL17:AL18),SUM(AL17:AL18)+AL21&gt;=AL28*365),(AL17*$G$7+AL18*$G$8+(AL21-AM21)*$L$7)/(AL28*365),IF(AND(AL28*365&gt;AL18+AL21,AL18+SUM(AL21:AL22)&gt;=AL28*365),(AL18*$G$8+AL21*$L$7+(AL22-AM22)*$L$8)/(AL28*365),IF(AND(AL28*365&gt;SUM(AL21:AL22),SUM(AL21:AL22)+AL25&gt;=AL28*365),(AL21*$L$7+AL22*$L$8+(AL25-AM25)*$Q$7)/(AL28*365),IF(AND(AL28*365&gt;AL17,AL17+AL18&gt;=AL28*365),(AL17*$G$7+(AL18-AM18)*$G$8)/(AL28*365),IF(AND(AL28*365&gt;AL18,AL18+AL21&gt;=AL28*365),(AL18*$G$8+(AL21-AM21)*$L$7)/(AL28*365),IF(AND(AL28*365&gt;AL21,SUM(AL21:AL22)&gt;=AL28*365),(AL21*$L$7+(AL22-AM22)*$L$8)/(AL28*365),IF(AND(AL28*365&gt;AL22,AL22+AL25&gt;=AL28*365),(AL22*$L$8+(AL25-AM25)*$Q$7)/(AL28*365),IF(AND(AL17&gt;0,AL18&gt;0,AL28*365&gt;SUM(AL17:AL18)),(AL17*$G$7+AL18*$G$8)/SUM(AL17:AL18),IF(AND(AL18&gt;0,AL21&gt;0,AL28*365&gt;SUM(AL18:AL21)),(AL18*$G$8+AL21*$L$7)/SUM(AL18:AL21),IF(AND(AL21&gt;0,AL22&gt;0,AL28*365&gt;SUM(AL21:AL22)),(AL21*$L$7+AL22*$L$8)/SUM(AL21:AL22),IF(AND(AL22&gt;0,AL25&gt;0,AL28*365&gt;SUM(AL22:AL25)),(AL22*$L$8+AL25*$Q$7)/SUM(AL22:AL25),IF(AND(AL18&gt;0,AL28*365&gt;AL18),$G$8,IF(AND(AL21&gt;0,AL28*365&gt;AL21),$L$7,IF(AND(AL22&gt;0,AL28*365&gt;AL22),$L$8,IF(AND(AL25&gt;0,AL28*365&gt;AL25),$Q$7)))))))))))))))))))))</f>
        <v>0</v>
      </c>
      <c r="AM30" s="24">
        <f t="shared" si="13"/>
        <v>0</v>
      </c>
      <c r="AN30" s="24">
        <f t="shared" si="13"/>
        <v>0</v>
      </c>
      <c r="AO30" s="24">
        <f>IF(AO17&gt;=AO28*366,$G$7,IF(AND(AO17=0,AO18&gt;=AO28*366),$G$8,IF(AND(AO17+AO18=0,AO21&gt;=AO28*366),$L$7,IF(AND(SUM(AO17:AO18)+AO21=0,AO22&gt;=AO28*366),$L$8,IF(AND(SUM(AO17:AO18)+SUM(AO21:AO22)=0,AO25&gt;=AO28*366),$Q$7,IF(SUM(AO17:AO18)+SUM(AO21:AO22)+AO25=0,0,IF(AND(AO28*366&gt;SUM(AO17:AO18),SUM(AO17:AO18)+AO21&gt;=AO28*366),(AO17*$G$7+AO18*$G$8+(AO21-AP21)*$L$7)/(AO28*366),IF(AND(AO28*366&gt;AO18+AO21,AO18+SUM(AO21:AO22)&gt;=AO28*366),(AO18*$G$8+AO21*$L$7+(AO22-AP22)*$L$8)/(AO28*366),IF(AND(AO28*366&gt;SUM(AO21:AO22),SUM(AO21:AO22)+AO25&gt;=AO28*366),(AO21*$L$7+AO22*$L$8+(AO25-AP25)*$Q$7)/(AO28*366),IF(AND(AO28*366&gt;AO17,AO17+AO18&gt;=AO28*366),(AO17*$G$7+(AO18-AP18)*$G$8)/(AO28*366),IF(AND(AO28*366&gt;AO18,AO18+AO21&gt;=AO28*366),(AO18*$G$8+(AO21-AP21)*$L$7)/(AO28*366),IF(AND(AO28*366&gt;AO21,SUM(AO21:AO22)&gt;=AO28*366),(AO21*$L$7+(AO22-AP22)*$L$8)/(AO28*366),IF(AND(AO28*366&gt;AO22,AO22+AO25&gt;=AO28*366),(AO22*$L$8+(AO25-AP25)*$Q$7)/(AO28*366),IF(AND(AO17&gt;0,AO18&gt;0,AO28*366&gt;SUM(AO17:AO18)),(AO17*$G$7+AO18*$G$8)/SUM(AO17:AO18),IF(AND(AO18&gt;0,AO21&gt;0,AO28*366&gt;SUM(AO18:AO21)),(AO18*$G$8+AO21*$L$7)/SUM(AO18:AO21),IF(AND(AO21&gt;0,AO22&gt;0,AO28*366&gt;SUM(AO21:AO22)),(AO21*$L$7+AO22*$L$8)/SUM(AO21:AO22),IF(AND(AO22&gt;0,AO25&gt;0,AO28*366&gt;SUM(AO22:AO25)),(AO22*$L$8+AO25*$Q$7)/SUM(AO22:AO25),IF(AND(AO18&gt;0,AO28*366&gt;AO18),$G$8,IF(AND(AO21&gt;0,AO28*366&gt;AO21),$L$7,IF(AND(AO22&gt;0,AO28*366&gt;AO22),$L$8,IF(AND(AO25&gt;0,AO28*366&gt;AO25),$Q$7)))))))))))))))))))))</f>
        <v>0</v>
      </c>
      <c r="AP30" s="24">
        <f t="shared" si="13"/>
        <v>0</v>
      </c>
      <c r="AQ30" s="24">
        <f t="shared" si="13"/>
        <v>0</v>
      </c>
      <c r="AR30" s="24">
        <f t="shared" si="13"/>
        <v>0</v>
      </c>
      <c r="AS30" s="24">
        <f>IF(AS17&gt;=AS28*366,$G$7,IF(AND(AS17=0,AS18&gt;=AS28*366),$G$8,IF(AND(AS17+AS18=0,AS21&gt;=AS28*366),$L$7,IF(AND(SUM(AS17:AS18)+AS21=0,AS22&gt;=AS28*366),$L$8,IF(AND(SUM(AS17:AS18)+SUM(AS21:AS22)=0,AS25&gt;=AS28*366),$Q$7,IF(SUM(AS17:AS18)+SUM(AS21:AS22)+AS25=0,0,IF(AND(AS28*366&gt;SUM(AS17:AS18),SUM(AS17:AS18)+AS21&gt;=AS28*366),(AS17*$G$7+AS18*$G$8+(AS21-AT21)*$L$7)/(AS28*366),IF(AND(AS28*366&gt;AS18+AS21,AS18+SUM(AS21:AS22)&gt;=AS28*366),(AS18*$G$8+AS21*$L$7+(AS22-AT22)*$L$8)/(AS28*366),IF(AND(AS28*366&gt;SUM(AS21:AS22),SUM(AS21:AS22)+AS25&gt;=AS28*366),(AS21*$L$7+AS22*$L$8+(AS25-AT25)*$Q$7)/(AS28*366),IF(AND(AS28*366&gt;AS17,AS17+AS18&gt;=AS28*366),(AS17*$G$7+(AS18-AT18)*$G$8)/(AS28*366),IF(AND(AS28*366&gt;AS18,AS18+AS21&gt;=AS28*366),(AS18*$G$8+(AS21-AT21)*$L$7)/(AS28*366),IF(AND(AS28*366&gt;AS21,SUM(AS21:AS22)&gt;=AS28*366),(AS21*$L$7+(AS22-AT22)*$L$8)/(AS28*366),IF(AND(AS28*366&gt;AS22,AS22+AS25&gt;=AS28*366),(AS22*$L$8+(AS25-AT25)*$Q$7)/(AS28*366),IF(AND(AS17&gt;0,AS18&gt;0,AS28*366&gt;SUM(AS17:AS18)),(AS17*$G$7+AS18*$G$8)/SUM(AS17:AS18),IF(AND(AS18&gt;0,AS21&gt;0,AS28*366&gt;SUM(AS18:AS21)),(AS18*$G$8+AS21*$L$7)/SUM(AS18:AS21),IF(AND(AS21&gt;0,AS22&gt;0,AS28*366&gt;SUM(AS21:AS22)),(AS21*$L$7+AS22*$L$8)/SUM(AS21:AS22),IF(AND(AS22&gt;0,AS25&gt;0,AS28*366&gt;SUM(AS22:AS25)),(AS22*$L$8+AS25*$Q$7)/SUM(AS22:AS25),IF(AND(AS18&gt;0,AS28*366&gt;AS18),$G$8,IF(AND(AS21&gt;0,AS28*366&gt;AS21),$L$7,IF(AND(AS22&gt;0,AS28*366&gt;AS22),$L$8,IF(AND(AS25&gt;0,AS28*366&gt;AS25),$Q$7)))))))))))))))))))))</f>
        <v>0</v>
      </c>
      <c r="AT30" s="24">
        <f t="shared" si="13"/>
        <v>0</v>
      </c>
      <c r="AU30" s="24">
        <f t="shared" si="13"/>
        <v>0</v>
      </c>
      <c r="AV30" s="24">
        <f t="shared" si="13"/>
        <v>0</v>
      </c>
      <c r="AW30" s="24">
        <f>IF(AW17&gt;=AW28*366,$G$7,IF(AND(AW17=0,AW18&gt;=AW28*366),$G$8,IF(AND(AW17+AW18=0,AW21&gt;=AW28*366),$L$7,IF(AND(SUM(AW17:AW18)+AW21=0,AW22&gt;=AW28*366),$L$8,IF(AND(SUM(AW17:AW18)+SUM(AW21:AW22)=0,AW25&gt;=AW28*366),$Q$7,IF(SUM(AW17:AW18)+SUM(AW21:AW22)+AW25=0,0,IF(AND(AW28*366&gt;SUM(AW17:AW18),SUM(AW17:AW18)+AW21&gt;=AW28*366),(AW17*$G$7+AW18*$G$8+(AW21-AX21)*$L$7)/(AW28*366),IF(AND(AW28*366&gt;AW18+AW21,AW18+SUM(AW21:AW22)&gt;=AW28*366),(AW18*$G$8+AW21*$L$7+(AW22-AX22)*$L$8)/(AW28*366),IF(AND(AW28*366&gt;SUM(AW21:AW22),SUM(AW21:AW22)+AW25&gt;=AW28*366),(AW21*$L$7+AW22*$L$8+(AW25-AX25)*$Q$7)/(AW28*366),IF(AND(AW28*366&gt;AW17,AW17+AW18&gt;=AW28*366),(AW17*$G$7+(AW18-AX18)*$G$8)/(AW28*366),IF(AND(AW28*366&gt;AW18,AW18+AW21&gt;=AW28*366),(AW18*$G$8+(AW21-AX21)*$L$7)/(AW28*366),IF(AND(AW28*366&gt;AW21,SUM(AW21:AW22)&gt;=AW28*366),(AW21*$L$7+(AW22-AX22)*$L$8)/(AW28*366),IF(AND(AW28*366&gt;AW22,AW22+AW25&gt;=AW28*366),(AW22*$L$8+(AW25-AX25)*$Q$7)/(AW28*366),IF(AND(AW17&gt;0,AW18&gt;0,AW28*366&gt;SUM(AW17:AW18)),(AW17*$G$7+AW18*$G$8)/SUM(AW17:AW18),IF(AND(AW18&gt;0,AW21&gt;0,AW28*366&gt;SUM(AW18:AW21)),(AW18*$G$8+AW21*$L$7)/SUM(AW18:AW21),IF(AND(AW21&gt;0,AW22&gt;0,AW28*366&gt;SUM(AW21:AW22)),(AW21*$L$7+AW22*$L$8)/SUM(AW21:AW22),IF(AND(AW22&gt;0,AW25&gt;0,AW28*366&gt;SUM(AW22:AW25)),(AW22*$L$8+AW25*$Q$7)/SUM(AW22:AW25),IF(AND(AW18&gt;0,AW28*366&gt;AW18),$G$8,IF(AND(AW21&gt;0,AW28*366&gt;AW21),$L$7,IF(AND(AW22&gt;0,AW28*366&gt;AW22),$L$8,IF(AND(AW25&gt;0,AW28*366&gt;AW25),$Q$7)))))))))))))))))))))</f>
        <v>0</v>
      </c>
      <c r="AX30" s="13"/>
    </row>
    <row r="31" spans="2:50" x14ac:dyDescent="0.25">
      <c r="K31" s="26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2:50" ht="15.75" thickBot="1" x14ac:dyDescent="0.3">
      <c r="B32" s="14" t="s">
        <v>82</v>
      </c>
      <c r="K32" s="26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2:50" x14ac:dyDescent="0.25">
      <c r="B33" t="s">
        <v>85</v>
      </c>
      <c r="C33" t="s">
        <v>84</v>
      </c>
      <c r="H33" s="6">
        <f>H29*H30/Auxiliary!$C$4</f>
        <v>51762.701975491051</v>
      </c>
      <c r="I33" s="6">
        <f>I29*I30/Auxiliary!$C$4</f>
        <v>199189.98637477082</v>
      </c>
      <c r="J33" s="6">
        <f>J29*J30/Auxiliary!$C$4</f>
        <v>36660.351745628643</v>
      </c>
      <c r="K33" s="15">
        <f>SUM(L33:AW33)</f>
        <v>1829313.3583059756</v>
      </c>
      <c r="L33" s="16">
        <f>L29*L30/Auxiliary!$C$4</f>
        <v>42569.752754828209</v>
      </c>
      <c r="M33" s="16">
        <f>M29*M30/Auxiliary!$C$4</f>
        <v>42569.752754828209</v>
      </c>
      <c r="N33" s="16">
        <f>N29*N30/Auxiliary!$C$4</f>
        <v>37667.845725109735</v>
      </c>
      <c r="O33" s="16">
        <f>O29*O30/Auxiliary!$C$4</f>
        <v>33103.681836623487</v>
      </c>
      <c r="P33" s="16">
        <f>P29*P30/Auxiliary!$C$4</f>
        <v>101150.13894523843</v>
      </c>
      <c r="Q33" s="16">
        <f>Q29*Q30/Auxiliary!$C$4</f>
        <v>134621.63946893552</v>
      </c>
      <c r="R33" s="16">
        <f>R29*R30/Auxiliary!$C$4</f>
        <v>134253.82078186193</v>
      </c>
      <c r="S33" s="16">
        <f>S29*S30/Auxiliary!$C$4</f>
        <v>110267.22195892906</v>
      </c>
      <c r="T33" s="16">
        <f>T29*T30/Auxiliary!$C$4</f>
        <v>107809.88638543458</v>
      </c>
      <c r="U33" s="16">
        <f>U29*U30/Auxiliary!$C$4</f>
        <v>108105.25593717551</v>
      </c>
      <c r="V33" s="16">
        <f>V29*V30/Auxiliary!$C$4</f>
        <v>107809.88638543458</v>
      </c>
      <c r="W33" s="16">
        <f>W29*W30/Auxiliary!$C$4</f>
        <v>107809.88638543458</v>
      </c>
      <c r="X33" s="16">
        <f>X29*X30/Auxiliary!$C$4</f>
        <v>107809.88638543458</v>
      </c>
      <c r="Y33" s="16">
        <f>Y29*Y30/Auxiliary!$C$4</f>
        <v>108105.25593717551</v>
      </c>
      <c r="Z33" s="16">
        <f>Z29*Z30/Auxiliary!$C$4</f>
        <v>107809.88638543458</v>
      </c>
      <c r="AA33" s="16">
        <f>AA29*AA30/Auxiliary!$C$4</f>
        <v>107809.88638543458</v>
      </c>
      <c r="AB33" s="16">
        <f>AB29*AB30/Auxiliary!$C$4</f>
        <v>107809.88638543458</v>
      </c>
      <c r="AC33" s="16">
        <f>AC29*AC30/Auxiliary!$C$4</f>
        <v>84452.327207355804</v>
      </c>
      <c r="AD33" s="16">
        <f>AD29*AD30/Auxiliary!$C$4</f>
        <v>77297.654389556861</v>
      </c>
      <c r="AE33" s="16">
        <f>AE29*AE30/Auxiliary!$C$4</f>
        <v>60479.805910315466</v>
      </c>
      <c r="AF33" s="16">
        <f>AF29*AF30/Auxiliary!$C$4</f>
        <v>0</v>
      </c>
      <c r="AG33" s="16">
        <f>AG29*AG30/Auxiliary!$C$4</f>
        <v>0</v>
      </c>
      <c r="AH33" s="16">
        <f>AH29*AH30/Auxiliary!$C$4</f>
        <v>0</v>
      </c>
      <c r="AI33" s="16">
        <f>AI29*AI30/Auxiliary!$C$4</f>
        <v>0</v>
      </c>
      <c r="AJ33" s="16">
        <f>AJ29*AJ30/Auxiliary!$C$4</f>
        <v>0</v>
      </c>
      <c r="AK33" s="16">
        <f>AK29*AK30/Auxiliary!$C$4</f>
        <v>0</v>
      </c>
      <c r="AL33" s="16">
        <f>AL29*AL30/Auxiliary!$C$4</f>
        <v>0</v>
      </c>
      <c r="AM33" s="16">
        <f>AM29*AM30/Auxiliary!$C$4</f>
        <v>0</v>
      </c>
      <c r="AN33" s="16">
        <f>AN29*AN30/Auxiliary!$C$4</f>
        <v>0</v>
      </c>
      <c r="AO33" s="16">
        <f>AO29*AO30/Auxiliary!$C$4</f>
        <v>0</v>
      </c>
      <c r="AP33" s="16">
        <f>AP29*AP30/Auxiliary!$C$4</f>
        <v>0</v>
      </c>
      <c r="AQ33" s="16">
        <f>AQ29*AQ30/Auxiliary!$C$4</f>
        <v>0</v>
      </c>
      <c r="AR33" s="16">
        <f>AR29*AR30/Auxiliary!$C$4</f>
        <v>0</v>
      </c>
      <c r="AS33" s="16">
        <f>AS29*AS30/Auxiliary!$C$4</f>
        <v>0</v>
      </c>
      <c r="AT33" s="16">
        <f>AT29*AT30/Auxiliary!$C$4</f>
        <v>0</v>
      </c>
      <c r="AU33" s="16">
        <f>AU29*AU30/Auxiliary!$C$4</f>
        <v>0</v>
      </c>
      <c r="AV33" s="16">
        <f>AV29*AV30/Auxiliary!$C$4</f>
        <v>0</v>
      </c>
      <c r="AW33" s="16">
        <f>AW29*AW30/Auxiliary!$C$4</f>
        <v>0</v>
      </c>
      <c r="AX33" s="13"/>
    </row>
    <row r="34" spans="2:50" x14ac:dyDescent="0.25">
      <c r="K34" s="26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2:50" ht="15.75" thickBot="1" x14ac:dyDescent="0.3">
      <c r="B35" s="14" t="s">
        <v>86</v>
      </c>
      <c r="K35" s="26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2:50" x14ac:dyDescent="0.25">
      <c r="B36" t="s">
        <v>85</v>
      </c>
      <c r="C36" t="s">
        <v>70</v>
      </c>
      <c r="H36" s="18">
        <f>H39/H33</f>
        <v>0.25954982037763974</v>
      </c>
      <c r="I36" s="18">
        <f t="shared" ref="I36:J36" si="14">I39/I33</f>
        <v>0.52292287326142872</v>
      </c>
      <c r="J36" s="18">
        <f t="shared" si="14"/>
        <v>0.82017761882454632</v>
      </c>
      <c r="K36" s="27">
        <f>AVERAGE(L36:AW36)</f>
        <v>0.78000000000000036</v>
      </c>
      <c r="L36" s="34">
        <v>0.78</v>
      </c>
      <c r="M36" s="34">
        <v>0.78</v>
      </c>
      <c r="N36" s="34">
        <v>0.78</v>
      </c>
      <c r="O36" s="34">
        <v>0.78</v>
      </c>
      <c r="P36" s="34">
        <v>0.78</v>
      </c>
      <c r="Q36" s="34">
        <v>0.78</v>
      </c>
      <c r="R36" s="34">
        <v>0.78</v>
      </c>
      <c r="S36" s="34">
        <v>0.78</v>
      </c>
      <c r="T36" s="34">
        <v>0.78</v>
      </c>
      <c r="U36" s="34">
        <v>0.78</v>
      </c>
      <c r="V36" s="34">
        <v>0.78</v>
      </c>
      <c r="W36" s="34">
        <v>0.78</v>
      </c>
      <c r="X36" s="34">
        <v>0.78</v>
      </c>
      <c r="Y36" s="34">
        <v>0.78</v>
      </c>
      <c r="Z36" s="34">
        <v>0.78</v>
      </c>
      <c r="AA36" s="34">
        <v>0.78</v>
      </c>
      <c r="AB36" s="34">
        <v>0.78</v>
      </c>
      <c r="AC36" s="34">
        <v>0.78</v>
      </c>
      <c r="AD36" s="34">
        <v>0.78</v>
      </c>
      <c r="AE36" s="34">
        <v>0.78</v>
      </c>
      <c r="AF36" s="34">
        <v>0.78</v>
      </c>
      <c r="AG36" s="34">
        <v>0.78</v>
      </c>
      <c r="AH36" s="34">
        <v>0.78</v>
      </c>
      <c r="AI36" s="34">
        <v>0.78</v>
      </c>
      <c r="AJ36" s="34">
        <v>0.78</v>
      </c>
      <c r="AK36" s="34">
        <v>0.78</v>
      </c>
      <c r="AL36" s="34">
        <v>0.78</v>
      </c>
      <c r="AM36" s="34">
        <v>0.78</v>
      </c>
      <c r="AN36" s="34">
        <v>0.78</v>
      </c>
      <c r="AO36" s="34">
        <v>0.78</v>
      </c>
      <c r="AP36" s="34">
        <v>0.78</v>
      </c>
      <c r="AQ36" s="34">
        <v>0.78</v>
      </c>
      <c r="AR36" s="34">
        <v>0.78</v>
      </c>
      <c r="AS36" s="34">
        <v>0.78</v>
      </c>
      <c r="AT36" s="34">
        <v>0.78</v>
      </c>
      <c r="AU36" s="34">
        <v>0.78</v>
      </c>
      <c r="AV36" s="34">
        <v>0.78</v>
      </c>
      <c r="AW36" s="34">
        <v>0.78</v>
      </c>
      <c r="AX36" s="13"/>
    </row>
    <row r="37" spans="2:50" x14ac:dyDescent="0.25">
      <c r="K37" s="2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2:50" ht="15.75" thickBot="1" x14ac:dyDescent="0.3">
      <c r="B38" s="14" t="s">
        <v>87</v>
      </c>
      <c r="K38" s="2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2:50" x14ac:dyDescent="0.25">
      <c r="B39" t="s">
        <v>85</v>
      </c>
      <c r="C39" t="s">
        <v>84</v>
      </c>
      <c r="E39" s="6"/>
      <c r="F39" s="6"/>
      <c r="G39" s="6"/>
      <c r="H39" s="6">
        <v>13435</v>
      </c>
      <c r="I39" s="6">
        <v>104161</v>
      </c>
      <c r="J39" s="6">
        <v>30068</v>
      </c>
      <c r="K39" s="15">
        <f>SUM(L39:AW39)</f>
        <v>1426864.4194786611</v>
      </c>
      <c r="L39" s="16">
        <f>L33*L36</f>
        <v>33204.407148766004</v>
      </c>
      <c r="M39" s="16">
        <f t="shared" ref="M39:AW39" si="15">M33*M36</f>
        <v>33204.407148766004</v>
      </c>
      <c r="N39" s="16">
        <f t="shared" si="15"/>
        <v>29380.919665585596</v>
      </c>
      <c r="O39" s="16">
        <f t="shared" si="15"/>
        <v>25820.871832566321</v>
      </c>
      <c r="P39" s="16">
        <f t="shared" si="15"/>
        <v>78897.108377285986</v>
      </c>
      <c r="Q39" s="16">
        <f t="shared" si="15"/>
        <v>105004.87878576972</v>
      </c>
      <c r="R39" s="16">
        <f t="shared" si="15"/>
        <v>104717.98020985231</v>
      </c>
      <c r="S39" s="16">
        <f t="shared" si="15"/>
        <v>86008.433127964672</v>
      </c>
      <c r="T39" s="16">
        <f t="shared" si="15"/>
        <v>84091.711380638983</v>
      </c>
      <c r="U39" s="16">
        <f t="shared" si="15"/>
        <v>84322.09963099689</v>
      </c>
      <c r="V39" s="16">
        <f t="shared" si="15"/>
        <v>84091.711380638983</v>
      </c>
      <c r="W39" s="16">
        <f t="shared" si="15"/>
        <v>84091.711380638983</v>
      </c>
      <c r="X39" s="16">
        <f t="shared" si="15"/>
        <v>84091.711380638983</v>
      </c>
      <c r="Y39" s="16">
        <f t="shared" si="15"/>
        <v>84322.09963099689</v>
      </c>
      <c r="Z39" s="16">
        <f t="shared" si="15"/>
        <v>84091.711380638983</v>
      </c>
      <c r="AA39" s="16">
        <f t="shared" si="15"/>
        <v>84091.711380638983</v>
      </c>
      <c r="AB39" s="16">
        <f t="shared" si="15"/>
        <v>84091.711380638983</v>
      </c>
      <c r="AC39" s="16">
        <f t="shared" si="15"/>
        <v>65872.815221737532</v>
      </c>
      <c r="AD39" s="16">
        <f t="shared" si="15"/>
        <v>60292.170423854353</v>
      </c>
      <c r="AE39" s="16">
        <f t="shared" si="15"/>
        <v>47174.248610046066</v>
      </c>
      <c r="AF39" s="16">
        <f t="shared" si="15"/>
        <v>0</v>
      </c>
      <c r="AG39" s="16">
        <f t="shared" si="15"/>
        <v>0</v>
      </c>
      <c r="AH39" s="16">
        <f t="shared" si="15"/>
        <v>0</v>
      </c>
      <c r="AI39" s="16">
        <f t="shared" si="15"/>
        <v>0</v>
      </c>
      <c r="AJ39" s="16">
        <f t="shared" si="15"/>
        <v>0</v>
      </c>
      <c r="AK39" s="16">
        <f t="shared" si="15"/>
        <v>0</v>
      </c>
      <c r="AL39" s="16">
        <f t="shared" si="15"/>
        <v>0</v>
      </c>
      <c r="AM39" s="16">
        <f t="shared" si="15"/>
        <v>0</v>
      </c>
      <c r="AN39" s="16">
        <f t="shared" si="15"/>
        <v>0</v>
      </c>
      <c r="AO39" s="16">
        <f t="shared" si="15"/>
        <v>0</v>
      </c>
      <c r="AP39" s="16">
        <f t="shared" si="15"/>
        <v>0</v>
      </c>
      <c r="AQ39" s="16">
        <f t="shared" si="15"/>
        <v>0</v>
      </c>
      <c r="AR39" s="16">
        <f t="shared" si="15"/>
        <v>0</v>
      </c>
      <c r="AS39" s="16">
        <f t="shared" si="15"/>
        <v>0</v>
      </c>
      <c r="AT39" s="16">
        <f t="shared" si="15"/>
        <v>0</v>
      </c>
      <c r="AU39" s="16">
        <f t="shared" si="15"/>
        <v>0</v>
      </c>
      <c r="AV39" s="16">
        <f t="shared" si="15"/>
        <v>0</v>
      </c>
      <c r="AW39" s="16">
        <f t="shared" si="15"/>
        <v>0</v>
      </c>
      <c r="AX39" s="13"/>
    </row>
    <row r="40" spans="2:50" x14ac:dyDescent="0.25">
      <c r="K40" s="26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2:50" ht="15.75" thickBot="1" x14ac:dyDescent="0.3">
      <c r="B41" s="14" t="s">
        <v>91</v>
      </c>
      <c r="K41" s="26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2:50" x14ac:dyDescent="0.25">
      <c r="B42" t="s">
        <v>85</v>
      </c>
      <c r="C42" t="s">
        <v>70</v>
      </c>
      <c r="H42" s="22">
        <v>0.99939999999999996</v>
      </c>
      <c r="I42" s="22">
        <v>0.99939999999999996</v>
      </c>
      <c r="J42" s="22">
        <v>0.99939999999999996</v>
      </c>
      <c r="K42" s="29">
        <f>AVERAGE(L42:AW42)</f>
        <v>0.99940000000000062</v>
      </c>
      <c r="L42" s="51">
        <v>0.99939999999999996</v>
      </c>
      <c r="M42" s="51">
        <v>0.99939999999999996</v>
      </c>
      <c r="N42" s="51">
        <v>0.99939999999999996</v>
      </c>
      <c r="O42" s="51">
        <v>0.99939999999999996</v>
      </c>
      <c r="P42" s="51">
        <v>0.99939999999999996</v>
      </c>
      <c r="Q42" s="51">
        <v>0.99939999999999996</v>
      </c>
      <c r="R42" s="51">
        <v>0.99939999999999996</v>
      </c>
      <c r="S42" s="51">
        <v>0.99939999999999996</v>
      </c>
      <c r="T42" s="51">
        <v>0.99939999999999996</v>
      </c>
      <c r="U42" s="51">
        <v>0.99939999999999996</v>
      </c>
      <c r="V42" s="51">
        <v>0.99939999999999996</v>
      </c>
      <c r="W42" s="51">
        <v>0.99939999999999996</v>
      </c>
      <c r="X42" s="51">
        <v>0.99939999999999996</v>
      </c>
      <c r="Y42" s="51">
        <v>0.99939999999999996</v>
      </c>
      <c r="Z42" s="51">
        <v>0.99939999999999996</v>
      </c>
      <c r="AA42" s="51">
        <v>0.99939999999999996</v>
      </c>
      <c r="AB42" s="51">
        <v>0.99939999999999996</v>
      </c>
      <c r="AC42" s="51">
        <v>0.99939999999999996</v>
      </c>
      <c r="AD42" s="51">
        <v>0.99939999999999996</v>
      </c>
      <c r="AE42" s="51">
        <v>0.99939999999999996</v>
      </c>
      <c r="AF42" s="51">
        <v>0.99939999999999996</v>
      </c>
      <c r="AG42" s="51">
        <v>0.99939999999999996</v>
      </c>
      <c r="AH42" s="51">
        <v>0.99939999999999996</v>
      </c>
      <c r="AI42" s="51">
        <v>0.99939999999999996</v>
      </c>
      <c r="AJ42" s="51">
        <v>0.99939999999999996</v>
      </c>
      <c r="AK42" s="51">
        <v>0.99939999999999996</v>
      </c>
      <c r="AL42" s="51">
        <v>0.99939999999999996</v>
      </c>
      <c r="AM42" s="51">
        <v>0.99939999999999996</v>
      </c>
      <c r="AN42" s="51">
        <v>0.99939999999999996</v>
      </c>
      <c r="AO42" s="51">
        <v>0.99939999999999996</v>
      </c>
      <c r="AP42" s="51">
        <v>0.99939999999999996</v>
      </c>
      <c r="AQ42" s="51">
        <v>0.99939999999999996</v>
      </c>
      <c r="AR42" s="51">
        <v>0.99939999999999996</v>
      </c>
      <c r="AS42" s="51">
        <v>0.99939999999999996</v>
      </c>
      <c r="AT42" s="51">
        <v>0.99939999999999996</v>
      </c>
      <c r="AU42" s="51">
        <v>0.99939999999999996</v>
      </c>
      <c r="AV42" s="51">
        <v>0.99939999999999996</v>
      </c>
      <c r="AW42" s="51">
        <v>0.99939999999999996</v>
      </c>
      <c r="AX42" s="13"/>
    </row>
    <row r="43" spans="2:50" x14ac:dyDescent="0.25">
      <c r="K43" s="2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2:50" ht="15.75" thickBot="1" x14ac:dyDescent="0.3">
      <c r="B44" s="14" t="s">
        <v>92</v>
      </c>
      <c r="K44" s="26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2:50" x14ac:dyDescent="0.25">
      <c r="B45" t="s">
        <v>85</v>
      </c>
      <c r="C45" t="s">
        <v>84</v>
      </c>
      <c r="H45" s="6">
        <f>H39*H42</f>
        <v>13426.938999999998</v>
      </c>
      <c r="I45" s="6">
        <f t="shared" ref="I45:J45" si="16">I39*I42</f>
        <v>104098.5034</v>
      </c>
      <c r="J45" s="6">
        <f t="shared" si="16"/>
        <v>30049.959199999998</v>
      </c>
      <c r="K45" s="15">
        <f>SUM(L45:AW45)</f>
        <v>1426008.300826974</v>
      </c>
      <c r="L45" s="16">
        <f>L39*L42</f>
        <v>33184.484504476743</v>
      </c>
      <c r="M45" s="16">
        <f t="shared" ref="M45:AW45" si="17">M39*M42</f>
        <v>33184.484504476743</v>
      </c>
      <c r="N45" s="16">
        <f t="shared" si="17"/>
        <v>29363.291113786243</v>
      </c>
      <c r="O45" s="16">
        <f t="shared" si="17"/>
        <v>25805.379309466782</v>
      </c>
      <c r="P45" s="16">
        <f t="shared" si="17"/>
        <v>78849.770112259605</v>
      </c>
      <c r="Q45" s="16">
        <f t="shared" si="17"/>
        <v>104941.87585849826</v>
      </c>
      <c r="R45" s="16">
        <f t="shared" si="17"/>
        <v>104655.1494217264</v>
      </c>
      <c r="S45" s="16">
        <f t="shared" si="17"/>
        <v>85956.828068087896</v>
      </c>
      <c r="T45" s="16">
        <f t="shared" si="17"/>
        <v>84041.25635381059</v>
      </c>
      <c r="U45" s="16">
        <f t="shared" si="17"/>
        <v>84271.506371218289</v>
      </c>
      <c r="V45" s="16">
        <f t="shared" si="17"/>
        <v>84041.25635381059</v>
      </c>
      <c r="W45" s="16">
        <f t="shared" si="17"/>
        <v>84041.25635381059</v>
      </c>
      <c r="X45" s="16">
        <f t="shared" si="17"/>
        <v>84041.25635381059</v>
      </c>
      <c r="Y45" s="16">
        <f t="shared" si="17"/>
        <v>84271.506371218289</v>
      </c>
      <c r="Z45" s="16">
        <f t="shared" si="17"/>
        <v>84041.25635381059</v>
      </c>
      <c r="AA45" s="16">
        <f t="shared" si="17"/>
        <v>84041.25635381059</v>
      </c>
      <c r="AB45" s="16">
        <f t="shared" si="17"/>
        <v>84041.25635381059</v>
      </c>
      <c r="AC45" s="16">
        <f t="shared" si="17"/>
        <v>65833.291532604489</v>
      </c>
      <c r="AD45" s="16">
        <f t="shared" si="17"/>
        <v>60255.995121600041</v>
      </c>
      <c r="AE45" s="16">
        <f t="shared" si="17"/>
        <v>47145.944060880036</v>
      </c>
      <c r="AF45" s="16">
        <f t="shared" si="17"/>
        <v>0</v>
      </c>
      <c r="AG45" s="16">
        <f t="shared" si="17"/>
        <v>0</v>
      </c>
      <c r="AH45" s="16">
        <f t="shared" si="17"/>
        <v>0</v>
      </c>
      <c r="AI45" s="16">
        <f t="shared" si="17"/>
        <v>0</v>
      </c>
      <c r="AJ45" s="16">
        <f t="shared" si="17"/>
        <v>0</v>
      </c>
      <c r="AK45" s="16">
        <f t="shared" si="17"/>
        <v>0</v>
      </c>
      <c r="AL45" s="16">
        <f t="shared" si="17"/>
        <v>0</v>
      </c>
      <c r="AM45" s="16">
        <f t="shared" si="17"/>
        <v>0</v>
      </c>
      <c r="AN45" s="16">
        <f t="shared" si="17"/>
        <v>0</v>
      </c>
      <c r="AO45" s="16">
        <f t="shared" si="17"/>
        <v>0</v>
      </c>
      <c r="AP45" s="16">
        <f t="shared" si="17"/>
        <v>0</v>
      </c>
      <c r="AQ45" s="16">
        <f t="shared" si="17"/>
        <v>0</v>
      </c>
      <c r="AR45" s="16">
        <f t="shared" si="17"/>
        <v>0</v>
      </c>
      <c r="AS45" s="16">
        <f t="shared" si="17"/>
        <v>0</v>
      </c>
      <c r="AT45" s="16">
        <f t="shared" si="17"/>
        <v>0</v>
      </c>
      <c r="AU45" s="16">
        <f t="shared" si="17"/>
        <v>0</v>
      </c>
      <c r="AV45" s="16">
        <f t="shared" si="17"/>
        <v>0</v>
      </c>
      <c r="AW45" s="16">
        <f t="shared" si="17"/>
        <v>0</v>
      </c>
      <c r="AX45" s="13"/>
    </row>
    <row r="46" spans="2:50" x14ac:dyDescent="0.25">
      <c r="K46" s="46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spans="2:50" ht="15.75" thickBot="1" x14ac:dyDescent="0.3">
      <c r="B47" s="14" t="s">
        <v>155</v>
      </c>
      <c r="K47" s="46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2:50" x14ac:dyDescent="0.25">
      <c r="B48" t="s">
        <v>85</v>
      </c>
      <c r="C48" t="s">
        <v>93</v>
      </c>
      <c r="H48" s="6">
        <f>H14*H45</f>
        <v>24880117.966999996</v>
      </c>
      <c r="I48" s="6">
        <f t="shared" ref="I48:J48" si="18">I14*I45</f>
        <v>185815828.56900001</v>
      </c>
      <c r="J48" s="6">
        <f t="shared" si="18"/>
        <v>56794422.887999997</v>
      </c>
      <c r="K48" s="15">
        <f>SUM(L48:AW48)</f>
        <v>2504283277.5938787</v>
      </c>
      <c r="L48" s="16">
        <f>L14*L45</f>
        <v>62054986.02337151</v>
      </c>
      <c r="M48" s="16">
        <f t="shared" ref="M48:AW48" si="19">M14*M45</f>
        <v>61391296.333281972</v>
      </c>
      <c r="N48" s="16">
        <f t="shared" si="19"/>
        <v>52853924.004815236</v>
      </c>
      <c r="O48" s="16">
        <f t="shared" si="19"/>
        <v>45159413.791566871</v>
      </c>
      <c r="P48" s="16">
        <f t="shared" si="19"/>
        <v>137987097.69645432</v>
      </c>
      <c r="Q48" s="16">
        <f t="shared" si="19"/>
        <v>183648282.75237194</v>
      </c>
      <c r="R48" s="16">
        <f t="shared" si="19"/>
        <v>183146511.48802119</v>
      </c>
      <c r="S48" s="16">
        <f t="shared" si="19"/>
        <v>150424449.11915383</v>
      </c>
      <c r="T48" s="16">
        <f t="shared" si="19"/>
        <v>147072198.61916852</v>
      </c>
      <c r="U48" s="16">
        <f t="shared" si="19"/>
        <v>147475136.14963201</v>
      </c>
      <c r="V48" s="16">
        <f t="shared" si="19"/>
        <v>147072198.61916852</v>
      </c>
      <c r="W48" s="16">
        <f t="shared" si="19"/>
        <v>147072198.61916852</v>
      </c>
      <c r="X48" s="16">
        <f t="shared" si="19"/>
        <v>147072198.61916852</v>
      </c>
      <c r="Y48" s="16">
        <f t="shared" si="19"/>
        <v>147475136.14963201</v>
      </c>
      <c r="Z48" s="16">
        <f t="shared" si="19"/>
        <v>147072198.61916852</v>
      </c>
      <c r="AA48" s="16">
        <f t="shared" si="19"/>
        <v>147072198.61916852</v>
      </c>
      <c r="AB48" s="16">
        <f t="shared" si="19"/>
        <v>147072198.61916852</v>
      </c>
      <c r="AC48" s="16">
        <f t="shared" si="19"/>
        <v>115208260.18205786</v>
      </c>
      <c r="AD48" s="16">
        <f t="shared" si="19"/>
        <v>105447991.46280007</v>
      </c>
      <c r="AE48" s="16">
        <f t="shared" si="19"/>
        <v>82505402.106540069</v>
      </c>
      <c r="AF48" s="16">
        <f t="shared" si="19"/>
        <v>0</v>
      </c>
      <c r="AG48" s="16">
        <f t="shared" si="19"/>
        <v>0</v>
      </c>
      <c r="AH48" s="16">
        <f t="shared" si="19"/>
        <v>0</v>
      </c>
      <c r="AI48" s="16">
        <f t="shared" si="19"/>
        <v>0</v>
      </c>
      <c r="AJ48" s="16">
        <f t="shared" si="19"/>
        <v>0</v>
      </c>
      <c r="AK48" s="16">
        <f t="shared" si="19"/>
        <v>0</v>
      </c>
      <c r="AL48" s="16">
        <f t="shared" si="19"/>
        <v>0</v>
      </c>
      <c r="AM48" s="16">
        <f t="shared" si="19"/>
        <v>0</v>
      </c>
      <c r="AN48" s="16">
        <f t="shared" si="19"/>
        <v>0</v>
      </c>
      <c r="AO48" s="16">
        <f t="shared" si="19"/>
        <v>0</v>
      </c>
      <c r="AP48" s="16">
        <f t="shared" si="19"/>
        <v>0</v>
      </c>
      <c r="AQ48" s="16">
        <f t="shared" si="19"/>
        <v>0</v>
      </c>
      <c r="AR48" s="16">
        <f t="shared" si="19"/>
        <v>0</v>
      </c>
      <c r="AS48" s="16">
        <f t="shared" si="19"/>
        <v>0</v>
      </c>
      <c r="AT48" s="16">
        <f t="shared" si="19"/>
        <v>0</v>
      </c>
      <c r="AU48" s="16">
        <f t="shared" si="19"/>
        <v>0</v>
      </c>
      <c r="AV48" s="16">
        <f t="shared" si="19"/>
        <v>0</v>
      </c>
      <c r="AW48" s="16">
        <f t="shared" si="19"/>
        <v>0</v>
      </c>
      <c r="AX48" s="13"/>
    </row>
    <row r="49" spans="2:50" x14ac:dyDescent="0.25">
      <c r="K49" s="46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2:50" ht="15.75" thickBot="1" x14ac:dyDescent="0.3">
      <c r="B50" s="14" t="s">
        <v>131</v>
      </c>
      <c r="K50" s="46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2:50" x14ac:dyDescent="0.25">
      <c r="K51" s="46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2:50" x14ac:dyDescent="0.25">
      <c r="B52" s="3" t="s">
        <v>132</v>
      </c>
      <c r="K52" s="46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2:50" x14ac:dyDescent="0.25">
      <c r="B53" t="s">
        <v>202</v>
      </c>
      <c r="C53" t="s">
        <v>134</v>
      </c>
      <c r="I53" s="37">
        <f>I54/I29</f>
        <v>10.041609031296568</v>
      </c>
      <c r="J53" s="37">
        <f>J54/J29</f>
        <v>16.675220238393834</v>
      </c>
      <c r="K53" s="57">
        <f>AVERAGEIF(L53:AW53,"&gt;0")</f>
        <v>13.225</v>
      </c>
      <c r="L53" s="50">
        <v>14</v>
      </c>
      <c r="M53" s="50">
        <v>14</v>
      </c>
      <c r="N53" s="50">
        <v>14.5</v>
      </c>
      <c r="O53" s="50">
        <v>14</v>
      </c>
      <c r="P53" s="50">
        <f>IF(AND(P28*275&lt;=SUM(P17:P25),P29&gt;0),13,IF(AND(P28*275&gt;SUM(P17:P25),P29&gt;0,SUM(P17:P25)&gt;=0.5*P28*275),13,IF(AND(P28*275&gt;SUM(P17:P25),P29&gt;0,SUM(P17:P25)&lt;0.5*P28*275),13*1.2,IF(P29=0,0))))</f>
        <v>13</v>
      </c>
      <c r="Q53" s="50">
        <f>IF(AND(Q28*366&lt;=SUM(Q17:Q25),Q29&gt;0),13,IF(AND(Q28*366&gt;SUM(Q17:Q25),Q29&gt;0,SUM(Q17:Q25)&gt;=0.5*Q28*366),13,IF(AND(Q28*366&gt;SUM(Q17:Q25),Q29&gt;0,SUM(Q17:Q25)&lt;0.5*Q28*366),13*1.2,IF(Q29=0,0))))</f>
        <v>13</v>
      </c>
      <c r="R53" s="50">
        <f>IF(AND(R28*365&lt;=SUM(R17:R25),R29&gt;0),13,IF(AND(R28*365&gt;SUM(R17:R25),R29&gt;0,SUM(R17:R25)&gt;=0.5*R28*365),13,IF(AND(R28*365&gt;SUM(R17:R25),R29&gt;0,SUM(R17:R25)&lt;0.5*R28*365),13*1.2,IF(R29=0,0))))</f>
        <v>13</v>
      </c>
      <c r="S53" s="50">
        <f>IF(AND(S28*365&lt;=SUM(S17:S25),S29&gt;0),13,IF(AND(S28*365&gt;SUM(S17:S25),S29&gt;0,SUM(S17:S25)&gt;=0.5*S28*365),13,IF(AND(S28*365&gt;SUM(S17:S25),S29&gt;0,SUM(S17:S25)&lt;0.5*S28*365),13*1.2,IF(S29=0,0))))</f>
        <v>13</v>
      </c>
      <c r="T53" s="50">
        <f t="shared" ref="T53:AV53" si="20">IF(AND(T28*365&lt;=SUM(T17:T25),T29&gt;0),13,IF(AND(T28*365&gt;SUM(T17:T25),T29&gt;0,SUM(T17:T25)&gt;=0.5*T28*365),13,IF(AND(T28*365&gt;SUM(T17:T25),T29&gt;0,SUM(T17:T25)&lt;0.5*T28*365),13*1.2,IF(T29=0,0))))</f>
        <v>13</v>
      </c>
      <c r="U53" s="50">
        <f>IF(AND(U28*366&lt;=SUM(U17:U25),U29&gt;0),13,IF(AND(U28*366&gt;SUM(U17:U25),U29&gt;0,SUM(U17:U25)&gt;=0.5*U28*366),13,IF(AND(U28*366&gt;SUM(U17:U25),U29&gt;0,SUM(U17:U25)&lt;0.5*U28*366),13*1.2,IF(U29=0,0))))</f>
        <v>13</v>
      </c>
      <c r="V53" s="50">
        <f t="shared" si="20"/>
        <v>13</v>
      </c>
      <c r="W53" s="50">
        <f t="shared" si="20"/>
        <v>13</v>
      </c>
      <c r="X53" s="50">
        <f t="shared" si="20"/>
        <v>13</v>
      </c>
      <c r="Y53" s="50">
        <f>IF(AND(Y28*366&lt;=SUM(Y17:Y25),Y29&gt;0),13,IF(AND(Y28*366&gt;SUM(Y17:Y25),Y29&gt;0,SUM(Y17:Y25)&gt;=0.5*Y28*366),13,IF(AND(Y28*366&gt;SUM(Y17:Y25),Y29&gt;0,SUM(Y17:Y25)&lt;0.5*Y28*366),13*1.2,IF(Y29=0,0))))</f>
        <v>13</v>
      </c>
      <c r="Z53" s="50">
        <f t="shared" si="20"/>
        <v>13</v>
      </c>
      <c r="AA53" s="50">
        <f t="shared" si="20"/>
        <v>13</v>
      </c>
      <c r="AB53" s="50">
        <f t="shared" si="20"/>
        <v>13</v>
      </c>
      <c r="AC53" s="50">
        <f>IF(AND(AC28*366&lt;=SUM(AC17:AC25),AC29&gt;0),13,IF(AND(AC28*366&gt;SUM(AC17:AC25),AC29&gt;0,SUM(AC17:AC25)&gt;=0.5*AC28*366),13,IF(AND(AC28*366&gt;SUM(AC17:AC25),AC29&gt;0,SUM(AC17:AC25)&lt;0.5*AC28*366),13*1.2,IF(AC29=0,0))))</f>
        <v>13</v>
      </c>
      <c r="AD53" s="50">
        <f t="shared" si="20"/>
        <v>13</v>
      </c>
      <c r="AE53" s="50">
        <f t="shared" si="20"/>
        <v>13</v>
      </c>
      <c r="AF53" s="50">
        <f t="shared" si="20"/>
        <v>0</v>
      </c>
      <c r="AG53" s="50">
        <f>IF(AND(AG28*366&lt;=SUM(AG17:AG25),AG29&gt;0),13,IF(AND(AG28*366&gt;SUM(AG17:AG25),AG29&gt;0,SUM(AG17:AG25)&gt;=0.5*AG28*366),13,IF(AND(AG28*366&gt;SUM(AG17:AG25),AG29&gt;0,SUM(AG17:AG25)&lt;0.5*AG28*366),13*1.2,IF(AG29=0,0))))</f>
        <v>0</v>
      </c>
      <c r="AH53" s="50">
        <f t="shared" si="20"/>
        <v>0</v>
      </c>
      <c r="AI53" s="50">
        <f t="shared" si="20"/>
        <v>0</v>
      </c>
      <c r="AJ53" s="50">
        <f t="shared" si="20"/>
        <v>0</v>
      </c>
      <c r="AK53" s="50">
        <f>IF(AND(AK28*366&lt;=SUM(AK17:AK25),AK29&gt;0),13,IF(AND(AK28*366&gt;SUM(AK17:AK25),AK29&gt;0,SUM(AK17:AK25)&gt;=0.5*AK28*366),13,IF(AND(AK28*366&gt;SUM(AK17:AK25),AK29&gt;0,SUM(AK17:AK25)&lt;0.5*AK28*366),13*1.2,IF(AK29=0,0))))</f>
        <v>0</v>
      </c>
      <c r="AL53" s="50">
        <f t="shared" si="20"/>
        <v>0</v>
      </c>
      <c r="AM53" s="50">
        <f t="shared" si="20"/>
        <v>0</v>
      </c>
      <c r="AN53" s="50">
        <f t="shared" si="20"/>
        <v>0</v>
      </c>
      <c r="AO53" s="50">
        <f>IF(AND(AO28*366&lt;=SUM(AO17:AO25),AO29&gt;0),13,IF(AND(AO28*366&gt;SUM(AO17:AO25),AO29&gt;0,SUM(AO17:AO25)&gt;=0.5*AO28*366),13,IF(AND(AO28*366&gt;SUM(AO17:AO25),AO29&gt;0,SUM(AO17:AO25)&lt;0.5*AO28*366),13*1.2,IF(AO29=0,0))))</f>
        <v>0</v>
      </c>
      <c r="AP53" s="50">
        <f t="shared" si="20"/>
        <v>0</v>
      </c>
      <c r="AQ53" s="50">
        <f t="shared" si="20"/>
        <v>0</v>
      </c>
      <c r="AR53" s="50">
        <f t="shared" si="20"/>
        <v>0</v>
      </c>
      <c r="AS53" s="50">
        <f>IF(AND(AS28*366&lt;=SUM(AS17:AS25),AS29&gt;0),13,IF(AND(AS28*366&gt;SUM(AS17:AS25),AS29&gt;0,SUM(AS17:AS25)&gt;=0.5*AS28*366),13,IF(AND(AS28*366&gt;SUM(AS17:AS25),AS29&gt;0,SUM(AS17:AS25)&lt;0.5*AS28*366),13*1.2,IF(AS29=0,0))))</f>
        <v>0</v>
      </c>
      <c r="AT53" s="50">
        <f t="shared" si="20"/>
        <v>0</v>
      </c>
      <c r="AU53" s="50">
        <f t="shared" si="20"/>
        <v>0</v>
      </c>
      <c r="AV53" s="50">
        <f t="shared" si="20"/>
        <v>0</v>
      </c>
      <c r="AW53" s="50">
        <f>IF(AND(AW28*366&lt;=SUM(AW17:AW25),AW29&gt;0),13,IF(AND(AW28*366&gt;SUM(AW17:AW25),AW29&gt;0,SUM(AW17:AW25)&gt;=0.5*AW28*366),13,IF(AND(AW28*366&gt;SUM(AW17:AW25),AW29&gt;0,SUM(AW17:AW25)&lt;0.5*AW28*366),13*1.2,IF(AW29=0,0))))</f>
        <v>0</v>
      </c>
      <c r="AX53" s="13"/>
    </row>
    <row r="54" spans="2:50" x14ac:dyDescent="0.25">
      <c r="B54" t="s">
        <v>133</v>
      </c>
      <c r="C54" t="s">
        <v>93</v>
      </c>
      <c r="H54" s="6"/>
      <c r="I54" s="6">
        <v>64805000</v>
      </c>
      <c r="J54" s="6">
        <v>21607000</v>
      </c>
      <c r="K54" s="15">
        <f>SUM(L54:AW54)</f>
        <v>1369974954.5</v>
      </c>
      <c r="L54" s="16">
        <f>L29*L53</f>
        <v>23800000</v>
      </c>
      <c r="M54" s="16">
        <f t="shared" ref="M54:AW54" si="21">M29*M53</f>
        <v>23800000</v>
      </c>
      <c r="N54" s="16">
        <f t="shared" si="21"/>
        <v>21811552.5</v>
      </c>
      <c r="O54" s="16">
        <f t="shared" si="21"/>
        <v>21840840</v>
      </c>
      <c r="P54" s="16">
        <f t="shared" si="21"/>
        <v>61969050</v>
      </c>
      <c r="Q54" s="16">
        <f t="shared" si="21"/>
        <v>82475172</v>
      </c>
      <c r="R54" s="16">
        <f t="shared" si="21"/>
        <v>82249830</v>
      </c>
      <c r="S54" s="16">
        <f t="shared" si="21"/>
        <v>82249830</v>
      </c>
      <c r="T54" s="16">
        <f t="shared" si="21"/>
        <v>82249830</v>
      </c>
      <c r="U54" s="16">
        <f t="shared" si="21"/>
        <v>82475172</v>
      </c>
      <c r="V54" s="16">
        <f t="shared" si="21"/>
        <v>82249830</v>
      </c>
      <c r="W54" s="16">
        <f t="shared" si="21"/>
        <v>82249830</v>
      </c>
      <c r="X54" s="16">
        <f t="shared" si="21"/>
        <v>82249830</v>
      </c>
      <c r="Y54" s="16">
        <f t="shared" si="21"/>
        <v>82475172</v>
      </c>
      <c r="Z54" s="16">
        <f t="shared" si="21"/>
        <v>82249830</v>
      </c>
      <c r="AA54" s="16">
        <f t="shared" si="21"/>
        <v>82249830</v>
      </c>
      <c r="AB54" s="16">
        <f t="shared" si="21"/>
        <v>82249830</v>
      </c>
      <c r="AC54" s="16">
        <f t="shared" si="21"/>
        <v>82475172</v>
      </c>
      <c r="AD54" s="16">
        <f t="shared" si="21"/>
        <v>82249830</v>
      </c>
      <c r="AE54" s="16">
        <f t="shared" si="21"/>
        <v>64354524</v>
      </c>
      <c r="AF54" s="16">
        <f t="shared" si="21"/>
        <v>0</v>
      </c>
      <c r="AG54" s="16">
        <f t="shared" si="21"/>
        <v>0</v>
      </c>
      <c r="AH54" s="16">
        <f t="shared" si="21"/>
        <v>0</v>
      </c>
      <c r="AI54" s="16">
        <f t="shared" si="21"/>
        <v>0</v>
      </c>
      <c r="AJ54" s="16">
        <f t="shared" si="21"/>
        <v>0</v>
      </c>
      <c r="AK54" s="16">
        <f t="shared" si="21"/>
        <v>0</v>
      </c>
      <c r="AL54" s="16">
        <f t="shared" si="21"/>
        <v>0</v>
      </c>
      <c r="AM54" s="16">
        <f t="shared" si="21"/>
        <v>0</v>
      </c>
      <c r="AN54" s="16">
        <f t="shared" si="21"/>
        <v>0</v>
      </c>
      <c r="AO54" s="16">
        <f t="shared" si="21"/>
        <v>0</v>
      </c>
      <c r="AP54" s="16">
        <f t="shared" si="21"/>
        <v>0</v>
      </c>
      <c r="AQ54" s="16">
        <f t="shared" si="21"/>
        <v>0</v>
      </c>
      <c r="AR54" s="16">
        <f t="shared" si="21"/>
        <v>0</v>
      </c>
      <c r="AS54" s="16">
        <f t="shared" si="21"/>
        <v>0</v>
      </c>
      <c r="AT54" s="16">
        <f t="shared" si="21"/>
        <v>0</v>
      </c>
      <c r="AU54" s="16">
        <f t="shared" si="21"/>
        <v>0</v>
      </c>
      <c r="AV54" s="16">
        <f t="shared" si="21"/>
        <v>0</v>
      </c>
      <c r="AW54" s="16">
        <f t="shared" si="21"/>
        <v>0</v>
      </c>
      <c r="AX54" s="13"/>
    </row>
    <row r="55" spans="2:50" x14ac:dyDescent="0.25">
      <c r="B55" t="s">
        <v>203</v>
      </c>
      <c r="C55" t="s">
        <v>43</v>
      </c>
      <c r="I55" s="6">
        <f>I54/I45</f>
        <v>622.53536682449555</v>
      </c>
      <c r="J55" s="6">
        <f>J54/J45</f>
        <v>719.03591802547282</v>
      </c>
      <c r="K55" s="15">
        <f>AVERAGE(L55:AW55)</f>
        <v>956.45797314119443</v>
      </c>
      <c r="L55" s="16">
        <f>IFERROR(L54/L45,"")</f>
        <v>717.2026432048167</v>
      </c>
      <c r="M55" s="16">
        <f t="shared" ref="M55:AW55" si="22">IFERROR(M54/M45,"")</f>
        <v>717.2026432048167</v>
      </c>
      <c r="N55" s="16">
        <f t="shared" si="22"/>
        <v>742.81702331927443</v>
      </c>
      <c r="O55" s="16">
        <f t="shared" si="22"/>
        <v>846.36771806673744</v>
      </c>
      <c r="P55" s="16">
        <f t="shared" si="22"/>
        <v>785.91288106197055</v>
      </c>
      <c r="Q55" s="16">
        <f t="shared" si="22"/>
        <v>785.91288106197032</v>
      </c>
      <c r="R55" s="16">
        <f t="shared" si="22"/>
        <v>785.91288106197044</v>
      </c>
      <c r="S55" s="16">
        <f t="shared" si="22"/>
        <v>956.8737219438633</v>
      </c>
      <c r="T55" s="16">
        <f t="shared" si="22"/>
        <v>978.68396509603861</v>
      </c>
      <c r="U55" s="16">
        <f t="shared" si="22"/>
        <v>978.68396509603872</v>
      </c>
      <c r="V55" s="16">
        <f t="shared" si="22"/>
        <v>978.68396509603861</v>
      </c>
      <c r="W55" s="16">
        <f t="shared" si="22"/>
        <v>978.68396509603861</v>
      </c>
      <c r="X55" s="16">
        <f t="shared" si="22"/>
        <v>978.68396509603861</v>
      </c>
      <c r="Y55" s="16">
        <f t="shared" si="22"/>
        <v>978.68396509603872</v>
      </c>
      <c r="Z55" s="16">
        <f t="shared" si="22"/>
        <v>978.68396509603861</v>
      </c>
      <c r="AA55" s="16">
        <f t="shared" si="22"/>
        <v>978.68396509603861</v>
      </c>
      <c r="AB55" s="16">
        <f t="shared" si="22"/>
        <v>978.68396509603861</v>
      </c>
      <c r="AC55" s="16">
        <f t="shared" si="22"/>
        <v>1252.788218239908</v>
      </c>
      <c r="AD55" s="16">
        <f t="shared" si="22"/>
        <v>1365.0065828971067</v>
      </c>
      <c r="AE55" s="16">
        <f t="shared" si="22"/>
        <v>1365.0065828971067</v>
      </c>
      <c r="AF55" s="16" t="str">
        <f t="shared" si="22"/>
        <v/>
      </c>
      <c r="AG55" s="16" t="str">
        <f t="shared" si="22"/>
        <v/>
      </c>
      <c r="AH55" s="16" t="str">
        <f t="shared" si="22"/>
        <v/>
      </c>
      <c r="AI55" s="16" t="str">
        <f t="shared" si="22"/>
        <v/>
      </c>
      <c r="AJ55" s="16" t="str">
        <f t="shared" si="22"/>
        <v/>
      </c>
      <c r="AK55" s="16" t="str">
        <f t="shared" si="22"/>
        <v/>
      </c>
      <c r="AL55" s="16" t="str">
        <f t="shared" si="22"/>
        <v/>
      </c>
      <c r="AM55" s="16" t="str">
        <f t="shared" si="22"/>
        <v/>
      </c>
      <c r="AN55" s="16" t="str">
        <f t="shared" si="22"/>
        <v/>
      </c>
      <c r="AO55" s="16" t="str">
        <f t="shared" si="22"/>
        <v/>
      </c>
      <c r="AP55" s="16" t="str">
        <f t="shared" si="22"/>
        <v/>
      </c>
      <c r="AQ55" s="16" t="str">
        <f t="shared" si="22"/>
        <v/>
      </c>
      <c r="AR55" s="16" t="str">
        <f t="shared" si="22"/>
        <v/>
      </c>
      <c r="AS55" s="16" t="str">
        <f t="shared" si="22"/>
        <v/>
      </c>
      <c r="AT55" s="16" t="str">
        <f t="shared" si="22"/>
        <v/>
      </c>
      <c r="AU55" s="16" t="str">
        <f t="shared" si="22"/>
        <v/>
      </c>
      <c r="AV55" s="16" t="str">
        <f t="shared" si="22"/>
        <v/>
      </c>
      <c r="AW55" s="16" t="str">
        <f t="shared" si="22"/>
        <v/>
      </c>
      <c r="AX55" s="13"/>
    </row>
    <row r="56" spans="2:50" x14ac:dyDescent="0.25">
      <c r="K56" s="46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2:50" x14ac:dyDescent="0.25">
      <c r="B57" t="s">
        <v>143</v>
      </c>
      <c r="C57" t="s">
        <v>93</v>
      </c>
      <c r="I57" s="6">
        <v>5643000</v>
      </c>
      <c r="J57" s="6">
        <v>1905000</v>
      </c>
      <c r="K57" s="15">
        <f>SUM(L57:AW57)</f>
        <v>127635000</v>
      </c>
      <c r="L57" s="16">
        <f>$J$57</f>
        <v>1905000</v>
      </c>
      <c r="M57" s="16">
        <f t="shared" ref="M57:O57" si="23">$J$57</f>
        <v>1905000</v>
      </c>
      <c r="N57" s="16">
        <f t="shared" si="23"/>
        <v>1905000</v>
      </c>
      <c r="O57" s="16">
        <f t="shared" si="23"/>
        <v>1905000</v>
      </c>
      <c r="P57" s="16">
        <f>IF(P29&gt;0,$J$57*3,0)</f>
        <v>5715000</v>
      </c>
      <c r="Q57" s="16">
        <f>IF(Q29&gt;0,$J$57*4,0)</f>
        <v>7620000</v>
      </c>
      <c r="R57" s="16">
        <f t="shared" ref="R57:AW57" si="24">IF(R29&gt;0,$J$57*4,0)</f>
        <v>7620000</v>
      </c>
      <c r="S57" s="16">
        <f t="shared" si="24"/>
        <v>7620000</v>
      </c>
      <c r="T57" s="16">
        <f t="shared" si="24"/>
        <v>7620000</v>
      </c>
      <c r="U57" s="16">
        <f t="shared" si="24"/>
        <v>7620000</v>
      </c>
      <c r="V57" s="16">
        <f t="shared" si="24"/>
        <v>7620000</v>
      </c>
      <c r="W57" s="16">
        <f t="shared" si="24"/>
        <v>7620000</v>
      </c>
      <c r="X57" s="16">
        <f t="shared" si="24"/>
        <v>7620000</v>
      </c>
      <c r="Y57" s="16">
        <f t="shared" si="24"/>
        <v>7620000</v>
      </c>
      <c r="Z57" s="16">
        <f t="shared" si="24"/>
        <v>7620000</v>
      </c>
      <c r="AA57" s="16">
        <f t="shared" si="24"/>
        <v>7620000</v>
      </c>
      <c r="AB57" s="16">
        <f t="shared" si="24"/>
        <v>7620000</v>
      </c>
      <c r="AC57" s="16">
        <f t="shared" si="24"/>
        <v>7620000</v>
      </c>
      <c r="AD57" s="16">
        <f t="shared" si="24"/>
        <v>7620000</v>
      </c>
      <c r="AE57" s="16">
        <f t="shared" si="24"/>
        <v>7620000</v>
      </c>
      <c r="AF57" s="16">
        <f t="shared" si="24"/>
        <v>0</v>
      </c>
      <c r="AG57" s="16">
        <f t="shared" si="24"/>
        <v>0</v>
      </c>
      <c r="AH57" s="16">
        <f t="shared" si="24"/>
        <v>0</v>
      </c>
      <c r="AI57" s="16">
        <f t="shared" si="24"/>
        <v>0</v>
      </c>
      <c r="AJ57" s="16">
        <f t="shared" si="24"/>
        <v>0</v>
      </c>
      <c r="AK57" s="16">
        <f t="shared" si="24"/>
        <v>0</v>
      </c>
      <c r="AL57" s="16">
        <f t="shared" si="24"/>
        <v>0</v>
      </c>
      <c r="AM57" s="16">
        <f t="shared" si="24"/>
        <v>0</v>
      </c>
      <c r="AN57" s="16">
        <f t="shared" si="24"/>
        <v>0</v>
      </c>
      <c r="AO57" s="16">
        <f t="shared" si="24"/>
        <v>0</v>
      </c>
      <c r="AP57" s="16">
        <f t="shared" si="24"/>
        <v>0</v>
      </c>
      <c r="AQ57" s="16">
        <f t="shared" si="24"/>
        <v>0</v>
      </c>
      <c r="AR57" s="16">
        <f t="shared" si="24"/>
        <v>0</v>
      </c>
      <c r="AS57" s="16">
        <f t="shared" si="24"/>
        <v>0</v>
      </c>
      <c r="AT57" s="16">
        <f t="shared" si="24"/>
        <v>0</v>
      </c>
      <c r="AU57" s="16">
        <f t="shared" si="24"/>
        <v>0</v>
      </c>
      <c r="AV57" s="16">
        <f t="shared" si="24"/>
        <v>0</v>
      </c>
      <c r="AW57" s="16">
        <f t="shared" si="24"/>
        <v>0</v>
      </c>
      <c r="AX57" s="13"/>
    </row>
    <row r="58" spans="2:50" x14ac:dyDescent="0.25">
      <c r="B58" s="8" t="s">
        <v>139</v>
      </c>
      <c r="C58" t="s">
        <v>93</v>
      </c>
      <c r="I58" s="6">
        <v>19154000</v>
      </c>
      <c r="J58" s="6">
        <v>12009000</v>
      </c>
      <c r="K58" s="15">
        <f t="shared" ref="K58:K59" si="25">SUM(L58:AW58)</f>
        <v>202300000</v>
      </c>
      <c r="L58" s="16">
        <v>8000000</v>
      </c>
      <c r="M58" s="16">
        <v>8000000</v>
      </c>
      <c r="N58" s="16">
        <v>8000000</v>
      </c>
      <c r="O58" s="16">
        <v>8000000</v>
      </c>
      <c r="P58" s="16">
        <f>1.3*P72</f>
        <v>15600000</v>
      </c>
      <c r="Q58" s="16">
        <f t="shared" ref="Q58:AW58" si="26">1.3*Q72</f>
        <v>18200000</v>
      </c>
      <c r="R58" s="16">
        <f t="shared" si="26"/>
        <v>13000000</v>
      </c>
      <c r="S58" s="16">
        <f t="shared" si="26"/>
        <v>11700000</v>
      </c>
      <c r="T58" s="16">
        <f t="shared" si="26"/>
        <v>11700000</v>
      </c>
      <c r="U58" s="16">
        <f t="shared" si="26"/>
        <v>11700000</v>
      </c>
      <c r="V58" s="16">
        <f t="shared" si="26"/>
        <v>11700000</v>
      </c>
      <c r="W58" s="16">
        <f t="shared" si="26"/>
        <v>11700000</v>
      </c>
      <c r="X58" s="16">
        <f t="shared" si="26"/>
        <v>11700000</v>
      </c>
      <c r="Y58" s="16">
        <f t="shared" si="26"/>
        <v>11700000</v>
      </c>
      <c r="Z58" s="16">
        <f t="shared" si="26"/>
        <v>10400000</v>
      </c>
      <c r="AA58" s="16">
        <f t="shared" si="26"/>
        <v>9100000</v>
      </c>
      <c r="AB58" s="16">
        <f t="shared" si="26"/>
        <v>7800000</v>
      </c>
      <c r="AC58" s="16">
        <f t="shared" si="26"/>
        <v>6500000</v>
      </c>
      <c r="AD58" s="16">
        <f t="shared" si="26"/>
        <v>5200000</v>
      </c>
      <c r="AE58" s="16">
        <f t="shared" si="26"/>
        <v>2600000</v>
      </c>
      <c r="AF58" s="16">
        <f t="shared" si="26"/>
        <v>0</v>
      </c>
      <c r="AG58" s="16">
        <f t="shared" si="26"/>
        <v>0</v>
      </c>
      <c r="AH58" s="16">
        <f t="shared" si="26"/>
        <v>0</v>
      </c>
      <c r="AI58" s="16">
        <f t="shared" si="26"/>
        <v>0</v>
      </c>
      <c r="AJ58" s="16">
        <f t="shared" si="26"/>
        <v>0</v>
      </c>
      <c r="AK58" s="16">
        <f t="shared" si="26"/>
        <v>0</v>
      </c>
      <c r="AL58" s="16">
        <f t="shared" si="26"/>
        <v>0</v>
      </c>
      <c r="AM58" s="16">
        <f t="shared" si="26"/>
        <v>0</v>
      </c>
      <c r="AN58" s="16">
        <f t="shared" si="26"/>
        <v>0</v>
      </c>
      <c r="AO58" s="16">
        <f t="shared" si="26"/>
        <v>0</v>
      </c>
      <c r="AP58" s="16">
        <f t="shared" si="26"/>
        <v>0</v>
      </c>
      <c r="AQ58" s="16">
        <f t="shared" si="26"/>
        <v>0</v>
      </c>
      <c r="AR58" s="16">
        <f t="shared" si="26"/>
        <v>0</v>
      </c>
      <c r="AS58" s="16">
        <f t="shared" si="26"/>
        <v>0</v>
      </c>
      <c r="AT58" s="16">
        <f t="shared" si="26"/>
        <v>0</v>
      </c>
      <c r="AU58" s="16">
        <f t="shared" si="26"/>
        <v>0</v>
      </c>
      <c r="AV58" s="16">
        <f t="shared" si="26"/>
        <v>0</v>
      </c>
      <c r="AW58" s="16">
        <f t="shared" si="26"/>
        <v>0</v>
      </c>
      <c r="AX58" s="13"/>
    </row>
    <row r="59" spans="2:50" x14ac:dyDescent="0.25">
      <c r="B59" t="s">
        <v>145</v>
      </c>
      <c r="C59" t="s">
        <v>93</v>
      </c>
      <c r="I59" s="6">
        <f>I54+SUM(I57:I58)</f>
        <v>89602000</v>
      </c>
      <c r="J59" s="6">
        <f>J54+SUM(J57:J58)</f>
        <v>35521000</v>
      </c>
      <c r="K59" s="15">
        <f t="shared" si="25"/>
        <v>1699909954.5</v>
      </c>
      <c r="L59" s="16">
        <f>L54+SUM(L57:L58)</f>
        <v>33705000</v>
      </c>
      <c r="M59" s="16">
        <f t="shared" ref="M59:AW59" si="27">M54+SUM(M57:M58)</f>
        <v>33705000</v>
      </c>
      <c r="N59" s="16">
        <f t="shared" si="27"/>
        <v>31716552.5</v>
      </c>
      <c r="O59" s="16">
        <f t="shared" si="27"/>
        <v>31745840</v>
      </c>
      <c r="P59" s="16">
        <f t="shared" si="27"/>
        <v>83284050</v>
      </c>
      <c r="Q59" s="16">
        <f t="shared" si="27"/>
        <v>108295172</v>
      </c>
      <c r="R59" s="16">
        <f t="shared" si="27"/>
        <v>102869830</v>
      </c>
      <c r="S59" s="16">
        <f t="shared" si="27"/>
        <v>101569830</v>
      </c>
      <c r="T59" s="16">
        <f t="shared" si="27"/>
        <v>101569830</v>
      </c>
      <c r="U59" s="16">
        <f t="shared" si="27"/>
        <v>101795172</v>
      </c>
      <c r="V59" s="16">
        <f t="shared" si="27"/>
        <v>101569830</v>
      </c>
      <c r="W59" s="16">
        <f t="shared" si="27"/>
        <v>101569830</v>
      </c>
      <c r="X59" s="16">
        <f t="shared" si="27"/>
        <v>101569830</v>
      </c>
      <c r="Y59" s="16">
        <f t="shared" si="27"/>
        <v>101795172</v>
      </c>
      <c r="Z59" s="16">
        <f t="shared" si="27"/>
        <v>100269830</v>
      </c>
      <c r="AA59" s="16">
        <f t="shared" si="27"/>
        <v>98969830</v>
      </c>
      <c r="AB59" s="16">
        <f t="shared" si="27"/>
        <v>97669830</v>
      </c>
      <c r="AC59" s="16">
        <f t="shared" si="27"/>
        <v>96595172</v>
      </c>
      <c r="AD59" s="16">
        <f t="shared" si="27"/>
        <v>95069830</v>
      </c>
      <c r="AE59" s="16">
        <f t="shared" si="27"/>
        <v>74574524</v>
      </c>
      <c r="AF59" s="16">
        <f t="shared" si="27"/>
        <v>0</v>
      </c>
      <c r="AG59" s="16">
        <f t="shared" si="27"/>
        <v>0</v>
      </c>
      <c r="AH59" s="16">
        <f t="shared" si="27"/>
        <v>0</v>
      </c>
      <c r="AI59" s="16">
        <f t="shared" si="27"/>
        <v>0</v>
      </c>
      <c r="AJ59" s="16">
        <f t="shared" si="27"/>
        <v>0</v>
      </c>
      <c r="AK59" s="16">
        <f t="shared" si="27"/>
        <v>0</v>
      </c>
      <c r="AL59" s="16">
        <f t="shared" si="27"/>
        <v>0</v>
      </c>
      <c r="AM59" s="16">
        <f t="shared" si="27"/>
        <v>0</v>
      </c>
      <c r="AN59" s="16">
        <f t="shared" si="27"/>
        <v>0</v>
      </c>
      <c r="AO59" s="16">
        <f t="shared" si="27"/>
        <v>0</v>
      </c>
      <c r="AP59" s="16">
        <f t="shared" si="27"/>
        <v>0</v>
      </c>
      <c r="AQ59" s="16">
        <f t="shared" si="27"/>
        <v>0</v>
      </c>
      <c r="AR59" s="16">
        <f t="shared" si="27"/>
        <v>0</v>
      </c>
      <c r="AS59" s="16">
        <f t="shared" si="27"/>
        <v>0</v>
      </c>
      <c r="AT59" s="16">
        <f t="shared" si="27"/>
        <v>0</v>
      </c>
      <c r="AU59" s="16">
        <f t="shared" si="27"/>
        <v>0</v>
      </c>
      <c r="AV59" s="16">
        <f t="shared" si="27"/>
        <v>0</v>
      </c>
      <c r="AW59" s="16">
        <f t="shared" si="27"/>
        <v>0</v>
      </c>
      <c r="AX59" s="13"/>
    </row>
    <row r="60" spans="2:50" x14ac:dyDescent="0.25">
      <c r="K60" s="46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spans="2:50" ht="15.75" thickBot="1" x14ac:dyDescent="0.3">
      <c r="B61" s="14" t="s">
        <v>146</v>
      </c>
      <c r="K61" s="46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spans="2:50" x14ac:dyDescent="0.25">
      <c r="B62" t="s">
        <v>204</v>
      </c>
      <c r="C62" t="s">
        <v>93</v>
      </c>
      <c r="K62" s="15">
        <f>SUM(L62:AW62)</f>
        <v>46030230.294236347</v>
      </c>
      <c r="L62" s="16">
        <f>3%*(L48-70.8%*L54)</f>
        <v>1356137.5807011453</v>
      </c>
      <c r="M62" s="16">
        <f t="shared" ref="M62:AW62" si="28">3%*(M48-70.8%*M54)</f>
        <v>1336226.889998459</v>
      </c>
      <c r="N62" s="16">
        <f t="shared" si="28"/>
        <v>1122340.3450444569</v>
      </c>
      <c r="O62" s="16">
        <f t="shared" si="28"/>
        <v>890882.97214700619</v>
      </c>
      <c r="P62" s="16">
        <f t="shared" si="28"/>
        <v>2823390.3088936293</v>
      </c>
      <c r="Q62" s="16">
        <f t="shared" si="28"/>
        <v>3757675.8292911584</v>
      </c>
      <c r="R62" s="16">
        <f t="shared" si="28"/>
        <v>3747408.9554406358</v>
      </c>
      <c r="S62" s="16">
        <f t="shared" si="28"/>
        <v>2765747.0843746145</v>
      </c>
      <c r="T62" s="16">
        <f t="shared" si="28"/>
        <v>2665179.5693750554</v>
      </c>
      <c r="U62" s="16">
        <f t="shared" si="28"/>
        <v>2672481.4312089602</v>
      </c>
      <c r="V62" s="16">
        <f t="shared" si="28"/>
        <v>2665179.5693750554</v>
      </c>
      <c r="W62" s="16">
        <f t="shared" si="28"/>
        <v>2665179.5693750554</v>
      </c>
      <c r="X62" s="16">
        <f t="shared" si="28"/>
        <v>2665179.5693750554</v>
      </c>
      <c r="Y62" s="16">
        <f t="shared" si="28"/>
        <v>2672481.4312089602</v>
      </c>
      <c r="Z62" s="16">
        <f t="shared" si="28"/>
        <v>2665179.5693750554</v>
      </c>
      <c r="AA62" s="16">
        <f t="shared" si="28"/>
        <v>2665179.5693750554</v>
      </c>
      <c r="AB62" s="16">
        <f t="shared" si="28"/>
        <v>2665179.5693750554</v>
      </c>
      <c r="AC62" s="16">
        <f t="shared" si="28"/>
        <v>1704475.1521817357</v>
      </c>
      <c r="AD62" s="16">
        <f t="shared" si="28"/>
        <v>1416453.354684002</v>
      </c>
      <c r="AE62" s="16">
        <f t="shared" si="28"/>
        <v>1108271.9734362022</v>
      </c>
      <c r="AF62" s="16">
        <f t="shared" si="28"/>
        <v>0</v>
      </c>
      <c r="AG62" s="16">
        <f t="shared" si="28"/>
        <v>0</v>
      </c>
      <c r="AH62" s="16">
        <f t="shared" si="28"/>
        <v>0</v>
      </c>
      <c r="AI62" s="16">
        <f t="shared" si="28"/>
        <v>0</v>
      </c>
      <c r="AJ62" s="16">
        <f t="shared" si="28"/>
        <v>0</v>
      </c>
      <c r="AK62" s="16">
        <f t="shared" si="28"/>
        <v>0</v>
      </c>
      <c r="AL62" s="16">
        <f t="shared" si="28"/>
        <v>0</v>
      </c>
      <c r="AM62" s="16">
        <f t="shared" si="28"/>
        <v>0</v>
      </c>
      <c r="AN62" s="16">
        <f t="shared" si="28"/>
        <v>0</v>
      </c>
      <c r="AO62" s="16">
        <f t="shared" si="28"/>
        <v>0</v>
      </c>
      <c r="AP62" s="16">
        <f t="shared" si="28"/>
        <v>0</v>
      </c>
      <c r="AQ62" s="16">
        <f t="shared" si="28"/>
        <v>0</v>
      </c>
      <c r="AR62" s="16">
        <f t="shared" si="28"/>
        <v>0</v>
      </c>
      <c r="AS62" s="16">
        <f t="shared" si="28"/>
        <v>0</v>
      </c>
      <c r="AT62" s="16">
        <f t="shared" si="28"/>
        <v>0</v>
      </c>
      <c r="AU62" s="16">
        <f t="shared" si="28"/>
        <v>0</v>
      </c>
      <c r="AV62" s="16">
        <f t="shared" si="28"/>
        <v>0</v>
      </c>
      <c r="AW62" s="16">
        <f t="shared" si="28"/>
        <v>0</v>
      </c>
      <c r="AX62" s="13"/>
    </row>
    <row r="63" spans="2:50" x14ac:dyDescent="0.25">
      <c r="B63" t="s">
        <v>205</v>
      </c>
      <c r="C63" t="s">
        <v>93</v>
      </c>
      <c r="I63" s="6">
        <v>13410000</v>
      </c>
      <c r="J63" s="6">
        <v>4008000</v>
      </c>
      <c r="K63" s="15">
        <f>SUM(L63:AW63)</f>
        <v>200342662.20751029</v>
      </c>
      <c r="L63" s="16">
        <f t="shared" ref="L63:AW63" si="29">8%*L48</f>
        <v>4964398.8818697212</v>
      </c>
      <c r="M63" s="16">
        <f t="shared" si="29"/>
        <v>4911303.706662558</v>
      </c>
      <c r="N63" s="16">
        <f t="shared" si="29"/>
        <v>4228313.9203852192</v>
      </c>
      <c r="O63" s="16">
        <f t="shared" si="29"/>
        <v>3612753.1033253497</v>
      </c>
      <c r="P63" s="16">
        <f t="shared" si="29"/>
        <v>11038967.815716345</v>
      </c>
      <c r="Q63" s="16">
        <f t="shared" si="29"/>
        <v>14691862.620189756</v>
      </c>
      <c r="R63" s="16">
        <f t="shared" si="29"/>
        <v>14651720.919041695</v>
      </c>
      <c r="S63" s="16">
        <f t="shared" si="29"/>
        <v>12033955.929532306</v>
      </c>
      <c r="T63" s="16">
        <f t="shared" si="29"/>
        <v>11765775.889533482</v>
      </c>
      <c r="U63" s="16">
        <f t="shared" si="29"/>
        <v>11798010.89197056</v>
      </c>
      <c r="V63" s="16">
        <f t="shared" si="29"/>
        <v>11765775.889533482</v>
      </c>
      <c r="W63" s="16">
        <f t="shared" si="29"/>
        <v>11765775.889533482</v>
      </c>
      <c r="X63" s="16">
        <f t="shared" si="29"/>
        <v>11765775.889533482</v>
      </c>
      <c r="Y63" s="16">
        <f t="shared" si="29"/>
        <v>11798010.89197056</v>
      </c>
      <c r="Z63" s="16">
        <f t="shared" si="29"/>
        <v>11765775.889533482</v>
      </c>
      <c r="AA63" s="16">
        <f t="shared" si="29"/>
        <v>11765775.889533482</v>
      </c>
      <c r="AB63" s="16">
        <f t="shared" si="29"/>
        <v>11765775.889533482</v>
      </c>
      <c r="AC63" s="16">
        <f t="shared" si="29"/>
        <v>9216660.8145646285</v>
      </c>
      <c r="AD63" s="16">
        <f t="shared" si="29"/>
        <v>8435839.3170240056</v>
      </c>
      <c r="AE63" s="16">
        <f t="shared" si="29"/>
        <v>6600432.1685232054</v>
      </c>
      <c r="AF63" s="16">
        <f t="shared" si="29"/>
        <v>0</v>
      </c>
      <c r="AG63" s="16">
        <f t="shared" si="29"/>
        <v>0</v>
      </c>
      <c r="AH63" s="16">
        <f t="shared" si="29"/>
        <v>0</v>
      </c>
      <c r="AI63" s="16">
        <f t="shared" si="29"/>
        <v>0</v>
      </c>
      <c r="AJ63" s="16">
        <f t="shared" si="29"/>
        <v>0</v>
      </c>
      <c r="AK63" s="16">
        <f t="shared" si="29"/>
        <v>0</v>
      </c>
      <c r="AL63" s="16">
        <f t="shared" si="29"/>
        <v>0</v>
      </c>
      <c r="AM63" s="16">
        <f t="shared" si="29"/>
        <v>0</v>
      </c>
      <c r="AN63" s="16">
        <f t="shared" si="29"/>
        <v>0</v>
      </c>
      <c r="AO63" s="16">
        <f t="shared" si="29"/>
        <v>0</v>
      </c>
      <c r="AP63" s="16">
        <f t="shared" si="29"/>
        <v>0</v>
      </c>
      <c r="AQ63" s="16">
        <f t="shared" si="29"/>
        <v>0</v>
      </c>
      <c r="AR63" s="16">
        <f t="shared" si="29"/>
        <v>0</v>
      </c>
      <c r="AS63" s="16">
        <f t="shared" si="29"/>
        <v>0</v>
      </c>
      <c r="AT63" s="16">
        <f t="shared" si="29"/>
        <v>0</v>
      </c>
      <c r="AU63" s="16">
        <f t="shared" si="29"/>
        <v>0</v>
      </c>
      <c r="AV63" s="16">
        <f t="shared" si="29"/>
        <v>0</v>
      </c>
      <c r="AW63" s="16">
        <f t="shared" si="29"/>
        <v>0</v>
      </c>
      <c r="AX63" s="13"/>
    </row>
    <row r="64" spans="2:50" x14ac:dyDescent="0.25">
      <c r="I64" s="6"/>
      <c r="J64" s="6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3"/>
    </row>
    <row r="65" spans="2:50" ht="15.75" thickBot="1" x14ac:dyDescent="0.3">
      <c r="B65" s="14" t="s">
        <v>147</v>
      </c>
      <c r="K65" s="46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spans="2:50" x14ac:dyDescent="0.25">
      <c r="B66" t="s">
        <v>148</v>
      </c>
      <c r="C66" t="s">
        <v>93</v>
      </c>
      <c r="I66" s="6">
        <v>44276000</v>
      </c>
      <c r="J66" s="6">
        <v>15495000</v>
      </c>
      <c r="K66" s="15">
        <f>SUM(L66:AW66)</f>
        <v>558000430.59213173</v>
      </c>
      <c r="L66" s="16">
        <f>L48-L59-SUM(L62:L63)</f>
        <v>22029449.560800642</v>
      </c>
      <c r="M66" s="16">
        <f t="shared" ref="M66:AW66" si="30">M48-M59-SUM(M62:M63)</f>
        <v>21438765.736620955</v>
      </c>
      <c r="N66" s="16">
        <f t="shared" si="30"/>
        <v>15786717.23938556</v>
      </c>
      <c r="O66" s="16">
        <f t="shared" si="30"/>
        <v>8909937.7160945162</v>
      </c>
      <c r="P66" s="16">
        <f t="shared" si="30"/>
        <v>40840689.571844339</v>
      </c>
      <c r="Q66" s="16">
        <f t="shared" si="30"/>
        <v>56903572.302891023</v>
      </c>
      <c r="R66" s="16">
        <f t="shared" si="30"/>
        <v>61877551.613538861</v>
      </c>
      <c r="S66" s="16">
        <f t="shared" si="30"/>
        <v>34054916.105246909</v>
      </c>
      <c r="T66" s="16">
        <f t="shared" si="30"/>
        <v>31071413.160259984</v>
      </c>
      <c r="U66" s="16">
        <f t="shared" si="30"/>
        <v>31209471.826452486</v>
      </c>
      <c r="V66" s="16">
        <f t="shared" si="30"/>
        <v>31071413.160259984</v>
      </c>
      <c r="W66" s="16">
        <f t="shared" si="30"/>
        <v>31071413.160259984</v>
      </c>
      <c r="X66" s="16">
        <f t="shared" si="30"/>
        <v>31071413.160259984</v>
      </c>
      <c r="Y66" s="16">
        <f t="shared" si="30"/>
        <v>31209471.826452486</v>
      </c>
      <c r="Z66" s="16">
        <f t="shared" si="30"/>
        <v>32371413.160259984</v>
      </c>
      <c r="AA66" s="16">
        <f t="shared" si="30"/>
        <v>33671413.160259984</v>
      </c>
      <c r="AB66" s="16">
        <f t="shared" si="30"/>
        <v>34971413.160259984</v>
      </c>
      <c r="AC66" s="16">
        <f t="shared" si="30"/>
        <v>7691952.2153114937</v>
      </c>
      <c r="AD66" s="16">
        <f t="shared" si="30"/>
        <v>525868.79109206237</v>
      </c>
      <c r="AE66" s="16">
        <f t="shared" si="30"/>
        <v>222173.96458066162</v>
      </c>
      <c r="AF66" s="16">
        <f t="shared" si="30"/>
        <v>0</v>
      </c>
      <c r="AG66" s="16">
        <f t="shared" si="30"/>
        <v>0</v>
      </c>
      <c r="AH66" s="16">
        <f t="shared" si="30"/>
        <v>0</v>
      </c>
      <c r="AI66" s="16">
        <f t="shared" si="30"/>
        <v>0</v>
      </c>
      <c r="AJ66" s="16">
        <f t="shared" si="30"/>
        <v>0</v>
      </c>
      <c r="AK66" s="16">
        <f t="shared" si="30"/>
        <v>0</v>
      </c>
      <c r="AL66" s="16">
        <f t="shared" si="30"/>
        <v>0</v>
      </c>
      <c r="AM66" s="16">
        <f t="shared" si="30"/>
        <v>0</v>
      </c>
      <c r="AN66" s="16">
        <f t="shared" si="30"/>
        <v>0</v>
      </c>
      <c r="AO66" s="16">
        <f t="shared" si="30"/>
        <v>0</v>
      </c>
      <c r="AP66" s="16">
        <f t="shared" si="30"/>
        <v>0</v>
      </c>
      <c r="AQ66" s="16">
        <f t="shared" si="30"/>
        <v>0</v>
      </c>
      <c r="AR66" s="16">
        <f t="shared" si="30"/>
        <v>0</v>
      </c>
      <c r="AS66" s="16">
        <f t="shared" si="30"/>
        <v>0</v>
      </c>
      <c r="AT66" s="16">
        <f t="shared" si="30"/>
        <v>0</v>
      </c>
      <c r="AU66" s="16">
        <f t="shared" si="30"/>
        <v>0</v>
      </c>
      <c r="AV66" s="16">
        <f t="shared" si="30"/>
        <v>0</v>
      </c>
      <c r="AW66" s="16">
        <f t="shared" si="30"/>
        <v>0</v>
      </c>
      <c r="AX66" s="13"/>
    </row>
    <row r="67" spans="2:50" x14ac:dyDescent="0.25">
      <c r="B67" t="s">
        <v>149</v>
      </c>
      <c r="C67" t="s">
        <v>70</v>
      </c>
      <c r="I67" s="18">
        <f>(I66-I68)/I66</f>
        <v>7.3222513325503655E-2</v>
      </c>
      <c r="K67" s="27">
        <f>AVERAGE(L67:AW67)</f>
        <v>0.34999999999999981</v>
      </c>
      <c r="L67" s="34">
        <v>0.35</v>
      </c>
      <c r="M67" s="34">
        <f>L67</f>
        <v>0.35</v>
      </c>
      <c r="N67" s="34">
        <f t="shared" ref="N67:AW67" si="31">M67</f>
        <v>0.35</v>
      </c>
      <c r="O67" s="34">
        <f t="shared" si="31"/>
        <v>0.35</v>
      </c>
      <c r="P67" s="34">
        <f t="shared" si="31"/>
        <v>0.35</v>
      </c>
      <c r="Q67" s="34">
        <f t="shared" si="31"/>
        <v>0.35</v>
      </c>
      <c r="R67" s="34">
        <f t="shared" si="31"/>
        <v>0.35</v>
      </c>
      <c r="S67" s="34">
        <f t="shared" si="31"/>
        <v>0.35</v>
      </c>
      <c r="T67" s="34">
        <f t="shared" si="31"/>
        <v>0.35</v>
      </c>
      <c r="U67" s="34">
        <f t="shared" si="31"/>
        <v>0.35</v>
      </c>
      <c r="V67" s="34">
        <f t="shared" si="31"/>
        <v>0.35</v>
      </c>
      <c r="W67" s="34">
        <f t="shared" si="31"/>
        <v>0.35</v>
      </c>
      <c r="X67" s="34">
        <f t="shared" si="31"/>
        <v>0.35</v>
      </c>
      <c r="Y67" s="34">
        <f t="shared" si="31"/>
        <v>0.35</v>
      </c>
      <c r="Z67" s="34">
        <f t="shared" si="31"/>
        <v>0.35</v>
      </c>
      <c r="AA67" s="34">
        <f t="shared" si="31"/>
        <v>0.35</v>
      </c>
      <c r="AB67" s="34">
        <f t="shared" si="31"/>
        <v>0.35</v>
      </c>
      <c r="AC67" s="34">
        <f t="shared" si="31"/>
        <v>0.35</v>
      </c>
      <c r="AD67" s="34">
        <f t="shared" si="31"/>
        <v>0.35</v>
      </c>
      <c r="AE67" s="34">
        <f t="shared" si="31"/>
        <v>0.35</v>
      </c>
      <c r="AF67" s="34">
        <f t="shared" si="31"/>
        <v>0.35</v>
      </c>
      <c r="AG67" s="34">
        <f t="shared" si="31"/>
        <v>0.35</v>
      </c>
      <c r="AH67" s="34">
        <f t="shared" si="31"/>
        <v>0.35</v>
      </c>
      <c r="AI67" s="34">
        <f t="shared" si="31"/>
        <v>0.35</v>
      </c>
      <c r="AJ67" s="34">
        <f t="shared" si="31"/>
        <v>0.35</v>
      </c>
      <c r="AK67" s="34">
        <f t="shared" si="31"/>
        <v>0.35</v>
      </c>
      <c r="AL67" s="34">
        <f t="shared" si="31"/>
        <v>0.35</v>
      </c>
      <c r="AM67" s="34">
        <f t="shared" si="31"/>
        <v>0.35</v>
      </c>
      <c r="AN67" s="34">
        <f t="shared" si="31"/>
        <v>0.35</v>
      </c>
      <c r="AO67" s="34">
        <f t="shared" si="31"/>
        <v>0.35</v>
      </c>
      <c r="AP67" s="34">
        <f t="shared" si="31"/>
        <v>0.35</v>
      </c>
      <c r="AQ67" s="34">
        <f t="shared" si="31"/>
        <v>0.35</v>
      </c>
      <c r="AR67" s="34">
        <f t="shared" si="31"/>
        <v>0.35</v>
      </c>
      <c r="AS67" s="34">
        <f t="shared" si="31"/>
        <v>0.35</v>
      </c>
      <c r="AT67" s="34">
        <f t="shared" si="31"/>
        <v>0.35</v>
      </c>
      <c r="AU67" s="34">
        <f t="shared" si="31"/>
        <v>0.35</v>
      </c>
      <c r="AV67" s="34">
        <f t="shared" si="31"/>
        <v>0.35</v>
      </c>
      <c r="AW67" s="34">
        <f t="shared" si="31"/>
        <v>0.35</v>
      </c>
      <c r="AX67" s="13"/>
    </row>
    <row r="68" spans="2:50" x14ac:dyDescent="0.25">
      <c r="B68" t="s">
        <v>147</v>
      </c>
      <c r="C68" t="s">
        <v>93</v>
      </c>
      <c r="I68" s="6">
        <v>41034000</v>
      </c>
      <c r="J68" s="6">
        <v>15714000</v>
      </c>
      <c r="K68" s="15">
        <f>SUM(L68:AW68)</f>
        <v>362700279.88488579</v>
      </c>
      <c r="L68" s="16">
        <f>IF(L66&gt;=0,L66*(1-L67),L66)</f>
        <v>14319142.214520417</v>
      </c>
      <c r="M68" s="16">
        <f>IF(M66&gt;=0,M66*(1-M67),M66)</f>
        <v>13935197.728803622</v>
      </c>
      <c r="N68" s="16">
        <f t="shared" ref="N68:AW68" si="32">IF(N66&gt;=0,N66*(1-N67),N66)</f>
        <v>10261366.205600614</v>
      </c>
      <c r="O68" s="16">
        <f t="shared" si="32"/>
        <v>5791459.5154614355</v>
      </c>
      <c r="P68" s="16">
        <f t="shared" si="32"/>
        <v>26546448.221698821</v>
      </c>
      <c r="Q68" s="16">
        <f t="shared" si="32"/>
        <v>36987321.996879168</v>
      </c>
      <c r="R68" s="16">
        <f t="shared" si="32"/>
        <v>40220408.54880026</v>
      </c>
      <c r="S68" s="16">
        <f t="shared" si="32"/>
        <v>22135695.468410492</v>
      </c>
      <c r="T68" s="16">
        <f t="shared" si="32"/>
        <v>20196418.554168992</v>
      </c>
      <c r="U68" s="16">
        <f t="shared" si="32"/>
        <v>20286156.687194116</v>
      </c>
      <c r="V68" s="16">
        <f t="shared" si="32"/>
        <v>20196418.554168992</v>
      </c>
      <c r="W68" s="16">
        <f t="shared" si="32"/>
        <v>20196418.554168992</v>
      </c>
      <c r="X68" s="16">
        <f t="shared" si="32"/>
        <v>20196418.554168992</v>
      </c>
      <c r="Y68" s="16">
        <f t="shared" si="32"/>
        <v>20286156.687194116</v>
      </c>
      <c r="Z68" s="16">
        <f t="shared" si="32"/>
        <v>21041418.554168992</v>
      </c>
      <c r="AA68" s="16">
        <f t="shared" si="32"/>
        <v>21886418.554168992</v>
      </c>
      <c r="AB68" s="16">
        <f t="shared" si="32"/>
        <v>22731418.554168992</v>
      </c>
      <c r="AC68" s="16">
        <f t="shared" si="32"/>
        <v>4999768.9399524713</v>
      </c>
      <c r="AD68" s="16">
        <f t="shared" si="32"/>
        <v>341814.71420984057</v>
      </c>
      <c r="AE68" s="16">
        <f t="shared" si="32"/>
        <v>144413.07697743006</v>
      </c>
      <c r="AF68" s="16">
        <f t="shared" si="32"/>
        <v>0</v>
      </c>
      <c r="AG68" s="16">
        <f t="shared" si="32"/>
        <v>0</v>
      </c>
      <c r="AH68" s="16">
        <f t="shared" si="32"/>
        <v>0</v>
      </c>
      <c r="AI68" s="16">
        <f t="shared" si="32"/>
        <v>0</v>
      </c>
      <c r="AJ68" s="16">
        <f t="shared" si="32"/>
        <v>0</v>
      </c>
      <c r="AK68" s="16">
        <f t="shared" si="32"/>
        <v>0</v>
      </c>
      <c r="AL68" s="16">
        <f t="shared" si="32"/>
        <v>0</v>
      </c>
      <c r="AM68" s="16">
        <f t="shared" si="32"/>
        <v>0</v>
      </c>
      <c r="AN68" s="16">
        <f t="shared" si="32"/>
        <v>0</v>
      </c>
      <c r="AO68" s="16">
        <f t="shared" si="32"/>
        <v>0</v>
      </c>
      <c r="AP68" s="16">
        <f t="shared" si="32"/>
        <v>0</v>
      </c>
      <c r="AQ68" s="16">
        <f t="shared" si="32"/>
        <v>0</v>
      </c>
      <c r="AR68" s="16">
        <f t="shared" si="32"/>
        <v>0</v>
      </c>
      <c r="AS68" s="16">
        <f t="shared" si="32"/>
        <v>0</v>
      </c>
      <c r="AT68" s="16">
        <f t="shared" si="32"/>
        <v>0</v>
      </c>
      <c r="AU68" s="16">
        <f t="shared" si="32"/>
        <v>0</v>
      </c>
      <c r="AV68" s="16">
        <f t="shared" si="32"/>
        <v>0</v>
      </c>
      <c r="AW68" s="16">
        <f t="shared" si="32"/>
        <v>0</v>
      </c>
      <c r="AX68" s="13"/>
    </row>
    <row r="69" spans="2:50" x14ac:dyDescent="0.25">
      <c r="K69" s="46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spans="2:50" ht="15.75" thickBot="1" x14ac:dyDescent="0.3">
      <c r="B70" s="14" t="s">
        <v>156</v>
      </c>
      <c r="K70" s="46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spans="2:50" x14ac:dyDescent="0.25">
      <c r="B71" s="52" t="s">
        <v>207</v>
      </c>
      <c r="C71" t="s">
        <v>93</v>
      </c>
      <c r="E71" s="6">
        <v>11400000</v>
      </c>
      <c r="F71" s="6">
        <v>80000000</v>
      </c>
      <c r="G71" s="6">
        <v>46800000</v>
      </c>
      <c r="H71" s="6">
        <v>188300000</v>
      </c>
      <c r="K71" s="46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spans="2:50" x14ac:dyDescent="0.25">
      <c r="B72" t="s">
        <v>157</v>
      </c>
      <c r="C72" t="s">
        <v>93</v>
      </c>
      <c r="I72" s="6">
        <v>27522000</v>
      </c>
      <c r="J72" s="6">
        <v>3125000</v>
      </c>
      <c r="K72" s="15">
        <f>SUM(L72:AW72)</f>
        <v>156875000</v>
      </c>
      <c r="L72" s="16">
        <f>(25000000-$J$72)/3</f>
        <v>7291666.666666667</v>
      </c>
      <c r="M72" s="16">
        <f>(25000000-$J$72)/3</f>
        <v>7291666.666666667</v>
      </c>
      <c r="N72" s="16">
        <f>(25000000-$J$72)/3</f>
        <v>7291666.666666667</v>
      </c>
      <c r="O72" s="16">
        <f>16000000/4</f>
        <v>4000000</v>
      </c>
      <c r="P72" s="16">
        <f>IF(Auxiliary!B17&gt;=16,16000000*0.75,IF(Auxiliary!B17&gt;=15,14000000*0.75,IF(Auxiliary!B17&gt;=14,10000000*0.75,IF(AND(Auxiliary!B17&gt;6,Auxiliary!B17&lt;&gt;14),9000000*0.75,IF(Auxiliary!B17&gt;=6,8000000*0.75,IF(Auxiliary!B17&gt;=5,7000000*0.75,IF(Auxiliary!B17&gt;=4,6000000*0.75,IF(Auxiliary!B17&gt;=3,5000000*0.75,IF(Auxiliary!B17&gt;=2,4000000*0.75,IF(Auxiliary!B17&gt;=1,2000000*0.75,0))))))))))</f>
        <v>12000000</v>
      </c>
      <c r="Q72" s="16">
        <f>IF(Auxiliary!C17&gt;=16,16000000,IF(Auxiliary!C17&gt;=15,14000000,IF(Auxiliary!C17&gt;=14,10000000,IF(AND(Auxiliary!C17&gt;6,Auxiliary!C17&lt;&gt;14),9000000,IF(Auxiliary!C17&gt;=6,8000000,IF(Auxiliary!C17&gt;=5,7000000,IF(Auxiliary!C17&gt;=4,6000000,IF(Auxiliary!C17&gt;=3,5000000,IF(Auxiliary!C17&gt;=2,4000000,IF(Auxiliary!C17&gt;=1,2000000,0))))))))))</f>
        <v>14000000</v>
      </c>
      <c r="R72" s="16">
        <f>IF(Auxiliary!D17&gt;=16,16000000,IF(Auxiliary!D17&gt;=15,14000000,IF(Auxiliary!D17&gt;=14,10000000,IF(AND(Auxiliary!D17&gt;6,Auxiliary!D17&lt;&gt;14),9000000,IF(Auxiliary!D17&gt;=6,8000000,IF(Auxiliary!D17&gt;=5,7000000,IF(Auxiliary!D17&gt;=4,6000000,IF(Auxiliary!D17&gt;=3,5000000,IF(Auxiliary!D17&gt;=2,4000000,IF(Auxiliary!D17&gt;=1,2000000,0))))))))))</f>
        <v>10000000</v>
      </c>
      <c r="S72" s="16">
        <f>IF(Auxiliary!E17&gt;=16,16000000,IF(Auxiliary!E17&gt;=15,14000000,IF(Auxiliary!E17&gt;=14,10000000,IF(AND(Auxiliary!E17&gt;6,Auxiliary!E17&lt;&gt;14),9000000,IF(Auxiliary!E17&gt;=6,8000000,IF(Auxiliary!E17&gt;=5,7000000,IF(Auxiliary!E17&gt;=4,6000000,IF(Auxiliary!E17&gt;=3,5000000,IF(Auxiliary!E17&gt;=2,4000000,IF(Auxiliary!E17&gt;=1,2000000,0))))))))))</f>
        <v>9000000</v>
      </c>
      <c r="T72" s="16">
        <f>IF(Auxiliary!F17&gt;=16,16000000,IF(Auxiliary!F17&gt;=15,14000000,IF(Auxiliary!F17&gt;=14,10000000,IF(AND(Auxiliary!F17&gt;6,Auxiliary!F17&lt;&gt;14),9000000,IF(Auxiliary!F17&gt;=6,8000000,IF(Auxiliary!F17&gt;=5,7000000,IF(Auxiliary!F17&gt;=4,6000000,IF(Auxiliary!F17&gt;=3,5000000,IF(Auxiliary!F17&gt;=2,4000000,IF(Auxiliary!F17&gt;=1,2000000,0))))))))))</f>
        <v>9000000</v>
      </c>
      <c r="U72" s="16">
        <f>IF(Auxiliary!G17&gt;=16,16000000,IF(Auxiliary!G17&gt;=15,14000000,IF(Auxiliary!G17&gt;=14,10000000,IF(AND(Auxiliary!G17&gt;6,Auxiliary!G17&lt;&gt;14),9000000,IF(Auxiliary!G17&gt;=6,8000000,IF(Auxiliary!G17&gt;=5,7000000,IF(Auxiliary!G17&gt;=4,6000000,IF(Auxiliary!G17&gt;=3,5000000,IF(Auxiliary!G17&gt;=2,4000000,IF(Auxiliary!G17&gt;=1,2000000,0))))))))))</f>
        <v>9000000</v>
      </c>
      <c r="V72" s="16">
        <f>IF(Auxiliary!H17&gt;=16,16000000,IF(Auxiliary!H17&gt;=15,14000000,IF(Auxiliary!H17&gt;=14,10000000,IF(AND(Auxiliary!H17&gt;6,Auxiliary!H17&lt;&gt;14),9000000,IF(Auxiliary!H17&gt;=6,8000000,IF(Auxiliary!H17&gt;=5,7000000,IF(Auxiliary!H17&gt;=4,6000000,IF(Auxiliary!H17&gt;=3,5000000,IF(Auxiliary!H17&gt;=2,4000000,IF(Auxiliary!H17&gt;=1,2000000,0))))))))))</f>
        <v>9000000</v>
      </c>
      <c r="W72" s="16">
        <f>IF(Auxiliary!I17&gt;=16,16000000,IF(Auxiliary!I17&gt;=15,14000000,IF(Auxiliary!I17&gt;=14,10000000,IF(AND(Auxiliary!I17&gt;6,Auxiliary!I17&lt;&gt;14),9000000,IF(Auxiliary!I17&gt;=6,8000000,IF(Auxiliary!I17&gt;=5,7000000,IF(Auxiliary!I17&gt;=4,6000000,IF(Auxiliary!I17&gt;=3,5000000,IF(Auxiliary!I17&gt;=2,4000000,IF(Auxiliary!I17&gt;=1,2000000,0))))))))))</f>
        <v>9000000</v>
      </c>
      <c r="X72" s="16">
        <f>IF(Auxiliary!J17&gt;=16,16000000,IF(Auxiliary!J17&gt;=15,14000000,IF(Auxiliary!J17&gt;=14,10000000,IF(AND(Auxiliary!J17&gt;6,Auxiliary!J17&lt;&gt;14),9000000,IF(Auxiliary!J17&gt;=6,8000000,IF(Auxiliary!J17&gt;=5,7000000,IF(Auxiliary!J17&gt;=4,6000000,IF(Auxiliary!J17&gt;=3,5000000,IF(Auxiliary!J17&gt;=2,4000000,IF(Auxiliary!J17&gt;=1,2000000,0))))))))))</f>
        <v>9000000</v>
      </c>
      <c r="Y72" s="16">
        <f>IF(Auxiliary!K17&gt;=16,16000000,IF(Auxiliary!K17&gt;=15,14000000,IF(Auxiliary!K17&gt;=14,10000000,IF(AND(Auxiliary!K17&gt;6,Auxiliary!K17&lt;&gt;14),9000000,IF(Auxiliary!K17&gt;=6,8000000,IF(Auxiliary!K17&gt;=5,7000000,IF(Auxiliary!K17&gt;=4,6000000,IF(Auxiliary!K17&gt;=3,5000000,IF(Auxiliary!K17&gt;=2,4000000,IF(Auxiliary!K17&gt;=1,2000000,0))))))))))</f>
        <v>9000000</v>
      </c>
      <c r="Z72" s="16">
        <f>IF(Auxiliary!L17&gt;=16,16000000,IF(Auxiliary!L17&gt;=15,14000000,IF(Auxiliary!L17&gt;=14,10000000,IF(AND(Auxiliary!L17&gt;6,Auxiliary!L17&lt;&gt;14),9000000,IF(Auxiliary!L17&gt;=6,8000000,IF(Auxiliary!L17&gt;=5,7000000,IF(Auxiliary!L17&gt;=4,6000000,IF(Auxiliary!L17&gt;=3,5000000,IF(Auxiliary!L17&gt;=2,4000000,IF(Auxiliary!L17&gt;=1,2000000,0))))))))))</f>
        <v>8000000</v>
      </c>
      <c r="AA72" s="16">
        <f>IF(Auxiliary!M17&gt;=16,16000000,IF(Auxiliary!M17&gt;=15,14000000,IF(Auxiliary!M17&gt;=14,10000000,IF(AND(Auxiliary!M17&gt;6,Auxiliary!M17&lt;&gt;14),9000000,IF(Auxiliary!M17&gt;=6,8000000,IF(Auxiliary!M17&gt;=5,7000000,IF(Auxiliary!M17&gt;=4,6000000,IF(Auxiliary!M17&gt;=3,5000000,IF(Auxiliary!M17&gt;=2,4000000,IF(Auxiliary!M17&gt;=1,2000000,0))))))))))</f>
        <v>7000000</v>
      </c>
      <c r="AB72" s="16">
        <f>IF(Auxiliary!N17&gt;=16,16000000,IF(Auxiliary!N17&gt;=15,14000000,IF(Auxiliary!N17&gt;=14,10000000,IF(AND(Auxiliary!N17&gt;6,Auxiliary!N17&lt;&gt;14),9000000,IF(Auxiliary!N17&gt;=6,8000000,IF(Auxiliary!N17&gt;=5,7000000,IF(Auxiliary!N17&gt;=4,6000000,IF(Auxiliary!N17&gt;=3,5000000,IF(Auxiliary!N17&gt;=2,4000000,IF(Auxiliary!N17&gt;=1,2000000,0))))))))))</f>
        <v>6000000</v>
      </c>
      <c r="AC72" s="16">
        <f>IF(Auxiliary!O17&gt;=16,16000000,IF(Auxiliary!O17&gt;=15,14000000,IF(Auxiliary!O17&gt;=14,10000000,IF(AND(Auxiliary!O17&gt;6,Auxiliary!O17&lt;&gt;14),9000000,IF(Auxiliary!O17&gt;=6,8000000,IF(Auxiliary!O17&gt;=5,7000000,IF(Auxiliary!O17&gt;=4,6000000,IF(Auxiliary!O17&gt;=3,5000000,IF(Auxiliary!O17&gt;=2,4000000,IF(Auxiliary!O17&gt;=1,2000000,0))))))))))</f>
        <v>5000000</v>
      </c>
      <c r="AD72" s="16">
        <f>IF(Auxiliary!P17&gt;=16,16000000,IF(Auxiliary!P17&gt;=15,14000000,IF(Auxiliary!P17&gt;=14,10000000,IF(AND(Auxiliary!P17&gt;6,Auxiliary!P17&lt;&gt;14),9000000,IF(Auxiliary!P17&gt;=6,8000000,IF(Auxiliary!P17&gt;=5,7000000,IF(Auxiliary!P17&gt;=4,6000000,IF(Auxiliary!P17&gt;=3,5000000,IF(Auxiliary!P17&gt;=2,4000000,IF(Auxiliary!P17&gt;=1,2000000,0))))))))))</f>
        <v>4000000</v>
      </c>
      <c r="AE72" s="16">
        <f>IF(Auxiliary!Q17&gt;=16,16000000,IF(Auxiliary!Q17&gt;=15,14000000,IF(Auxiliary!Q17&gt;=14,10000000,IF(AND(Auxiliary!Q17&gt;6,Auxiliary!Q17&lt;&gt;14),9000000,IF(Auxiliary!Q17&gt;=6,8000000,IF(Auxiliary!Q17&gt;=5,7000000,IF(Auxiliary!Q17&gt;=4,6000000,IF(Auxiliary!Q17&gt;=3,5000000,IF(Auxiliary!Q17&gt;=2,4000000,IF(Auxiliary!Q17&gt;=1,2000000,0))))))))))</f>
        <v>2000000</v>
      </c>
      <c r="AF72" s="16">
        <f>IF(Auxiliary!R17&gt;=16,16000000,IF(Auxiliary!R17&gt;=15,14000000,IF(Auxiliary!R17&gt;=14,10000000,IF(AND(Auxiliary!R17&gt;6,Auxiliary!R17&lt;&gt;14),9000000,IF(Auxiliary!R17&gt;=6,8000000,IF(Auxiliary!R17&gt;=5,7000000,IF(Auxiliary!R17&gt;=4,6000000,IF(Auxiliary!R17&gt;=3,5000000,IF(Auxiliary!R17&gt;=2,4000000,IF(Auxiliary!R17&gt;=1,2000000,0))))))))))</f>
        <v>0</v>
      </c>
      <c r="AG72" s="16">
        <f>IF(Auxiliary!S17&gt;=16,16000000,IF(Auxiliary!S17&gt;=15,14000000,IF(Auxiliary!S17&gt;=14,10000000,IF(AND(Auxiliary!S17&gt;6,Auxiliary!S17&lt;&gt;14),9000000,IF(Auxiliary!S17&gt;=6,8000000,IF(Auxiliary!S17&gt;=5,7000000,IF(Auxiliary!S17&gt;=4,6000000,IF(Auxiliary!S17&gt;=3,5000000,IF(Auxiliary!S17&gt;=2,4000000,IF(Auxiliary!S17&gt;=1,2000000,0))))))))))</f>
        <v>0</v>
      </c>
      <c r="AH72" s="16">
        <f>IF(Auxiliary!T17&gt;=16,16000000,IF(Auxiliary!T17&gt;=15,14000000,IF(Auxiliary!T17&gt;=14,10000000,IF(AND(Auxiliary!T17&gt;6,Auxiliary!T17&lt;&gt;14),9000000,IF(Auxiliary!T17&gt;=6,8000000,IF(Auxiliary!T17&gt;=5,7000000,IF(Auxiliary!T17&gt;=4,6000000,IF(Auxiliary!T17&gt;=3,5000000,IF(Auxiliary!T17&gt;=2,4000000,IF(Auxiliary!T17&gt;=1,2000000,0))))))))))</f>
        <v>0</v>
      </c>
      <c r="AI72" s="16">
        <f>IF(Auxiliary!U17&gt;=16,16000000,IF(Auxiliary!U17&gt;=15,14000000,IF(Auxiliary!U17&gt;=14,10000000,IF(AND(Auxiliary!U17&gt;6,Auxiliary!U17&lt;&gt;14),9000000,IF(Auxiliary!U17&gt;=6,8000000,IF(Auxiliary!U17&gt;=5,7000000,IF(Auxiliary!U17&gt;=4,6000000,IF(Auxiliary!U17&gt;=3,5000000,IF(Auxiliary!U17&gt;=2,4000000,IF(Auxiliary!U17&gt;=1,2000000,0))))))))))</f>
        <v>0</v>
      </c>
      <c r="AJ72" s="16">
        <f>IF(Auxiliary!V17&gt;=16,16000000,IF(Auxiliary!V17&gt;=15,14000000,IF(Auxiliary!V17&gt;=14,10000000,IF(AND(Auxiliary!V17&gt;6,Auxiliary!V17&lt;&gt;14),9000000,IF(Auxiliary!V17&gt;=6,8000000,IF(Auxiliary!V17&gt;=5,7000000,IF(Auxiliary!V17&gt;=4,6000000,IF(Auxiliary!V17&gt;=3,5000000,IF(Auxiliary!V17&gt;=2,4000000,IF(Auxiliary!V17&gt;=1,2000000,0))))))))))</f>
        <v>0</v>
      </c>
      <c r="AK72" s="16">
        <f>IF(Auxiliary!W17&gt;=16,16000000,IF(Auxiliary!W17&gt;=15,14000000,IF(Auxiliary!W17&gt;=14,10000000,IF(AND(Auxiliary!W17&gt;6,Auxiliary!W17&lt;&gt;14),9000000,IF(Auxiliary!W17&gt;=6,8000000,IF(Auxiliary!W17&gt;=5,7000000,IF(Auxiliary!W17&gt;=4,6000000,IF(Auxiliary!W17&gt;=3,5000000,IF(Auxiliary!W17&gt;=2,4000000,IF(Auxiliary!W17&gt;=1,2000000,0))))))))))</f>
        <v>0</v>
      </c>
      <c r="AL72" s="16">
        <f>IF(Auxiliary!X17&gt;=16,16000000,IF(Auxiliary!X17&gt;=15,14000000,IF(Auxiliary!X17&gt;=14,10000000,IF(AND(Auxiliary!X17&gt;6,Auxiliary!X17&lt;&gt;14),9000000,IF(Auxiliary!X17&gt;=6,8000000,IF(Auxiliary!X17&gt;=5,7000000,IF(Auxiliary!X17&gt;=4,6000000,IF(Auxiliary!X17&gt;=3,5000000,IF(Auxiliary!X17&gt;=2,4000000,IF(Auxiliary!X17&gt;=1,2000000,0))))))))))</f>
        <v>0</v>
      </c>
      <c r="AM72" s="16">
        <f>IF(Auxiliary!Y17&gt;=16,16000000,IF(Auxiliary!Y17&gt;=15,14000000,IF(Auxiliary!Y17&gt;=14,10000000,IF(AND(Auxiliary!Y17&gt;6,Auxiliary!Y17&lt;&gt;14),9000000,IF(Auxiliary!Y17&gt;=6,8000000,IF(Auxiliary!Y17&gt;=5,7000000,IF(Auxiliary!Y17&gt;=4,6000000,IF(Auxiliary!Y17&gt;=3,5000000,IF(Auxiliary!Y17&gt;=2,4000000,IF(Auxiliary!Y17&gt;=1,2000000,0))))))))))</f>
        <v>0</v>
      </c>
      <c r="AN72" s="16">
        <f>IF(Auxiliary!Z17&gt;=16,16000000,IF(Auxiliary!Z17&gt;=15,14000000,IF(Auxiliary!Z17&gt;=14,10000000,IF(AND(Auxiliary!Z17&gt;6,Auxiliary!Z17&lt;&gt;14),9000000,IF(Auxiliary!Z17&gt;=6,8000000,IF(Auxiliary!Z17&gt;=5,7000000,IF(Auxiliary!Z17&gt;=4,6000000,IF(Auxiliary!Z17&gt;=3,5000000,IF(Auxiliary!Z17&gt;=2,4000000,IF(Auxiliary!Z17&gt;=1,2000000,0))))))))))</f>
        <v>0</v>
      </c>
      <c r="AO72" s="16">
        <f>IF(Auxiliary!AA17&gt;=16,16000000,IF(Auxiliary!AA17&gt;=15,14000000,IF(Auxiliary!AA17&gt;=14,10000000,IF(AND(Auxiliary!AA17&gt;6,Auxiliary!AA17&lt;&gt;14),9000000,IF(Auxiliary!AA17&gt;=6,8000000,IF(Auxiliary!AA17&gt;=5,7000000,IF(Auxiliary!AA17&gt;=4,6000000,IF(Auxiliary!AA17&gt;=3,5000000,IF(Auxiliary!AA17&gt;=2,4000000,IF(Auxiliary!AA17&gt;=1,2000000,0))))))))))</f>
        <v>0</v>
      </c>
      <c r="AP72" s="16">
        <f>IF(Auxiliary!AB17&gt;=16,16000000,IF(Auxiliary!AB17&gt;=15,14000000,IF(Auxiliary!AB17&gt;=14,10000000,IF(AND(Auxiliary!AB17&gt;6,Auxiliary!AB17&lt;&gt;14),9000000,IF(Auxiliary!AB17&gt;=6,8000000,IF(Auxiliary!AB17&gt;=5,7000000,IF(Auxiliary!AB17&gt;=4,6000000,IF(Auxiliary!AB17&gt;=3,5000000,IF(Auxiliary!AB17&gt;=2,4000000,IF(Auxiliary!AB17&gt;=1,2000000,0))))))))))</f>
        <v>0</v>
      </c>
      <c r="AQ72" s="16">
        <f>IF(Auxiliary!AC17&gt;=16,16000000,IF(Auxiliary!AC17&gt;=15,14000000,IF(Auxiliary!AC17&gt;=14,10000000,IF(AND(Auxiliary!AC17&gt;6,Auxiliary!AC17&lt;&gt;14),9000000,IF(Auxiliary!AC17&gt;=6,8000000,IF(Auxiliary!AC17&gt;=5,7000000,IF(Auxiliary!AC17&gt;=4,6000000,IF(Auxiliary!AC17&gt;=3,5000000,IF(Auxiliary!AC17&gt;=2,4000000,IF(Auxiliary!AC17&gt;=1,2000000,0))))))))))</f>
        <v>0</v>
      </c>
      <c r="AR72" s="16">
        <f>IF(Auxiliary!AD17&gt;=16,16000000,IF(Auxiliary!AD17&gt;=15,14000000,IF(Auxiliary!AD17&gt;=14,10000000,IF(AND(Auxiliary!AD17&gt;6,Auxiliary!AD17&lt;&gt;14),9000000,IF(Auxiliary!AD17&gt;=6,8000000,IF(Auxiliary!AD17&gt;=5,7000000,IF(Auxiliary!AD17&gt;=4,6000000,IF(Auxiliary!AD17&gt;=3,5000000,IF(Auxiliary!AD17&gt;=2,4000000,IF(Auxiliary!AD17&gt;=1,2000000,0))))))))))</f>
        <v>0</v>
      </c>
      <c r="AS72" s="16">
        <f>IF(Auxiliary!AE17&gt;=16,16000000,IF(Auxiliary!AE17&gt;=15,14000000,IF(Auxiliary!AE17&gt;=14,10000000,IF(AND(Auxiliary!AE17&gt;6,Auxiliary!AE17&lt;&gt;14),9000000,IF(Auxiliary!AE17&gt;=6,8000000,IF(Auxiliary!AE17&gt;=5,7000000,IF(Auxiliary!AE17&gt;=4,6000000,IF(Auxiliary!AE17&gt;=3,5000000,IF(Auxiliary!AE17&gt;=2,4000000,IF(Auxiliary!AE17&gt;=1,2000000,0))))))))))</f>
        <v>0</v>
      </c>
      <c r="AT72" s="16">
        <f>IF(Auxiliary!AF17&gt;=16,16000000,IF(Auxiliary!AF17&gt;=15,14000000,IF(Auxiliary!AF17&gt;=14,10000000,IF(AND(Auxiliary!AF17&gt;6,Auxiliary!AF17&lt;&gt;14),9000000,IF(Auxiliary!AF17&gt;=6,8000000,IF(Auxiliary!AF17&gt;=5,7000000,IF(Auxiliary!AF17&gt;=4,6000000,IF(Auxiliary!AF17&gt;=3,5000000,IF(Auxiliary!AF17&gt;=2,4000000,IF(Auxiliary!AF17&gt;=1,2000000,0))))))))))</f>
        <v>0</v>
      </c>
      <c r="AU72" s="16">
        <f>IF(Auxiliary!AG17&gt;=16,16000000,IF(Auxiliary!AG17&gt;=15,14000000,IF(Auxiliary!AG17&gt;=14,10000000,IF(AND(Auxiliary!AG17&gt;6,Auxiliary!AG17&lt;&gt;14),9000000,IF(Auxiliary!AG17&gt;=6,8000000,IF(Auxiliary!AG17&gt;=5,7000000,IF(Auxiliary!AG17&gt;=4,6000000,IF(Auxiliary!AG17&gt;=3,5000000,IF(Auxiliary!AG17&gt;=2,4000000,IF(Auxiliary!AG17&gt;=1,2000000,0))))))))))</f>
        <v>0</v>
      </c>
      <c r="AV72" s="16">
        <f>IF(Auxiliary!AH17&gt;=16,16000000,IF(Auxiliary!AH17&gt;=15,14000000,IF(Auxiliary!AH17&gt;=14,10000000,IF(AND(Auxiliary!AH17&gt;6,Auxiliary!AH17&lt;&gt;14),9000000,IF(Auxiliary!AH17&gt;=6,8000000,IF(Auxiliary!AH17&gt;=5,7000000,IF(Auxiliary!AH17&gt;=4,6000000,IF(Auxiliary!AH17&gt;=3,5000000,IF(Auxiliary!AH17&gt;=2,4000000,IF(Auxiliary!AH17&gt;=1,2000000,0))))))))))</f>
        <v>0</v>
      </c>
      <c r="AW72" s="16">
        <f>IF(Auxiliary!AI17&gt;=16,16000000,IF(Auxiliary!AI17&gt;=15,14000000,IF(Auxiliary!AI17&gt;=14,10000000,IF(AND(Auxiliary!AI17&gt;6,Auxiliary!AI17&lt;&gt;14),9000000,IF(Auxiliary!AI17&gt;=6,8000000,IF(Auxiliary!AI17&gt;=5,7000000,IF(Auxiliary!AI17&gt;=4,6000000,IF(Auxiliary!AI17&gt;=3,5000000,IF(Auxiliary!AI17&gt;=2,4000000,IF(Auxiliary!AI17&gt;=1,2000000,0))))))))))</f>
        <v>0</v>
      </c>
      <c r="AX72" s="13"/>
    </row>
    <row r="73" spans="2:50" x14ac:dyDescent="0.25">
      <c r="B73" t="s">
        <v>158</v>
      </c>
      <c r="C73" t="s">
        <v>93</v>
      </c>
      <c r="I73" s="6">
        <v>875000</v>
      </c>
      <c r="J73" s="6">
        <v>144000</v>
      </c>
      <c r="K73" s="15">
        <f>SUM(L73:AW73)</f>
        <v>25156000</v>
      </c>
      <c r="L73" s="16">
        <f>(1300000-$J$73)/3</f>
        <v>385333.33333333331</v>
      </c>
      <c r="M73" s="16">
        <f t="shared" ref="M73:N73" si="33">(1300000-$J$73)/3</f>
        <v>385333.33333333331</v>
      </c>
      <c r="N73" s="16">
        <f t="shared" si="33"/>
        <v>385333.33333333331</v>
      </c>
      <c r="O73" s="16">
        <f>1500000/4</f>
        <v>375000</v>
      </c>
      <c r="P73" s="16">
        <f>IF(P29&gt;0,1500000*0.75,0)</f>
        <v>1125000</v>
      </c>
      <c r="Q73" s="16">
        <f t="shared" ref="Q73:AW73" si="34">IF(Q29&gt;0,1500000,0)</f>
        <v>1500000</v>
      </c>
      <c r="R73" s="16">
        <f t="shared" si="34"/>
        <v>1500000</v>
      </c>
      <c r="S73" s="16">
        <f t="shared" si="34"/>
        <v>1500000</v>
      </c>
      <c r="T73" s="16">
        <f t="shared" si="34"/>
        <v>1500000</v>
      </c>
      <c r="U73" s="16">
        <f t="shared" si="34"/>
        <v>1500000</v>
      </c>
      <c r="V73" s="16">
        <f t="shared" si="34"/>
        <v>1500000</v>
      </c>
      <c r="W73" s="16">
        <f t="shared" si="34"/>
        <v>1500000</v>
      </c>
      <c r="X73" s="16">
        <f t="shared" si="34"/>
        <v>1500000</v>
      </c>
      <c r="Y73" s="16">
        <f t="shared" si="34"/>
        <v>1500000</v>
      </c>
      <c r="Z73" s="16">
        <f t="shared" si="34"/>
        <v>1500000</v>
      </c>
      <c r="AA73" s="16">
        <f t="shared" si="34"/>
        <v>1500000</v>
      </c>
      <c r="AB73" s="16">
        <f t="shared" si="34"/>
        <v>1500000</v>
      </c>
      <c r="AC73" s="16">
        <f t="shared" si="34"/>
        <v>1500000</v>
      </c>
      <c r="AD73" s="16">
        <f t="shared" si="34"/>
        <v>1500000</v>
      </c>
      <c r="AE73" s="16">
        <f t="shared" si="34"/>
        <v>1500000</v>
      </c>
      <c r="AF73" s="16">
        <f t="shared" si="34"/>
        <v>0</v>
      </c>
      <c r="AG73" s="16">
        <f t="shared" si="34"/>
        <v>0</v>
      </c>
      <c r="AH73" s="16">
        <f t="shared" si="34"/>
        <v>0</v>
      </c>
      <c r="AI73" s="16">
        <f t="shared" si="34"/>
        <v>0</v>
      </c>
      <c r="AJ73" s="16">
        <f t="shared" si="34"/>
        <v>0</v>
      </c>
      <c r="AK73" s="16">
        <f t="shared" si="34"/>
        <v>0</v>
      </c>
      <c r="AL73" s="16">
        <f t="shared" si="34"/>
        <v>0</v>
      </c>
      <c r="AM73" s="16">
        <f t="shared" si="34"/>
        <v>0</v>
      </c>
      <c r="AN73" s="16">
        <f t="shared" si="34"/>
        <v>0</v>
      </c>
      <c r="AO73" s="16">
        <f t="shared" si="34"/>
        <v>0</v>
      </c>
      <c r="AP73" s="16">
        <f t="shared" si="34"/>
        <v>0</v>
      </c>
      <c r="AQ73" s="16">
        <f t="shared" si="34"/>
        <v>0</v>
      </c>
      <c r="AR73" s="16">
        <f t="shared" si="34"/>
        <v>0</v>
      </c>
      <c r="AS73" s="16">
        <f t="shared" si="34"/>
        <v>0</v>
      </c>
      <c r="AT73" s="16">
        <f t="shared" si="34"/>
        <v>0</v>
      </c>
      <c r="AU73" s="16">
        <f t="shared" si="34"/>
        <v>0</v>
      </c>
      <c r="AV73" s="16">
        <f t="shared" si="34"/>
        <v>0</v>
      </c>
      <c r="AW73" s="16">
        <f t="shared" si="34"/>
        <v>0</v>
      </c>
      <c r="AX73" s="13"/>
    </row>
    <row r="74" spans="2:50" x14ac:dyDescent="0.25">
      <c r="B74" t="s">
        <v>159</v>
      </c>
      <c r="C74" t="s">
        <v>93</v>
      </c>
      <c r="I74" s="6"/>
      <c r="J74" s="6"/>
      <c r="K74" s="15">
        <f>SUM(L74:AW74)</f>
        <v>43750000</v>
      </c>
      <c r="L74" s="16"/>
      <c r="M74" s="16"/>
      <c r="N74" s="16" t="str">
        <f t="shared" ref="N74:AW74" si="35">IF(AND(N29=0,M29&gt;0),17500000*1.25,IF(AND(N29=0,M29=0,L29&gt;0),17500000*1.25,""))</f>
        <v/>
      </c>
      <c r="O74" s="16" t="str">
        <f t="shared" si="35"/>
        <v/>
      </c>
      <c r="P74" s="16" t="str">
        <f t="shared" si="35"/>
        <v/>
      </c>
      <c r="Q74" s="16" t="str">
        <f t="shared" si="35"/>
        <v/>
      </c>
      <c r="R74" s="16" t="str">
        <f t="shared" si="35"/>
        <v/>
      </c>
      <c r="S74" s="16" t="str">
        <f t="shared" si="35"/>
        <v/>
      </c>
      <c r="T74" s="16" t="str">
        <f t="shared" si="35"/>
        <v/>
      </c>
      <c r="U74" s="16" t="str">
        <f t="shared" si="35"/>
        <v/>
      </c>
      <c r="V74" s="16" t="str">
        <f t="shared" si="35"/>
        <v/>
      </c>
      <c r="W74" s="16" t="str">
        <f t="shared" si="35"/>
        <v/>
      </c>
      <c r="X74" s="16" t="str">
        <f t="shared" si="35"/>
        <v/>
      </c>
      <c r="Y74" s="16" t="str">
        <f t="shared" si="35"/>
        <v/>
      </c>
      <c r="Z74" s="16" t="str">
        <f t="shared" si="35"/>
        <v/>
      </c>
      <c r="AA74" s="16" t="str">
        <f t="shared" si="35"/>
        <v/>
      </c>
      <c r="AB74" s="16" t="str">
        <f t="shared" si="35"/>
        <v/>
      </c>
      <c r="AC74" s="16" t="str">
        <f t="shared" si="35"/>
        <v/>
      </c>
      <c r="AD74" s="16" t="str">
        <f t="shared" si="35"/>
        <v/>
      </c>
      <c r="AE74" s="16" t="str">
        <f t="shared" si="35"/>
        <v/>
      </c>
      <c r="AF74" s="16">
        <f t="shared" si="35"/>
        <v>21875000</v>
      </c>
      <c r="AG74" s="16">
        <f t="shared" si="35"/>
        <v>21875000</v>
      </c>
      <c r="AH74" s="16" t="str">
        <f t="shared" si="35"/>
        <v/>
      </c>
      <c r="AI74" s="16" t="str">
        <f t="shared" si="35"/>
        <v/>
      </c>
      <c r="AJ74" s="16" t="str">
        <f t="shared" si="35"/>
        <v/>
      </c>
      <c r="AK74" s="16" t="str">
        <f t="shared" si="35"/>
        <v/>
      </c>
      <c r="AL74" s="16" t="str">
        <f t="shared" si="35"/>
        <v/>
      </c>
      <c r="AM74" s="16" t="str">
        <f t="shared" si="35"/>
        <v/>
      </c>
      <c r="AN74" s="16" t="str">
        <f t="shared" si="35"/>
        <v/>
      </c>
      <c r="AO74" s="16" t="str">
        <f t="shared" si="35"/>
        <v/>
      </c>
      <c r="AP74" s="16" t="str">
        <f t="shared" si="35"/>
        <v/>
      </c>
      <c r="AQ74" s="16" t="str">
        <f t="shared" si="35"/>
        <v/>
      </c>
      <c r="AR74" s="16" t="str">
        <f t="shared" si="35"/>
        <v/>
      </c>
      <c r="AS74" s="16" t="str">
        <f t="shared" si="35"/>
        <v/>
      </c>
      <c r="AT74" s="16" t="str">
        <f t="shared" si="35"/>
        <v/>
      </c>
      <c r="AU74" s="16" t="str">
        <f t="shared" si="35"/>
        <v/>
      </c>
      <c r="AV74" s="16" t="str">
        <f t="shared" si="35"/>
        <v/>
      </c>
      <c r="AW74" s="16" t="str">
        <f t="shared" si="35"/>
        <v/>
      </c>
      <c r="AX74" s="13"/>
    </row>
    <row r="75" spans="2:50" x14ac:dyDescent="0.25">
      <c r="B75" t="s">
        <v>206</v>
      </c>
      <c r="C75" t="s">
        <v>43</v>
      </c>
      <c r="I75" s="6">
        <f>(I59-I58+I62+I63+SUM(I72:I74))/I45</f>
        <v>1078.3536394241764</v>
      </c>
      <c r="J75" s="6">
        <f>(J59-J58+J62+J63+SUM(J72:J74))/J45</f>
        <v>1024.5937372187848</v>
      </c>
      <c r="K75" s="15">
        <f>AVERAGE(L75:AW75)</f>
        <v>1356.923670164972</v>
      </c>
      <c r="L75" s="16">
        <f t="shared" ref="L75:AW75" si="36">IFERROR((L59-L58+L62+L63+SUM(L72:L74))/L45,"")</f>
        <v>1196.4186593651864</v>
      </c>
      <c r="M75" s="16">
        <f t="shared" si="36"/>
        <v>1194.2186593651863</v>
      </c>
      <c r="N75" s="16">
        <f t="shared" si="36"/>
        <v>1251.3654080205624</v>
      </c>
      <c r="O75" s="16">
        <f t="shared" si="36"/>
        <v>1264.2509797755217</v>
      </c>
      <c r="P75" s="16">
        <f t="shared" si="36"/>
        <v>1200.6554741989085</v>
      </c>
      <c r="Q75" s="16">
        <f t="shared" si="36"/>
        <v>1182.0325245256772</v>
      </c>
      <c r="R75" s="16">
        <f t="shared" si="36"/>
        <v>1144.4153540104573</v>
      </c>
      <c r="S75" s="16">
        <f t="shared" si="36"/>
        <v>1339.8532216972819</v>
      </c>
      <c r="T75" s="16">
        <f t="shared" si="36"/>
        <v>1366.0051079627065</v>
      </c>
      <c r="U75" s="16">
        <f t="shared" si="36"/>
        <v>1365.4160140001784</v>
      </c>
      <c r="V75" s="16">
        <f t="shared" si="36"/>
        <v>1366.0051079627065</v>
      </c>
      <c r="W75" s="16">
        <f t="shared" si="36"/>
        <v>1366.0051079627065</v>
      </c>
      <c r="X75" s="16">
        <f t="shared" si="36"/>
        <v>1366.0051079627065</v>
      </c>
      <c r="Y75" s="16">
        <f t="shared" si="36"/>
        <v>1365.4160140001784</v>
      </c>
      <c r="Z75" s="16">
        <f t="shared" si="36"/>
        <v>1354.1061901765415</v>
      </c>
      <c r="AA75" s="16">
        <f t="shared" si="36"/>
        <v>1342.2072723903768</v>
      </c>
      <c r="AB75" s="16">
        <f t="shared" si="36"/>
        <v>1330.3083546042119</v>
      </c>
      <c r="AC75" s="16">
        <f t="shared" si="36"/>
        <v>1633.1601453270493</v>
      </c>
      <c r="AD75" s="16">
        <f t="shared" si="36"/>
        <v>1746.2515133865725</v>
      </c>
      <c r="AE75" s="16">
        <f t="shared" si="36"/>
        <v>1764.3771866047282</v>
      </c>
      <c r="AF75" s="16" t="str">
        <f t="shared" si="36"/>
        <v/>
      </c>
      <c r="AG75" s="16" t="str">
        <f t="shared" si="36"/>
        <v/>
      </c>
      <c r="AH75" s="16" t="str">
        <f t="shared" si="36"/>
        <v/>
      </c>
      <c r="AI75" s="16" t="str">
        <f t="shared" si="36"/>
        <v/>
      </c>
      <c r="AJ75" s="16" t="str">
        <f t="shared" si="36"/>
        <v/>
      </c>
      <c r="AK75" s="16" t="str">
        <f t="shared" si="36"/>
        <v/>
      </c>
      <c r="AL75" s="16" t="str">
        <f t="shared" si="36"/>
        <v/>
      </c>
      <c r="AM75" s="16" t="str">
        <f t="shared" si="36"/>
        <v/>
      </c>
      <c r="AN75" s="16" t="str">
        <f t="shared" si="36"/>
        <v/>
      </c>
      <c r="AO75" s="16" t="str">
        <f t="shared" si="36"/>
        <v/>
      </c>
      <c r="AP75" s="16" t="str">
        <f t="shared" si="36"/>
        <v/>
      </c>
      <c r="AQ75" s="16" t="str">
        <f t="shared" si="36"/>
        <v/>
      </c>
      <c r="AR75" s="16" t="str">
        <f t="shared" si="36"/>
        <v/>
      </c>
      <c r="AS75" s="16" t="str">
        <f t="shared" si="36"/>
        <v/>
      </c>
      <c r="AT75" s="16" t="str">
        <f t="shared" si="36"/>
        <v/>
      </c>
      <c r="AU75" s="16" t="str">
        <f t="shared" si="36"/>
        <v/>
      </c>
      <c r="AV75" s="16" t="str">
        <f t="shared" si="36"/>
        <v/>
      </c>
      <c r="AW75" s="16" t="str">
        <f t="shared" si="36"/>
        <v/>
      </c>
      <c r="AX75" s="13"/>
    </row>
    <row r="76" spans="2:50" x14ac:dyDescent="0.25"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spans="2:50" ht="15.75" thickBot="1" x14ac:dyDescent="0.3">
      <c r="B77" s="14" t="s">
        <v>162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spans="2:50" x14ac:dyDescent="0.25">
      <c r="B78" t="s">
        <v>162</v>
      </c>
      <c r="C78" t="s">
        <v>93</v>
      </c>
      <c r="I78" s="6">
        <f>I68+I58-SUM(I72:I74)</f>
        <v>31791000</v>
      </c>
      <c r="J78" s="6">
        <f>J68+J58-SUM(J72:J74)</f>
        <v>24454000</v>
      </c>
      <c r="K78" s="15">
        <f>SUM(L78:AW78)</f>
        <v>339219279.88488579</v>
      </c>
      <c r="L78" s="15">
        <f t="shared" ref="L78:AW78" si="37">L68+L58-SUM(L72:L74)</f>
        <v>14642142.214520417</v>
      </c>
      <c r="M78" s="15">
        <f t="shared" si="37"/>
        <v>14258197.72880362</v>
      </c>
      <c r="N78" s="15">
        <f t="shared" si="37"/>
        <v>10584366.205600612</v>
      </c>
      <c r="O78" s="15">
        <f t="shared" si="37"/>
        <v>9416459.5154614355</v>
      </c>
      <c r="P78" s="15">
        <f t="shared" si="37"/>
        <v>29021448.221698821</v>
      </c>
      <c r="Q78" s="15">
        <f t="shared" si="37"/>
        <v>39687321.996879168</v>
      </c>
      <c r="R78" s="15">
        <f t="shared" si="37"/>
        <v>41720408.54880026</v>
      </c>
      <c r="S78" s="15">
        <f t="shared" si="37"/>
        <v>23335695.468410492</v>
      </c>
      <c r="T78" s="15">
        <f t="shared" si="37"/>
        <v>21396418.554168992</v>
      </c>
      <c r="U78" s="15">
        <f t="shared" si="37"/>
        <v>21486156.687194116</v>
      </c>
      <c r="V78" s="15">
        <f t="shared" si="37"/>
        <v>21396418.554168992</v>
      </c>
      <c r="W78" s="15">
        <f t="shared" si="37"/>
        <v>21396418.554168992</v>
      </c>
      <c r="X78" s="15">
        <f t="shared" si="37"/>
        <v>21396418.554168992</v>
      </c>
      <c r="Y78" s="15">
        <f t="shared" si="37"/>
        <v>21486156.687194116</v>
      </c>
      <c r="Z78" s="15">
        <f t="shared" si="37"/>
        <v>21941418.554168992</v>
      </c>
      <c r="AA78" s="15">
        <f t="shared" si="37"/>
        <v>22486418.554168992</v>
      </c>
      <c r="AB78" s="15">
        <f t="shared" si="37"/>
        <v>23031418.554168992</v>
      </c>
      <c r="AC78" s="15">
        <f t="shared" si="37"/>
        <v>4999768.9399524704</v>
      </c>
      <c r="AD78" s="15">
        <f t="shared" si="37"/>
        <v>41814.714209840633</v>
      </c>
      <c r="AE78" s="15">
        <f t="shared" si="37"/>
        <v>-755586.92302257009</v>
      </c>
      <c r="AF78" s="15">
        <f t="shared" si="37"/>
        <v>-21875000</v>
      </c>
      <c r="AG78" s="15">
        <f t="shared" si="37"/>
        <v>-21875000</v>
      </c>
      <c r="AH78" s="15">
        <f t="shared" si="37"/>
        <v>0</v>
      </c>
      <c r="AI78" s="15">
        <f t="shared" si="37"/>
        <v>0</v>
      </c>
      <c r="AJ78" s="15">
        <f t="shared" si="37"/>
        <v>0</v>
      </c>
      <c r="AK78" s="15">
        <f t="shared" si="37"/>
        <v>0</v>
      </c>
      <c r="AL78" s="15">
        <f t="shared" si="37"/>
        <v>0</v>
      </c>
      <c r="AM78" s="15">
        <f t="shared" si="37"/>
        <v>0</v>
      </c>
      <c r="AN78" s="15">
        <f t="shared" si="37"/>
        <v>0</v>
      </c>
      <c r="AO78" s="15">
        <f t="shared" si="37"/>
        <v>0</v>
      </c>
      <c r="AP78" s="15">
        <f t="shared" si="37"/>
        <v>0</v>
      </c>
      <c r="AQ78" s="15">
        <f t="shared" si="37"/>
        <v>0</v>
      </c>
      <c r="AR78" s="15">
        <f t="shared" si="37"/>
        <v>0</v>
      </c>
      <c r="AS78" s="15">
        <f t="shared" si="37"/>
        <v>0</v>
      </c>
      <c r="AT78" s="15">
        <f t="shared" si="37"/>
        <v>0</v>
      </c>
      <c r="AU78" s="15">
        <f t="shared" si="37"/>
        <v>0</v>
      </c>
      <c r="AV78" s="15">
        <f t="shared" si="37"/>
        <v>0</v>
      </c>
      <c r="AW78" s="15">
        <f t="shared" si="37"/>
        <v>0</v>
      </c>
      <c r="AX78" s="13"/>
    </row>
    <row r="79" spans="2:50" x14ac:dyDescent="0.25">
      <c r="B79" s="3" t="s">
        <v>163</v>
      </c>
      <c r="C79" s="3" t="s">
        <v>93</v>
      </c>
      <c r="K79" s="15">
        <f>SUM(L79:AW79)</f>
        <v>241347683.06382805</v>
      </c>
      <c r="L79" s="15">
        <f>L78</f>
        <v>14642142.214520417</v>
      </c>
      <c r="M79" s="15">
        <f>M78/(1+$D$4)^(0.25)</f>
        <v>13959260.202997344</v>
      </c>
      <c r="N79" s="15">
        <f>N78/(1+$D$4)^(0.5)</f>
        <v>10145194.943860179</v>
      </c>
      <c r="O79" s="15">
        <f>O78/(1+$D$4)^(0.75)</f>
        <v>8836513.6413112171</v>
      </c>
      <c r="P79" s="15">
        <f>P78/(1+$D$4)^(1)</f>
        <v>26663070.372972041</v>
      </c>
      <c r="Q79" s="15">
        <f>Q78/(1+$D$4)^(2)</f>
        <v>33499162.629134089</v>
      </c>
      <c r="R79" s="15">
        <f>R78/(1+$D$4)^(3)</f>
        <v>32353538.57334182</v>
      </c>
      <c r="S79" s="15">
        <f>S78/(1+$D$4)^(4)</f>
        <v>16625896.074623402</v>
      </c>
      <c r="T79" s="15">
        <f>T78/(1+$D$4)^(5)</f>
        <v>14005430.928567009</v>
      </c>
      <c r="U79" s="15">
        <f>U78/(1+$D$4)^(6)</f>
        <v>12921270.188019594</v>
      </c>
      <c r="V79" s="15">
        <f>V78/(1+$D$4)^(7)</f>
        <v>11821664.570969647</v>
      </c>
      <c r="W79" s="15">
        <f>W78/(1+$D$4)^(8)</f>
        <v>10860997.424165867</v>
      </c>
      <c r="X79" s="15">
        <f>X78/(1+$D$4)^(9)</f>
        <v>9978397.2332808375</v>
      </c>
      <c r="Y79" s="15">
        <f>Y78/(1+$D$4)^(10)</f>
        <v>9205969.2666522581</v>
      </c>
      <c r="Z79" s="15">
        <f>Z78/(1+$D$4)^(11)</f>
        <v>8637072.4491469916</v>
      </c>
      <c r="AA79" s="15">
        <f>AA78/(1+$D$4)^(12)</f>
        <v>8132296.9573466629</v>
      </c>
      <c r="AB79" s="15">
        <f>AB78/(1+$D$4)^(13)</f>
        <v>7652524.0789295491</v>
      </c>
      <c r="AC79" s="15">
        <f>AC78/(1+$D$4)^(14)</f>
        <v>1526247.7241395132</v>
      </c>
      <c r="AD79" s="15">
        <f>AD78/(1+$D$4)^(15)</f>
        <v>11727.226310562917</v>
      </c>
      <c r="AE79" s="15">
        <f>AE78/(1+$D$4)^(16)</f>
        <v>-194689.12107956287</v>
      </c>
      <c r="AF79" s="15">
        <f>AF78/(1+$D$4)^(17)</f>
        <v>-5178409.5086224489</v>
      </c>
      <c r="AG79" s="15">
        <f>AG78/(1+$D$4)^(18)</f>
        <v>-4757595.0067589581</v>
      </c>
      <c r="AH79" s="15">
        <f>AH78/(1+$D$4)^(19)</f>
        <v>0</v>
      </c>
      <c r="AI79" s="15">
        <f>AI78/(1+$D$4)^(20)</f>
        <v>0</v>
      </c>
      <c r="AJ79" s="15">
        <f>AJ78/(1+$D$4)^(21)</f>
        <v>0</v>
      </c>
      <c r="AK79" s="15">
        <f>AK78/(1+$D$4)^(22)</f>
        <v>0</v>
      </c>
      <c r="AL79" s="15">
        <f>AL78/(1+$D$4)^(23)</f>
        <v>0</v>
      </c>
      <c r="AM79" s="15">
        <f>AM78/(1+$D$4)^(24)</f>
        <v>0</v>
      </c>
      <c r="AN79" s="15">
        <f>AN78/(1+$D$4)^(25)</f>
        <v>0</v>
      </c>
      <c r="AO79" s="15">
        <f>AO78/(1+$D$4)^(26)</f>
        <v>0</v>
      </c>
      <c r="AP79" s="15">
        <f>AP78/(1+$D$4)^(27)</f>
        <v>0</v>
      </c>
      <c r="AQ79" s="15">
        <f>AQ78/(1+$D$4)^(28)</f>
        <v>0</v>
      </c>
      <c r="AR79" s="15">
        <f>AR78/(1+$D$4)^(29)</f>
        <v>0</v>
      </c>
      <c r="AS79" s="15">
        <f>AS78/(1+$D$4)^(30)</f>
        <v>0</v>
      </c>
      <c r="AT79" s="15">
        <f>AT78/(1+$D$4)^(31)</f>
        <v>0</v>
      </c>
      <c r="AU79" s="15">
        <f>AU78/(1+$D$4)^(32)</f>
        <v>0</v>
      </c>
      <c r="AV79" s="15">
        <f>AV78/(1+$D$4)^(33)</f>
        <v>0</v>
      </c>
      <c r="AW79" s="15">
        <f>AW78/(1+$D$4)^(34)</f>
        <v>0</v>
      </c>
      <c r="AX79" s="13"/>
    </row>
  </sheetData>
  <pageMargins left="0.7" right="0.7" top="0.75" bottom="0.75" header="0.3" footer="0.3"/>
  <pageSetup orientation="portrait" r:id="rId1"/>
  <ignoredErrors>
    <ignoredError sqref="G9 L9 V17 Z17:Z18 AD17:AD18 AH17:AH18 V18:V25 Z21:Z22 Z25 AM17:AM18 AM21:AM22 AD25 AQ17:AQ25 AU17:AU25 AL29:AT29 X29:AG29 U29 AI30:AS30 T30:AG30 U53:AO53 AS53 K78 K67 K59 K33:K35 K37:K41 K43:K48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98CB-0A3E-4FE4-A883-E458BD3F12F0}">
  <dimension ref="A1:AB83"/>
  <sheetViews>
    <sheetView showGridLines="0" topLeftCell="A13" zoomScaleNormal="100" workbookViewId="0">
      <selection activeCell="D34" sqref="D34"/>
    </sheetView>
  </sheetViews>
  <sheetFormatPr defaultRowHeight="15" x14ac:dyDescent="0.25"/>
  <cols>
    <col min="1" max="1" width="10.42578125" customWidth="1"/>
    <col min="2" max="2" width="42.140625" bestFit="1" customWidth="1"/>
    <col min="5" max="5" width="12.7109375" bestFit="1" customWidth="1"/>
    <col min="6" max="6" width="9.140625" bestFit="1" customWidth="1"/>
    <col min="7" max="7" width="15.28515625" bestFit="1" customWidth="1"/>
    <col min="8" max="8" width="18.5703125" bestFit="1" customWidth="1"/>
    <col min="9" max="9" width="11.140625" bestFit="1" customWidth="1"/>
    <col min="10" max="10" width="12.7109375" bestFit="1" customWidth="1"/>
    <col min="11" max="12" width="15.28515625" bestFit="1" customWidth="1"/>
    <col min="13" max="13" width="18.5703125" bestFit="1" customWidth="1"/>
    <col min="14" max="14" width="11.140625" bestFit="1" customWidth="1"/>
    <col min="15" max="15" width="12.7109375" bestFit="1" customWidth="1"/>
    <col min="16" max="16" width="12" bestFit="1" customWidth="1"/>
    <col min="17" max="17" width="15.28515625" bestFit="1" customWidth="1"/>
    <col min="18" max="18" width="18.5703125" bestFit="1" customWidth="1"/>
    <col min="19" max="19" width="12.140625" bestFit="1" customWidth="1"/>
    <col min="20" max="20" width="11.140625" bestFit="1" customWidth="1"/>
    <col min="21" max="21" width="9.85546875" bestFit="1" customWidth="1"/>
  </cols>
  <sheetData>
    <row r="1" spans="1:28" ht="23.25" x14ac:dyDescent="0.35">
      <c r="A1" s="1" t="s">
        <v>218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3" t="s">
        <v>9</v>
      </c>
    </row>
    <row r="3" spans="1:28" x14ac:dyDescent="0.25">
      <c r="A3" t="s">
        <v>219</v>
      </c>
    </row>
    <row r="4" spans="1:28" x14ac:dyDescent="0.25">
      <c r="A4" t="s">
        <v>0</v>
      </c>
      <c r="C4" s="3" t="s">
        <v>1</v>
      </c>
      <c r="D4" s="4">
        <f>WACC!C23</f>
        <v>8.8451097931970868E-2</v>
      </c>
    </row>
    <row r="6" spans="1:28" x14ac:dyDescent="0.25">
      <c r="B6" s="3" t="s">
        <v>2</v>
      </c>
      <c r="E6" s="3" t="s">
        <v>3</v>
      </c>
      <c r="F6" s="3" t="s">
        <v>4</v>
      </c>
      <c r="G6" s="3" t="s">
        <v>6</v>
      </c>
      <c r="H6" s="3" t="s">
        <v>8</v>
      </c>
      <c r="J6" s="3" t="s">
        <v>3</v>
      </c>
      <c r="K6" s="3" t="s">
        <v>4</v>
      </c>
      <c r="L6" s="3" t="s">
        <v>6</v>
      </c>
      <c r="M6" s="3" t="s">
        <v>8</v>
      </c>
      <c r="O6" s="3" t="s">
        <v>3</v>
      </c>
      <c r="P6" s="3" t="s">
        <v>4</v>
      </c>
      <c r="Q6" s="3" t="s">
        <v>6</v>
      </c>
      <c r="R6" s="3" t="s">
        <v>8</v>
      </c>
    </row>
    <row r="7" spans="1:28" x14ac:dyDescent="0.25">
      <c r="B7" t="s">
        <v>11</v>
      </c>
      <c r="C7" s="5">
        <v>1</v>
      </c>
      <c r="E7" t="s">
        <v>12</v>
      </c>
      <c r="F7" s="6">
        <f>300000-J29</f>
        <v>172032</v>
      </c>
      <c r="G7">
        <v>3.78</v>
      </c>
      <c r="H7" s="6">
        <f>F7*G7/Auxiliary!$C$4</f>
        <v>20907.018343364107</v>
      </c>
      <c r="J7" t="s">
        <v>13</v>
      </c>
      <c r="K7" s="6">
        <v>48000</v>
      </c>
      <c r="L7" s="11">
        <v>5.83</v>
      </c>
      <c r="M7" s="6">
        <f>K7*L7/Auxiliary!$C$4</f>
        <v>8997.0649197648545</v>
      </c>
      <c r="O7" t="s">
        <v>14</v>
      </c>
      <c r="P7" s="6">
        <v>247000</v>
      </c>
      <c r="Q7">
        <v>4.41</v>
      </c>
      <c r="R7" s="6">
        <f>P7*Q7/Auxiliary!$C$4</f>
        <v>35020.843714809402</v>
      </c>
    </row>
    <row r="8" spans="1:28" x14ac:dyDescent="0.25">
      <c r="B8" t="s">
        <v>15</v>
      </c>
      <c r="C8" s="5">
        <v>0.8</v>
      </c>
      <c r="E8" s="69" t="s">
        <v>16</v>
      </c>
      <c r="F8" s="7">
        <v>1826000</v>
      </c>
      <c r="G8" s="8">
        <v>7.27</v>
      </c>
      <c r="H8" s="7">
        <f>F8*G8/Auxiliary!$C$4</f>
        <v>426801.80371346785</v>
      </c>
      <c r="J8" s="69" t="s">
        <v>17</v>
      </c>
      <c r="K8" s="7">
        <v>456000</v>
      </c>
      <c r="L8" s="9">
        <v>5.8</v>
      </c>
      <c r="M8" s="7">
        <f>K8*L8/Auxiliary!$C$4</f>
        <v>85032.294524707278</v>
      </c>
    </row>
    <row r="9" spans="1:28" x14ac:dyDescent="0.25">
      <c r="B9" t="s">
        <v>18</v>
      </c>
      <c r="C9" s="5">
        <v>0</v>
      </c>
      <c r="E9" t="s">
        <v>19</v>
      </c>
      <c r="F9" s="6">
        <f>SUM(F7:F8)</f>
        <v>1998032</v>
      </c>
      <c r="G9" s="11">
        <f>(F7*G7+F8*G8)/F9</f>
        <v>6.96950847634072</v>
      </c>
      <c r="H9" s="6">
        <f>SUM(H7:H8)</f>
        <v>447708.82205683197</v>
      </c>
      <c r="J9" t="s">
        <v>19</v>
      </c>
      <c r="K9" s="6">
        <f>SUM(K7:K8)</f>
        <v>504000</v>
      </c>
      <c r="L9" s="11">
        <f>(K7*L7+K8*L8)/K9</f>
        <v>5.8028571428571425</v>
      </c>
      <c r="M9" s="6">
        <f>SUM(M7:M8)</f>
        <v>94029.359444472138</v>
      </c>
    </row>
    <row r="11" spans="1:28" x14ac:dyDescent="0.25">
      <c r="B11" s="12" t="s">
        <v>20</v>
      </c>
      <c r="C11" s="12" t="s">
        <v>21</v>
      </c>
      <c r="D11" s="12"/>
      <c r="E11" s="12" t="s">
        <v>22</v>
      </c>
      <c r="F11" s="12" t="s">
        <v>23</v>
      </c>
      <c r="G11" s="12" t="s">
        <v>24</v>
      </c>
      <c r="H11" s="12" t="s">
        <v>25</v>
      </c>
      <c r="I11" s="12" t="s">
        <v>26</v>
      </c>
      <c r="J11" s="12" t="s">
        <v>27</v>
      </c>
      <c r="K11" s="12" t="s">
        <v>28</v>
      </c>
      <c r="L11" s="12" t="s">
        <v>29</v>
      </c>
      <c r="M11" s="12" t="s">
        <v>30</v>
      </c>
      <c r="N11" s="12" t="s">
        <v>31</v>
      </c>
      <c r="O11" s="12" t="s">
        <v>32</v>
      </c>
      <c r="P11" s="12" t="s">
        <v>33</v>
      </c>
      <c r="Q11" s="12" t="s">
        <v>34</v>
      </c>
      <c r="R11" s="12" t="s">
        <v>35</v>
      </c>
      <c r="S11" s="12" t="s">
        <v>36</v>
      </c>
      <c r="T11" s="12" t="s">
        <v>37</v>
      </c>
      <c r="U11" s="12" t="s">
        <v>38</v>
      </c>
      <c r="V11" s="12" t="s">
        <v>39</v>
      </c>
      <c r="W11" s="12" t="s">
        <v>40</v>
      </c>
      <c r="X11" s="12" t="s">
        <v>41</v>
      </c>
      <c r="Y11" s="12" t="s">
        <v>54</v>
      </c>
      <c r="Z11" s="12" t="s">
        <v>55</v>
      </c>
      <c r="AA11" s="12"/>
      <c r="AB11" s="12"/>
    </row>
    <row r="12" spans="1:28" x14ac:dyDescent="0.25"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8" ht="15.75" thickBot="1" x14ac:dyDescent="0.3">
      <c r="B13" s="14" t="s">
        <v>42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8" x14ac:dyDescent="0.25">
      <c r="B14" t="s">
        <v>85</v>
      </c>
      <c r="C14" t="s">
        <v>43</v>
      </c>
      <c r="E14" s="6"/>
      <c r="F14" s="6"/>
      <c r="G14" s="6"/>
      <c r="H14" s="6"/>
      <c r="I14" s="6">
        <v>1789</v>
      </c>
      <c r="J14" s="6">
        <v>1878</v>
      </c>
      <c r="K14" s="15">
        <f>AVERAGE(L14:Y14)</f>
        <v>1769.2857142857142</v>
      </c>
      <c r="L14" s="16">
        <f>'Central sheet'!L23</f>
        <v>1870</v>
      </c>
      <c r="M14" s="16">
        <f>'Central sheet'!M23</f>
        <v>1850</v>
      </c>
      <c r="N14" s="16">
        <f>'Central sheet'!N23</f>
        <v>1800</v>
      </c>
      <c r="O14" s="16">
        <f>'Central sheet'!O23</f>
        <v>1750</v>
      </c>
      <c r="P14" s="16">
        <f>'Central sheet'!P23</f>
        <v>1750</v>
      </c>
      <c r="Q14" s="16">
        <f>'Central sheet'!Q23</f>
        <v>1750</v>
      </c>
      <c r="R14" s="16">
        <f>'Central sheet'!R23</f>
        <v>1750</v>
      </c>
      <c r="S14" s="16">
        <f>'Central sheet'!S23</f>
        <v>1750</v>
      </c>
      <c r="T14" s="16">
        <f>'Central sheet'!T23</f>
        <v>1750</v>
      </c>
      <c r="U14" s="16">
        <f>'Central sheet'!U23</f>
        <v>1750</v>
      </c>
      <c r="V14" s="16">
        <f>'Central sheet'!V23</f>
        <v>1750</v>
      </c>
      <c r="W14" s="16">
        <f>'Central sheet'!W23</f>
        <v>1750</v>
      </c>
      <c r="X14" s="16">
        <f>'Central sheet'!X23</f>
        <v>1750</v>
      </c>
      <c r="Y14" s="16">
        <f>'Central sheet'!Y23</f>
        <v>1750</v>
      </c>
      <c r="Z14" s="16"/>
    </row>
    <row r="15" spans="1:28" x14ac:dyDescent="0.25"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8" ht="15.75" thickBot="1" x14ac:dyDescent="0.3">
      <c r="B16" s="14" t="s">
        <v>56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2:26" x14ac:dyDescent="0.25">
      <c r="B17" t="s">
        <v>12</v>
      </c>
      <c r="C17" t="s">
        <v>57</v>
      </c>
      <c r="E17" s="6"/>
      <c r="F17" s="6"/>
      <c r="G17" s="6"/>
      <c r="H17" s="6"/>
      <c r="I17" s="6"/>
      <c r="J17" s="6">
        <v>300000</v>
      </c>
      <c r="K17" s="15">
        <f>F7</f>
        <v>172032</v>
      </c>
      <c r="L17" s="16">
        <f>J17-J29</f>
        <v>172032</v>
      </c>
      <c r="M17" s="16">
        <f>IF(L17-L28*91&gt;=0,L17-L28*91,0)</f>
        <v>42688</v>
      </c>
      <c r="N17" s="16">
        <f>IF(M17-M28*92&gt;=0,M17-M28*92,0)</f>
        <v>0</v>
      </c>
      <c r="O17" s="16">
        <f>IF(N17-N28*92&gt;=0,N17-N28*92,0)</f>
        <v>0</v>
      </c>
      <c r="P17" s="16">
        <f>IF(O17-O28*90&gt;=0,O17-O28*90,0)</f>
        <v>0</v>
      </c>
      <c r="Q17" s="16">
        <f>IF(P17-P28*275&gt;=0,P17-P28*275,0)</f>
        <v>0</v>
      </c>
      <c r="R17" s="16">
        <f>IF(Q17-Q28*366&gt;=0,Q17-Q28*366,0)</f>
        <v>0</v>
      </c>
      <c r="S17" s="16">
        <f>IF(R17-R28*365&gt;=0,R17-R28*365,0)</f>
        <v>0</v>
      </c>
      <c r="T17" s="16">
        <f t="shared" ref="T17:U17" si="0">IF(S17-S28*365&gt;=0,S17-S28*365,0)</f>
        <v>0</v>
      </c>
      <c r="U17" s="16">
        <f t="shared" si="0"/>
        <v>0</v>
      </c>
      <c r="V17" s="16">
        <f>IF(U17-U28*366&gt;=0,U17-U28*366,0)</f>
        <v>0</v>
      </c>
      <c r="W17" s="16">
        <f>IF(V17-V28*365&gt;=0,V17-V28*365,0)</f>
        <v>0</v>
      </c>
      <c r="X17" s="16">
        <f t="shared" ref="X17:Y17" si="1">IF(W17-W28*365&gt;=0,W17-W28*365,0)</f>
        <v>0</v>
      </c>
      <c r="Y17" s="16">
        <f t="shared" si="1"/>
        <v>0</v>
      </c>
      <c r="Z17" s="16"/>
    </row>
    <row r="18" spans="2:26" x14ac:dyDescent="0.25">
      <c r="B18" t="s">
        <v>16</v>
      </c>
      <c r="C18" t="s">
        <v>57</v>
      </c>
      <c r="E18" s="6"/>
      <c r="F18" s="6"/>
      <c r="G18" s="6"/>
      <c r="H18" s="6"/>
      <c r="I18" s="6"/>
      <c r="J18" s="6">
        <f>F8</f>
        <v>1826000</v>
      </c>
      <c r="K18" s="15">
        <f>F8</f>
        <v>1826000</v>
      </c>
      <c r="L18" s="16">
        <f>J18</f>
        <v>1826000</v>
      </c>
      <c r="M18" s="16">
        <f>IF(L17-L28*91&gt;=0,L18,IF(L18+L17-L28*91&gt;=0,L18+L17-L28*91,0))</f>
        <v>1826000</v>
      </c>
      <c r="N18" s="16">
        <f>IF(M17-M28*92&gt;=0,M18,IF(M18+M17-M28*92&gt;=0,M18+M17-M28*92,0))</f>
        <v>1739344</v>
      </c>
      <c r="O18" s="16">
        <f>IF(N17-N28*92&gt;=0,N18,IF(N18+N17-N28*92&gt;=0,N18+N17-N28*92,0))</f>
        <v>1610000</v>
      </c>
      <c r="P18" s="16">
        <f>IF(O17-O28*90&gt;=0,O18,IF(O18+O17-O28*90&gt;=0,O18+O17-O28*90,0))</f>
        <v>1482378.231973506</v>
      </c>
      <c r="Q18" s="16">
        <f>IF(P17-P28*275&gt;=0,P18,IF(P18+P17-P28*275&gt;=0,P18+P17-P28*275,0))</f>
        <v>1092422.8296703296</v>
      </c>
      <c r="R18" s="16">
        <f>IF(Q17-Q28*366&gt;=0,Q18,IF(Q18+Q17-Q28*366&gt;=0,Q18+Q17-Q28*366,0))</f>
        <v>573427.63969592028</v>
      </c>
      <c r="S18" s="16">
        <f>IF(R17-R28*365&gt;=0,R18,IF(R18+R17-R28*365&gt;=0,R18+R17-R28*365,0))</f>
        <v>55850.469366249919</v>
      </c>
      <c r="T18" s="16">
        <f>IF(S17-S28*365&gt;=0,S18,IF(S18+S17-S28*365&gt;=0,S18+S17-S28*365,0))</f>
        <v>0</v>
      </c>
      <c r="U18" s="16">
        <f>IF(T17-T28*365&gt;=0,T18,IF(T18+T17-T28*365&gt;=0,T18+T17-T28*365,0))</f>
        <v>0</v>
      </c>
      <c r="V18" s="16">
        <f>IF(U17-U28*366&gt;=0,U18,IF(U18+U17-U28*366&gt;=0,U18+U17-U28*366,0))</f>
        <v>0</v>
      </c>
      <c r="W18" s="16">
        <f>IF(V17-V28*365&gt;=0,V18,IF(V18+V17-V28*365&gt;=0,V18+V17-V28*365,0))</f>
        <v>0</v>
      </c>
      <c r="X18" s="16">
        <f t="shared" ref="X18:Y18" si="2">IF(W17-W28*365&gt;=0,W18,IF(W18+W17-W28*365&gt;=0,W18+W17-W28*365,0))</f>
        <v>0</v>
      </c>
      <c r="Y18" s="16">
        <f t="shared" si="2"/>
        <v>0</v>
      </c>
      <c r="Z18" s="16"/>
    </row>
    <row r="19" spans="2:26" x14ac:dyDescent="0.25">
      <c r="K19" s="26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2:26" ht="15.75" thickBot="1" x14ac:dyDescent="0.3">
      <c r="B20" s="14" t="s">
        <v>58</v>
      </c>
      <c r="K20" s="26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2:26" x14ac:dyDescent="0.25">
      <c r="B21" t="s">
        <v>13</v>
      </c>
      <c r="C21" t="s">
        <v>57</v>
      </c>
      <c r="J21" s="6">
        <f>K7*C7</f>
        <v>48000</v>
      </c>
      <c r="K21" s="15">
        <f>L21</f>
        <v>48000</v>
      </c>
      <c r="L21" s="16">
        <f>J21</f>
        <v>48000</v>
      </c>
      <c r="M21" s="16">
        <f>IF(SUM(L17:L18)-L28*91&gt;=0,L21,IF(SUM(L17:L18)+L21-L28*91&gt;=0,SUM(L17:L18)+L21-L28*91,0))</f>
        <v>48000</v>
      </c>
      <c r="N21" s="16">
        <f>IF(SUM(M17:M18)-M28*92&gt;=0,M21,IF(SUM(M17:M18)+M21-M28*92&gt;=0,SUM(M17:M18)+M21-M28*92,0))</f>
        <v>48000</v>
      </c>
      <c r="O21" s="16">
        <f>IF(SUM(N17:N18)-N28*92&gt;=0,N21,IF(SUM(N17:N18)+N21-N28*92&gt;=0,SUM(N17:N18)+N21-N28*92,0))</f>
        <v>48000</v>
      </c>
      <c r="P21" s="16">
        <f>IF(SUM(O17:O18)-O28*90&gt;=0,O21,IF(SUM(O17:O18)+O21-O28*90&gt;=0,SUM(O17:O18)+O21-O28*90,0))</f>
        <v>48000</v>
      </c>
      <c r="Q21" s="16">
        <f>IF(SUM(P17:P18)-P28*275&gt;=0,P21,IF(SUM(P17:P18)+P21-P28*275&gt;=0,SUM(P17:P18)+P21-P28*275,0))</f>
        <v>48000</v>
      </c>
      <c r="R21" s="16">
        <f>IF(SUM(Q17:Q18)-Q28*366&gt;=0,Q21,IF(SUM(Q17:Q18)+Q21-Q28*366&gt;=0,SUM(Q17:Q18)+Q21-Q28*366,0))</f>
        <v>48000</v>
      </c>
      <c r="S21" s="16">
        <f>IF(SUM(R17:R18)-R28*365&gt;=0,R21,IF(SUM(R17:R18)+R21-R28*365&gt;=0,SUM(R17:R18)+R21-R28*365,0))</f>
        <v>48000</v>
      </c>
      <c r="T21" s="16">
        <f>IF(SUM(S17:S18)-S28*365&gt;=0,S21,IF(SUM(S17:S18)+S21-S28*365&gt;=0,SUM(S17:S18)+S21-S28*365,0))</f>
        <v>0</v>
      </c>
      <c r="U21" s="16">
        <f>IF(SUM(T17:T18)-T28*365&gt;=0,T21,IF(SUM(T17:T18)+T21-T28*365&gt;=0,SUM(T17:T18)+T21-T28*365,0))</f>
        <v>0</v>
      </c>
      <c r="V21" s="16">
        <f>IF(SUM(U17:U18)-U28*366&gt;=0,U21,IF(SUM(U17:U18)+U21-U28*366&gt;=0,SUM(U17:U18)+U21-U28*366,0))</f>
        <v>0</v>
      </c>
      <c r="W21" s="16">
        <f>IF(SUM(V17:V18)-V28*365&gt;=0,V21,IF(SUM(V17:V18)+V21-V28*365&gt;=0,SUM(V17:V18)+V21-V28*365,0))</f>
        <v>0</v>
      </c>
      <c r="X21" s="16">
        <f>IF(SUM(W17:W18)-W28*365&gt;=0,W21,IF(SUM(W17:W18)+W21-W28*365&gt;=0,SUM(W17:W18)+W21-W28*365,0))</f>
        <v>0</v>
      </c>
      <c r="Y21" s="16">
        <f t="shared" ref="Y21" si="3">IF(SUM(X17:X18)-X28*365&gt;=0,X21,IF(SUM(X17:X18)+X21-X28*365&gt;=0,SUM(X17:X18)+X21-X28*365,0))</f>
        <v>0</v>
      </c>
      <c r="Z21" s="16"/>
    </row>
    <row r="22" spans="2:26" x14ac:dyDescent="0.25">
      <c r="B22" t="s">
        <v>17</v>
      </c>
      <c r="C22" t="s">
        <v>57</v>
      </c>
      <c r="J22" s="6">
        <f>K8*C8</f>
        <v>364800</v>
      </c>
      <c r="K22" s="15">
        <f>L22</f>
        <v>364800</v>
      </c>
      <c r="L22" s="16">
        <f>J22</f>
        <v>364800</v>
      </c>
      <c r="M22" s="16">
        <f>IF(SUM(L17:L18)+L21-L28*91&gt;=0,L22,IF(SUM(L17:L18)+SUM(L21:L22)-L28*91&gt;=0,SUM(L17:L18)+SUM(L21:L22)-L28*91,0))</f>
        <v>364800</v>
      </c>
      <c r="N22" s="16">
        <f>IF(SUM(M17:M18)+M21-M28*92&gt;=0,M22,IF(SUM(M17:M18)+SUM(M21:M22)-M28*92&gt;=0,SUM(M17:M18)+SUM(M21:M22)-M28*92,0))</f>
        <v>364800</v>
      </c>
      <c r="O22" s="16">
        <f>IF(SUM(N17:N18)+N21-N28*92&gt;=0,N22,IF(SUM(N17:N18)+SUM(N21:N22)-N28*92&gt;=0,SUM(N17:N18)+SUM(N21:N22)-N28*92,0))</f>
        <v>364800</v>
      </c>
      <c r="P22" s="16">
        <f>IF(SUM(O17:O18)+O21-O28*90&gt;=0,O22,IF(SUM(O17:O18)+SUM(O21:O22)-O28*90&gt;=0,SUM(O17:O18)+SUM(O21:O22)-O28*90,0))</f>
        <v>364800</v>
      </c>
      <c r="Q22" s="16">
        <f>IF(SUM(P17:P18)+P21-P28*275&gt;=0,P22,IF(SUM(P17:P18)+SUM(P21:P22)-P28*275&gt;=0,SUM(P17:P18)+SUM(P21:P22)-P28*275,0))</f>
        <v>364800</v>
      </c>
      <c r="R22" s="16">
        <f>IF(SUM(Q17:Q18)+Q21-Q28*366&gt;=0,Q22,IF(SUM(Q17:Q18)+SUM(Q21:Q22)-Q28*366&gt;=0,SUM(Q17:Q18)+SUM(Q21:Q22)-Q28*366,0))</f>
        <v>364800</v>
      </c>
      <c r="S22" s="16">
        <f>IF(SUM(R17:R18)+R21-R28*365&gt;=0,R22,IF(SUM(R17:R18)+SUM(R21:R22)-R28*365&gt;=0,SUM(R17:R18)+SUM(R21:R22)-R28*365,0))</f>
        <v>364800</v>
      </c>
      <c r="T22" s="16">
        <f>IF(SUM(S17:S18)+S21-S28*365&gt;=0,S22,IF(SUM(S17:S18)+SUM(S21:S22)-S28*365&gt;=0,SUM(S17:S18)+SUM(S21:S22)-S28*365,0))</f>
        <v>0</v>
      </c>
      <c r="U22" s="16">
        <f>IF(SUM(T17:T18)+T21-T28*365&gt;=0,T22,IF(SUM(T17:T18)+SUM(T21:T22)-T28*365&gt;=0,SUM(T17:T18)+SUM(T21:T22)-T28*365,0))</f>
        <v>0</v>
      </c>
      <c r="V22" s="16">
        <f>IF(SUM(U17:U18)+U21-U28*366&gt;=0,U22,IF(SUM(U17:U18)+SUM(U21:U22)-U28*366&gt;=0,SUM(U17:U18)+SUM(U21:U22)-U28*366,0))</f>
        <v>0</v>
      </c>
      <c r="W22" s="16">
        <f>IF(SUM(V17:V18)+V21-V28*365&gt;=0,V22,IF(SUM(V17:V18)+SUM(V21:V22)-V28*365&gt;=0,SUM(V17:V18)+SUM(V21:V22)-V28*365,0))</f>
        <v>0</v>
      </c>
      <c r="X22" s="16">
        <f>IF(SUM(W17:W18)+W21-W28*365&gt;=0,W22,IF(SUM(W17:W18)+SUM(W21:W22)-W28*365&gt;=0,SUM(W17:W18)+SUM(W21:W22)-W28*365,0))</f>
        <v>0</v>
      </c>
      <c r="Y22" s="16">
        <f t="shared" ref="Y22" si="4">IF(SUM(X17:X18)+X21-X28*365&gt;=0,X22,IF(SUM(X17:X18)+SUM(X21:X22)-X28*365&gt;=0,SUM(X17:X18)+SUM(X21:X22)-X28*365,0))</f>
        <v>0</v>
      </c>
      <c r="Z22" s="16"/>
    </row>
    <row r="23" spans="2:26" x14ac:dyDescent="0.25">
      <c r="K23" s="26"/>
      <c r="L23" s="13"/>
      <c r="M23" s="66"/>
      <c r="N23" s="66"/>
      <c r="O23" s="66"/>
      <c r="P23" s="66"/>
      <c r="Q23" s="66"/>
      <c r="R23" s="13"/>
      <c r="S23" s="13"/>
      <c r="T23" s="13"/>
      <c r="U23" s="13"/>
      <c r="V23" s="13"/>
      <c r="W23" s="13"/>
      <c r="X23" s="13"/>
      <c r="Y23" s="13"/>
      <c r="Z23" s="13"/>
    </row>
    <row r="24" spans="2:26" ht="15.75" thickBot="1" x14ac:dyDescent="0.3">
      <c r="B24" s="14" t="s">
        <v>59</v>
      </c>
      <c r="K24" s="26"/>
      <c r="L24" s="13"/>
      <c r="M24" s="66"/>
      <c r="N24" s="66"/>
      <c r="O24" s="66"/>
      <c r="P24" s="66"/>
      <c r="Q24" s="66"/>
      <c r="R24" s="13"/>
      <c r="S24" s="13"/>
      <c r="T24" s="13"/>
      <c r="U24" s="13"/>
      <c r="V24" s="13"/>
      <c r="W24" s="13"/>
      <c r="X24" s="13"/>
      <c r="Y24" s="13"/>
      <c r="Z24" s="13"/>
    </row>
    <row r="25" spans="2:26" x14ac:dyDescent="0.25">
      <c r="B25" t="s">
        <v>60</v>
      </c>
      <c r="C25" t="s">
        <v>57</v>
      </c>
      <c r="J25" s="6">
        <f>P7*C9</f>
        <v>0</v>
      </c>
      <c r="K25" s="15">
        <f>L25</f>
        <v>0</v>
      </c>
      <c r="L25" s="16">
        <f>J25</f>
        <v>0</v>
      </c>
      <c r="M25" s="16">
        <f>IF(SUM(L17:L18)+SUM(L21:L22)-L28*91&gt;=0,L25,IF(SUM(L17:L18)+SUM(L21:L22)+L25-L28*91&gt;=0,SUM(L17:L18)+SUM(L21:L22)+L25-L28*91,0))</f>
        <v>0</v>
      </c>
      <c r="N25" s="16">
        <f>IF(SUM(M17:M18)+SUM(M21:M22)-M28*92&gt;=0,M25,IF(SUM(M17:M18)+SUM(M21:M22)+M25-M28*92&gt;=0,SUM(M17:M18)+SUM(M21:M22)+M25-M28*92,0))</f>
        <v>0</v>
      </c>
      <c r="O25" s="16">
        <f>IF(SUM(N17:N18)+SUM(N21:N22)-N28*92&gt;=0,N25,IF(SUM(N17:N18)+SUM(N21:N22)+N25-N28*92&gt;=0,SUM(N17:N18)+SUM(N21:N22)+N25-N28*92,0))</f>
        <v>0</v>
      </c>
      <c r="P25" s="16">
        <f>IF(SUM(O17:O18)+SUM(O21:O22)-O28*90&gt;=0,O25,IF(SUM(O17:O18)+SUM(O21:O22)+O25-O28*90&gt;=0,SUM(O17:O18)+SUM(O21:O22)+O25-O28*90,0))</f>
        <v>0</v>
      </c>
      <c r="Q25" s="16">
        <f>IF(SUM(P17:P18)+SUM(P21:P22)-P28*275&gt;=0,P25,IF(SUM(P17:P18)+SUM(P21:P22)+P25-P28*275&gt;=0,SUM(P17:P18)+SUM(P21:P22)+P25-P28*275,0))</f>
        <v>0</v>
      </c>
      <c r="R25" s="16">
        <f>IF(SUM(Q17:Q18)+SUM(Q21:Q22)-Q28*366&gt;=0,Q25,IF(SUM(Q17:Q18)+SUM(Q21:Q22)+Q25-Q28*366&gt;=0,SUM(Q17:Q18)+SUM(Q21:Q22)+Q25-Q28*366,0))</f>
        <v>0</v>
      </c>
      <c r="S25" s="16">
        <f>IF(SUM(R17:R18)+SUM(R21:R22)-R28*365&gt;=0,R25,IF(SUM(R17:R18)+SUM(R21:R22)+R25-R28*365&gt;=0,SUM(R17:R18)+SUM(R21:R22)+R25-R28*365,0))</f>
        <v>0</v>
      </c>
      <c r="T25" s="16">
        <f>IF(SUM(S17:S18)+SUM(S21:S22)-S28*365&gt;=0,S25,IF(SUM(S17:S18)+SUM(S21:S22)+S25-S28*365&gt;=0,SUM(S17:S18)+SUM(S21:S22)+S25-S28*365,0))</f>
        <v>0</v>
      </c>
      <c r="U25" s="16">
        <f>IF(SUM(T17:T18)+SUM(T21:T22)-T28*365&gt;=0,T25,IF(SUM(T17:T18)+SUM(T21:T22)+T25-T28*365&gt;=0,SUM(T17:T18)+SUM(T21:T22)+T25-T28*365,0))</f>
        <v>0</v>
      </c>
      <c r="V25" s="16">
        <f>IF(SUM(U17:U18)+SUM(U21:U22)-U28*366&gt;=0,U25,IF(SUM(U17:U18)+SUM(U21:U22)+U25-U28*366&gt;=0,SUM(U17:U18)+SUM(U21:U22)+U25-U28*366,0))</f>
        <v>0</v>
      </c>
      <c r="W25" s="16">
        <f>IF(SUM(V17:V18)+SUM(V21:V22)-V28*365&gt;=0,V25,IF(SUM(V17:V18)+SUM(V21:V22)+V25-V28*365&gt;=0,SUM(V17:V18)+SUM(V21:V22)+V25-V28*365,0))</f>
        <v>0</v>
      </c>
      <c r="X25" s="16">
        <f>IF(SUM(W17:W18)+SUM(W21:W22)-W28*365&gt;=0,W25,IF(SUM(W17:W18)+SUM(W21:W22)+W25-W28*365&gt;=0,SUM(W17:W18)+SUM(W21:W22)+W25-W28*365,0))</f>
        <v>0</v>
      </c>
      <c r="Y25" s="16">
        <f t="shared" ref="Y25" si="5">IF(SUM(X17:X18)+SUM(X21:X22)-X28*365&gt;=0,X25,IF(SUM(X17:X18)+SUM(X21:X22)+X25-X28*365&gt;=0,SUM(X17:X18)+SUM(X21:X22)+X25-X28*365,0))</f>
        <v>0</v>
      </c>
      <c r="Z25" s="16"/>
    </row>
    <row r="26" spans="2:26" x14ac:dyDescent="0.25">
      <c r="K26" s="26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2:26" ht="15.75" thickBot="1" x14ac:dyDescent="0.3">
      <c r="B27" s="14" t="s">
        <v>61</v>
      </c>
      <c r="K27" s="26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2:26" x14ac:dyDescent="0.25">
      <c r="B28" t="s">
        <v>62</v>
      </c>
      <c r="C28" t="s">
        <v>63</v>
      </c>
      <c r="I28" s="6">
        <f>I29/182</f>
        <v>1422.3406593406594</v>
      </c>
      <c r="J28" s="6">
        <f>J29/90</f>
        <v>1421.8666666666666</v>
      </c>
      <c r="K28" s="15">
        <f>AVERAGE(L28:Y28)</f>
        <v>1416.5289154604434</v>
      </c>
      <c r="L28" s="16">
        <f>L29/91</f>
        <v>1421.3626373626373</v>
      </c>
      <c r="M28" s="16">
        <f>M29/92</f>
        <v>1405.9130434782608</v>
      </c>
      <c r="N28" s="16">
        <f>N29/92</f>
        <v>1405.9130434782608</v>
      </c>
      <c r="O28" s="16">
        <f>($I$28+($J$29+SUM($L$29:$N$29))/365)/2</f>
        <v>1418.019644738823</v>
      </c>
      <c r="P28" s="16">
        <f t="shared" ref="P28:Y28" si="6">($I$28+($J$29+SUM($L$29:$N$29))/365)/2</f>
        <v>1418.019644738823</v>
      </c>
      <c r="Q28" s="16">
        <f t="shared" si="6"/>
        <v>1418.019644738823</v>
      </c>
      <c r="R28" s="16">
        <f t="shared" si="6"/>
        <v>1418.019644738823</v>
      </c>
      <c r="S28" s="16">
        <f t="shared" si="6"/>
        <v>1418.019644738823</v>
      </c>
      <c r="T28" s="16">
        <f t="shared" si="6"/>
        <v>1418.019644738823</v>
      </c>
      <c r="U28" s="16">
        <f t="shared" si="6"/>
        <v>1418.019644738823</v>
      </c>
      <c r="V28" s="16">
        <f t="shared" si="6"/>
        <v>1418.019644738823</v>
      </c>
      <c r="W28" s="16">
        <f t="shared" si="6"/>
        <v>1418.019644738823</v>
      </c>
      <c r="X28" s="16">
        <f t="shared" si="6"/>
        <v>1418.019644738823</v>
      </c>
      <c r="Y28" s="16">
        <f t="shared" si="6"/>
        <v>1418.019644738823</v>
      </c>
      <c r="Z28" s="16"/>
    </row>
    <row r="29" spans="2:26" x14ac:dyDescent="0.25">
      <c r="B29" t="s">
        <v>64</v>
      </c>
      <c r="C29" t="s">
        <v>57</v>
      </c>
      <c r="E29" s="6"/>
      <c r="F29" s="6"/>
      <c r="G29" s="6"/>
      <c r="H29" s="6"/>
      <c r="I29" s="6">
        <v>258866</v>
      </c>
      <c r="J29" s="6">
        <v>127968</v>
      </c>
      <c r="K29" s="15">
        <f>SUM(L29:Y29)</f>
        <v>2410832</v>
      </c>
      <c r="L29" s="16">
        <f>(516000-$J$29)/3</f>
        <v>129344</v>
      </c>
      <c r="M29" s="16">
        <f t="shared" ref="M29:N29" si="7">(516000-$J$29)/3</f>
        <v>129344</v>
      </c>
      <c r="N29" s="16">
        <f t="shared" si="7"/>
        <v>129344</v>
      </c>
      <c r="O29" s="16">
        <f>IF(O28*90&gt;=O25+SUM(O21:O22)+SUM(O17:O18),O25+SUM(O21:O22)+SUM(O17:O18),O28*90)</f>
        <v>127621.76802649407</v>
      </c>
      <c r="P29" s="16">
        <f>IF(P28*275&gt;=P25+SUM(P21:P22)+SUM(P17:P18),P25+SUM(P21:P22)+SUM(P17:P18),P28*275)</f>
        <v>389955.40230317635</v>
      </c>
      <c r="Q29" s="16">
        <f>IF(Q28*366&gt;=Q25+SUM(Q21:Q22)+SUM(Q17:Q18),Q25+SUM(Q21:Q22)+SUM(Q17:Q18),Q28*366)</f>
        <v>518995.18997440924</v>
      </c>
      <c r="R29" s="16">
        <f>IF(R28*365&gt;=R25+SUM(R21:R22)+SUM(R17:R18),R25+SUM(R21:R22)+SUM(R17:R18),R28*365)</f>
        <v>517577.17032967036</v>
      </c>
      <c r="S29" s="16">
        <f t="shared" ref="S29:X29" si="8">IF(S28*365&gt;=S25+SUM(S21:S22)+SUM(S17:S18),S25+SUM(S21:S22)+SUM(S17:S18),S28*365)</f>
        <v>468650.46936624992</v>
      </c>
      <c r="T29" s="16">
        <f t="shared" si="8"/>
        <v>0</v>
      </c>
      <c r="U29" s="16">
        <f>IF(U28*366&gt;=U25+SUM(U21:U22)+SUM(U17:U18),U25+SUM(U21:U22)+SUM(U17:U18),U28*366)</f>
        <v>0</v>
      </c>
      <c r="V29" s="16">
        <f t="shared" si="8"/>
        <v>0</v>
      </c>
      <c r="W29" s="16">
        <f t="shared" si="8"/>
        <v>0</v>
      </c>
      <c r="X29" s="16">
        <f t="shared" si="8"/>
        <v>0</v>
      </c>
      <c r="Y29" s="16">
        <f>IF(Y28*366&gt;=Y25+SUM(Y21:Y22)+SUM(Y17:Y18),Y25+SUM(Y21:Y22)+SUM(Y17:Y18),Y28*366)</f>
        <v>0</v>
      </c>
      <c r="Z29" s="16"/>
    </row>
    <row r="30" spans="2:26" x14ac:dyDescent="0.25">
      <c r="B30" t="s">
        <v>67</v>
      </c>
      <c r="C30" t="s">
        <v>66</v>
      </c>
      <c r="I30">
        <v>7.13</v>
      </c>
      <c r="J30" s="11">
        <v>7.5</v>
      </c>
      <c r="K30" s="56">
        <f>AVERAGEIF(L30:Y30,"&gt;0")</f>
        <v>6.7855534573870884</v>
      </c>
      <c r="L30" s="24">
        <v>6.2</v>
      </c>
      <c r="M30" s="24">
        <v>6.2</v>
      </c>
      <c r="N30" s="24">
        <v>6.2</v>
      </c>
      <c r="O30" s="13">
        <f>G8</f>
        <v>7.27</v>
      </c>
      <c r="P30" s="24">
        <f>IF(P17&gt;=P28*275,$G$7,IF(AND(P17=0,P18&gt;=P28*275),$G$8,IF(AND(P17+P18=0,P21&gt;=P28*275),$L$7,IF(AND(SUM(P17:P18)+P21=0,P22&gt;=P28*275),$L$8,IF(AND(SUM(P17:P18)+SUM(P21:P22)=0,P25&gt;=P28*275),$Q$7,IF(SUM(P17:P18)+SUM(P21:P22)+P25=0,0,IF(AND(P28*275&gt;SUM(P17:P18),SUM(P17:P18)+P21&gt;=P28*275),(P17*$G$7+P18*$G$8+(P21-Q21)*$L$7)/(P28*275),IF(AND(P28*275&gt;P18+P21,P18+SUM(P21:P22)&gt;=P28*275),(P18*$G$8+P21*$L$7+(P22-Q22)*$L$8)/(P28*275),IF(AND(P28*275&gt;SUM(P21:P22),SUM(P21:P22)+P25&gt;=P28*275),(P21*$L$7+P22*$L$8+(P25-Q25)*$Q$7)/(P28*275),IF(AND(P28*275&gt;P17,P17+P18&gt;=P28*275),(P17*$G$7+(P18-Q18)*$G$8)/(P28*275),IF(AND(P28*275&gt;P18,P18+P21&gt;=P28*275),(P18*$G$8+(P21-Q21)*$L$7)/(P28*275),IF(AND(P28*275&gt;P21,SUM(P21:P22)&gt;=P28*275),(P21*$L$7+(P22-Q22)*$L$8)/(P28*275),IF(AND(P28*275&gt;P22,P22+P25&gt;=P28*275),(P22*$L$8+(P25-Q25)*$Q$7)/(P28*275),IF(AND(P17&gt;0,P18&gt;0,P28*275&gt;SUM(P17:P18)),(P17*$G$7+P18*$G$8)/SUM(P17:P18),IF(AND(P18&gt;0,P21&gt;0,P28*275&gt;SUM(P18:P21)),(P18*$G$8+P21*$L$7)/SUM(P18:P21),IF(AND(P21&gt;0,P22&gt;0,P28*275&gt;SUM(P21:P22)),(P21*$L$7+P22*$L$8)/SUM(P21:P22),IF(AND(P22&gt;0,P25&gt;0,P28*275&gt;SUM(P22:P25)),(P22*$L$8+P25*$Q$7)/SUM(P22:P25),IF(AND(P18&gt;0,P28*275&gt;P18),$G$8,IF(AND(P21&gt;0,P28*275&gt;P21),$L$7,IF(AND(P22&gt;0,P28*275&gt;P22),$L$8,IF(AND(P25&gt;0,P28*275&gt;P25),$Q$7)))))))))))))))))))))</f>
        <v>7.27</v>
      </c>
      <c r="Q30" s="24">
        <f>IF(Q17&gt;=Q28*366,$G$7,IF(AND(Q17=0,Q18&gt;=Q28*366),$G$8,IF(AND(Q17+Q18=0,Q21&gt;=Q28*366),$L$7,IF(AND(SUM(Q17:Q18)+Q21=0,Q22&gt;=Q28*366),$L$8,IF(AND(SUM(Q17:Q18)+SUM(Q21:Q22)=0,Q25&gt;=Q28*366),$Q$7,IF(SUM(Q17:Q18)+SUM(Q21:Q22)+Q25=0,0,IF(AND(Q28*366&gt;SUM(Q17:Q18),SUM(Q17:Q18)+Q21&gt;=Q28*366),(Q17*$G$7+Q18*$G$8+(Q21-R21)*$L$7)/(Q28*366),IF(AND(Q28*366&gt;Q18+Q21,Q18+SUM(Q21:Q22)&gt;=Q28*366),(Q18*$G$8+Q21*$L$7+(Q22-R22)*$L$8)/(Q28*366),IF(AND(Q28*366&gt;SUM(Q21:Q22),SUM(Q21:Q22)+Q25&gt;=Q28*366),(Q21*$L$7+Q22*$L$8+(Q25-R25)*$Q$7)/(Q28*366),IF(AND(Q28*366&gt;Q17,Q17+Q18&gt;=Q28*366),(Q17*$G$7+(Q18-R18)*$G$8)/(Q28*366),IF(AND(Q28*366&gt;Q18,Q18+Q21&gt;=Q28*366),(Q18*$G$8+(Q21-R21)*$L$7)/(Q28*366),IF(AND(Q28*366&gt;Q21,SUM(Q21:Q22)&gt;=Q28*366),(Q21*$L$7+(Q22-R22)*$L$8)/(Q28*366),IF(AND(Q28*366&gt;Q22,Q22+Q25&gt;=Q28*366),(Q22*$L$8+(Q25-R25)*$Q$7)/(Q28*366),IF(AND(Q17&gt;0,Q18&gt;0,Q28*366&gt;SUM(Q17:Q18)),(Q17*$G$7+Q18*$G$8)/SUM(Q17:Q18),IF(AND(Q18&gt;0,Q21&gt;0,Q28*366&gt;SUM(Q18:Q21)),(Q18*$G$8+Q21*$L$7)/SUM(Q18:Q21),IF(AND(Q21&gt;0,Q22&gt;0,Q28*366&gt;SUM(Q21:Q22)),(Q21*$L$7+Q22*$L$8)/SUM(Q21:Q22),IF(AND(Q22&gt;0,Q25&gt;0,Q28*366&gt;SUM(Q22:Q25)),(Q22*$L$8+Q25*$Q$7)/SUM(Q22:Q25),IF(AND(Q18&gt;0,Q28*366&gt;Q18),$G$8,IF(AND(Q21&gt;0,Q28*366&gt;Q21),$L$7,IF(AND(Q22&gt;0,Q28*366&gt;Q22),$L$8,IF(AND(Q25&gt;0,Q28*366&gt;Q25),$Q$7)))))))))))))))))))))</f>
        <v>7.27</v>
      </c>
      <c r="R30" s="24">
        <f>IF(R17&gt;=R28*365,$G$7,IF(AND(R17=0,R18&gt;=R28*365),$G$8,IF(AND(R17+R18=0,R21&gt;=R28*365),$L$7,IF(AND(SUM(R17:R18)+R21=0,R22&gt;=R28*365),$L$8,IF(AND(SUM(R17:R18)+SUM(R21:R22)=0,R25&gt;=R28*365),$Q$7,IF(SUM(R17:R18)+SUM(R21:R22)+R25=0,0,IF(AND(R28*365&gt;SUM(R17:R18),SUM(R17:R18)+R21&gt;=R28*365),(R17*$G$7+R18*$G$8+(R21-S21)*$L$7)/(R28*365),IF(AND(R28*365&gt;R18+R21,R18+SUM(R21:R22)&gt;=R28*365),(R18*$G$8+R21*$L$7+(R22-S22)*$L$8)/(R28*365),IF(AND(R28*365&gt;SUM(R21:R22),SUM(R21:R22)+R25&gt;=R28*365),(R21*$L$7+R22*$L$8+(R25-S25)*$Q$7)/(R28*365),IF(AND(R28*365&gt;R17,R17+R18&gt;=R28*365),(R17*$G$7+(R18-S18)*$G$8)/(R28*365),IF(AND(R28*365&gt;R18,R18+R21&gt;=R28*365),(R18*$G$8+(R21-S21)*$L$7)/(R28*365),IF(AND(R28*365&gt;R21,SUM(R21:R22)&gt;=R28*365),(R21*$L$7+(R22-S22)*$L$8)/(R28*365),IF(AND(R28*365&gt;R22,R22+R25&gt;=R28*365),(R22*$L$8+(R25-S25)*$Q$7)/(R28*365),IF(AND(R17&gt;0,R18&gt;0,R28*365&gt;SUM(R17:R18)),(R17*$G$7+R18*$G$8)/SUM(R17:R18),IF(AND(R18&gt;0,R21&gt;0,R28*365&gt;SUM(R18:R21)),(R18*$G$8+R21*$L$7)/SUM(R18:R21),IF(AND(R21&gt;0,R22&gt;0,R28*365&gt;SUM(R21:R22)),(R21*$L$7+R22*$L$8)/SUM(R21:R22),IF(AND(R22&gt;0,R25&gt;0,R28*365&gt;SUM(R22:R25)),(R22*$L$8+R25*$Q$7)/SUM(R22:R25),IF(AND(R18&gt;0,R28*365&gt;R18),$G$8,IF(AND(R21&gt;0,R28*365&gt;R21),$L$7,IF(AND(R22&gt;0,R28*365&gt;R22),$L$8,IF(AND(R25&gt;0,R28*365&gt;R25),$Q$7)))))))))))))))))))))</f>
        <v>7.27</v>
      </c>
      <c r="S30" s="24">
        <f t="shared" ref="S30:X30" si="9">IF(S17&gt;=S28*365,$G$7,IF(AND(S17=0,S18&gt;=S28*365),$G$8,IF(AND(S17+S18=0,S21&gt;=S28*365),$L$7,IF(AND(SUM(S17:S18)+S21=0,S22&gt;=S28*365),$L$8,IF(AND(SUM(S17:S18)+SUM(S21:S22)=0,S25&gt;=S28*365),$Q$7,IF(SUM(S17:S18)+SUM(S21:S22)+S25=0,0,IF(AND(S28*365&gt;SUM(S17:S18),SUM(S17:S18)+S21&gt;=S28*365),(S17*$G$7+S18*$G$8+(S21-T21)*$L$7)/(S28*365),IF(AND(S28*365&gt;S18+S21,S18+SUM(S21:S22)&gt;=S28*365),(S18*$G$8+S21*$L$7+(S22-T22)*$L$8)/(S28*365),IF(AND(S28*365&gt;SUM(S21:S22),SUM(S21:S22)+S25&gt;=S28*365),(S21*$L$7+S22*$L$8+(S25-T25)*$Q$7)/(S28*365),IF(AND(S28*365&gt;S17,S17+S18&gt;=S28*365),(S17*$G$7+(S18-T18)*$G$8)/(S28*365),IF(AND(S28*365&gt;S18,S18+S21&gt;=S28*365),(S18*$G$8+(S21-T21)*$L$7)/(S28*365),IF(AND(S28*365&gt;S21,SUM(S21:S22)&gt;=S28*365),(S21*$L$7+(S22-T22)*$L$8)/(S28*365),IF(AND(S28*365&gt;S22,S22+S25&gt;=S28*365),(S22*$L$8+(S25-T25)*$Q$7)/(S28*365),IF(AND(S17&gt;0,S18&gt;0,S28*365&gt;SUM(S17:S18)),(S17*$G$7+S18*$G$8)/SUM(S17:S18),IF(AND(S18&gt;0,S21&gt;0,S28*365&gt;SUM(S18:S21)),(S18*$G$8+S21*$L$7)/SUM(S18:S21),IF(AND(S21&gt;0,S22&gt;0,S28*365&gt;SUM(S21:S22)),(S21*$L$7+S22*$L$8)/SUM(S21:S22),IF(AND(S22&gt;0,S25&gt;0,S28*365&gt;SUM(S22:S25)),(S22*$L$8+S25*$Q$7)/SUM(S22:S25),IF(AND(S18&gt;0,S28*365&gt;S18),$G$8,IF(AND(S21&gt;0,S28*365&gt;S21),$L$7,IF(AND(S22&gt;0,S28*365&gt;S22),$L$8,IF(AND(S25&gt;0,S28*365&gt;S25),$Q$7)))))))))))))))))))))</f>
        <v>6.6044276590967135</v>
      </c>
      <c r="T30" s="24">
        <f t="shared" si="9"/>
        <v>0</v>
      </c>
      <c r="U30" s="24">
        <f>IF(U17&gt;=U28*366,$G$7,IF(AND(U17=0,U18&gt;=U28*366),$G$8,IF(AND(U17+U18=0,U21&gt;=U28*366),$L$7,IF(AND(SUM(U17:U18)+U21=0,U22&gt;=U28*366),$L$8,IF(AND(SUM(U17:U18)+SUM(U21:U22)=0,U25&gt;=U28*366),$Q$7,IF(SUM(U17:U18)+SUM(U21:U22)+U25=0,0,IF(AND(U28*366&gt;SUM(U17:U18),SUM(U17:U18)+U21&gt;=U28*366),(U17*$G$7+U18*$G$8+(U21-V21)*$L$7)/(U28*366),IF(AND(U28*366&gt;U18+U21,U18+SUM(U21:U22)&gt;=U28*366),(U18*$G$8+U21*$L$7+(U22-V22)*$L$8)/(U28*366),IF(AND(U28*366&gt;SUM(U21:U22),SUM(U21:U22)+U25&gt;=U28*366),(U21*$L$7+U22*$L$8+(U25-V25)*$Q$7)/(U28*366),IF(AND(U28*366&gt;U17,U17+U18&gt;=U28*366),(U17*$G$7+(U18-V18)*$G$8)/(U28*366),IF(AND(U28*366&gt;U18,U18+U21&gt;=U28*366),(U18*$G$8+(U21-V21)*$L$7)/(U28*366),IF(AND(U28*366&gt;U21,SUM(U21:U22)&gt;=U28*366),(U21*$L$7+(U22-V22)*$L$8)/(U28*366),IF(AND(U28*366&gt;U22,U22+U25&gt;=U28*366),(U22*$L$8+(U25-V25)*$Q$7)/(U28*366),IF(AND(U17&gt;0,U18&gt;0,U28*366&gt;SUM(U17:U18)),(U17*$G$7+U18*$G$8)/SUM(U17:U18),IF(AND(U18&gt;0,U21&gt;0,U28*366&gt;SUM(U18:U21)),(U18*$G$8+U21*$L$7)/SUM(U18:U21),IF(AND(U21&gt;0,U22&gt;0,U28*366&gt;SUM(U21:U22)),(U21*$L$7+U22*$L$8)/SUM(U21:U22),IF(AND(U22&gt;0,U25&gt;0,U28*366&gt;SUM(U22:U25)),(U22*$L$8+U25*$Q$7)/SUM(U22:U25),IF(AND(U18&gt;0,U28*366&gt;U18),$G$8,IF(AND(U21&gt;0,U28*366&gt;U21),$L$7,IF(AND(U22&gt;0,U28*366&gt;U22),$L$8,IF(AND(U25&gt;0,U28*366&gt;U25),$Q$7)))))))))))))))))))))</f>
        <v>0</v>
      </c>
      <c r="V30" s="24">
        <f t="shared" si="9"/>
        <v>0</v>
      </c>
      <c r="W30" s="24">
        <f t="shared" si="9"/>
        <v>0</v>
      </c>
      <c r="X30" s="24">
        <f t="shared" si="9"/>
        <v>0</v>
      </c>
      <c r="Y30" s="24">
        <f>IF(Y17&gt;=Y28*366,$G$7,IF(AND(Y17=0,Y18&gt;=Y28*366),$G$8,IF(AND(Y17+Y18=0,Y21&gt;=Y28*366),$L$7,IF(AND(SUM(Y17:Y18)+Y21=0,Y22&gt;=Y28*366),$L$8,IF(AND(SUM(Y17:Y18)+SUM(Y21:Y22)=0,Y25&gt;=Y28*366),$Q$7,IF(SUM(Y17:Y18)+SUM(Y21:Y22)+Y25=0,0,IF(AND(Y28*366&gt;SUM(Y17:Y18),SUM(Y17:Y18)+Y21&gt;=Y28*366),(Y17*$G$7+Y18*$G$8+(Y21-Z21)*$L$7)/(Y28*366),IF(AND(Y28*366&gt;Y18+Y21,Y18+SUM(Y21:Y22)&gt;=Y28*366),(Y18*$G$8+Y21*$L$7+(Y22-Z22)*$L$8)/(Y28*366),IF(AND(Y28*366&gt;SUM(Y21:Y22),SUM(Y21:Y22)+Y25&gt;=Y28*366),(Y21*$L$7+Y22*$L$8+(Y25-Z25)*$Q$7)/(Y28*366),IF(AND(Y28*366&gt;Y17,Y17+Y18&gt;=Y28*366),(Y17*$G$7+(Y18-Z18)*$G$8)/(Y28*366),IF(AND(Y28*366&gt;Y18,Y18+Y21&gt;=Y28*366),(Y18*$G$8+(Y21-Z21)*$L$7)/(Y28*366),IF(AND(Y28*366&gt;Y21,SUM(Y21:Y22)&gt;=Y28*366),(Y21*$L$7+(Y22-Z22)*$L$8)/(Y28*366),IF(AND(Y28*366&gt;Y22,Y22+Y25&gt;=Y28*366),(Y22*$L$8+(Y25-Z25)*$Q$7)/(Y28*366),IF(AND(Y17&gt;0,Y18&gt;0,Y28*366&gt;SUM(Y17:Y18)),(Y17*$G$7+Y18*$G$8)/SUM(Y17:Y18),IF(AND(Y18&gt;0,Y21&gt;0,Y28*366&gt;SUM(Y18:Y21)),(Y18*$G$8+Y21*$L$7)/SUM(Y18:Y21),IF(AND(Y21&gt;0,Y22&gt;0,Y28*366&gt;SUM(Y21:Y22)),(Y21*$L$7+Y22*$L$8)/SUM(Y21:Y22),IF(AND(Y22&gt;0,Y25&gt;0,Y28*366&gt;SUM(Y22:Y25)),(Y22*$L$8+Y25*$Q$7)/SUM(Y22:Y25),IF(AND(Y18&gt;0,Y28*366&gt;Y18),$G$8,IF(AND(Y21&gt;0,Y28*366&gt;Y21),$L$7,IF(AND(Y22&gt;0,Y28*366&gt;Y22),$L$8,IF(AND(Y25&gt;0,Y28*366&gt;Y25),$Q$7)))))))))))))))))))))</f>
        <v>0</v>
      </c>
      <c r="Z30" s="13"/>
    </row>
    <row r="31" spans="2:26" x14ac:dyDescent="0.25">
      <c r="K31" s="26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2:26" ht="15.75" thickBot="1" x14ac:dyDescent="0.3">
      <c r="B32" s="14" t="s">
        <v>82</v>
      </c>
      <c r="K32" s="26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x14ac:dyDescent="0.25">
      <c r="B33" t="s">
        <v>85</v>
      </c>
      <c r="C33" t="s">
        <v>84</v>
      </c>
      <c r="I33" s="6">
        <f>I29*I30/Auxiliary!$C$4</f>
        <v>59341.101699601641</v>
      </c>
      <c r="J33" s="6">
        <f>J29*J30/Auxiliary!$C$4</f>
        <v>30857.00052670639</v>
      </c>
      <c r="K33" s="15">
        <f>SUM(L33:Y33)</f>
        <v>540120.76264215203</v>
      </c>
      <c r="L33" s="16">
        <f>L29*L30/Auxiliary!$C$4</f>
        <v>25782.738217870232</v>
      </c>
      <c r="M33" s="16">
        <f>M29*M30/Auxiliary!$C$4</f>
        <v>25782.738217870232</v>
      </c>
      <c r="N33" s="16">
        <f>N29*N30/Auxiliary!$C$4</f>
        <v>25782.738217870232</v>
      </c>
      <c r="O33" s="16">
        <f>O29*O30/Auxiliary!$C$4</f>
        <v>29829.792325744493</v>
      </c>
      <c r="P33" s="16">
        <f>P29*P30/Auxiliary!$C$4</f>
        <v>91146.587661997066</v>
      </c>
      <c r="Q33" s="16">
        <f>Q29*Q30/Auxiliary!$C$4</f>
        <v>121307.82212469427</v>
      </c>
      <c r="R33" s="16">
        <f>R29*R30/Auxiliary!$C$4</f>
        <v>120976.37998774154</v>
      </c>
      <c r="S33" s="16">
        <f>S29*S30/Auxiliary!$C$4</f>
        <v>99511.965888363906</v>
      </c>
      <c r="T33" s="16">
        <f>T29*T30/Auxiliary!$C$4</f>
        <v>0</v>
      </c>
      <c r="U33" s="16">
        <f>U29*U30/Auxiliary!$C$4</f>
        <v>0</v>
      </c>
      <c r="V33" s="16">
        <f>V29*V30/Auxiliary!$C$4</f>
        <v>0</v>
      </c>
      <c r="W33" s="16">
        <f>W29*W30/Auxiliary!$C$4</f>
        <v>0</v>
      </c>
      <c r="X33" s="16">
        <f>X29*X30/Auxiliary!$C$4</f>
        <v>0</v>
      </c>
      <c r="Y33" s="16">
        <f>Y29*Y30/Auxiliary!$C$4</f>
        <v>0</v>
      </c>
      <c r="Z33" s="16"/>
    </row>
    <row r="34" spans="2:26" x14ac:dyDescent="0.25">
      <c r="K34" s="26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2:26" ht="15.75" thickBot="1" x14ac:dyDescent="0.3">
      <c r="B35" s="14" t="s">
        <v>86</v>
      </c>
      <c r="K35" s="26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2:26" x14ac:dyDescent="0.25">
      <c r="B36" t="s">
        <v>85</v>
      </c>
      <c r="C36" t="s">
        <v>70</v>
      </c>
      <c r="I36" s="18">
        <f>I39/I33</f>
        <v>0.96961462379432461</v>
      </c>
      <c r="J36" s="21">
        <v>0.98</v>
      </c>
      <c r="K36" s="64">
        <f>AVERAGE(L36:Y36)</f>
        <v>0.98000000000000032</v>
      </c>
      <c r="L36" s="34">
        <v>0.98</v>
      </c>
      <c r="M36" s="34">
        <f>L36</f>
        <v>0.98</v>
      </c>
      <c r="N36" s="34">
        <f t="shared" ref="N36:Y36" si="10">M36</f>
        <v>0.98</v>
      </c>
      <c r="O36" s="34">
        <f t="shared" si="10"/>
        <v>0.98</v>
      </c>
      <c r="P36" s="34">
        <f t="shared" si="10"/>
        <v>0.98</v>
      </c>
      <c r="Q36" s="34">
        <f t="shared" si="10"/>
        <v>0.98</v>
      </c>
      <c r="R36" s="34">
        <f t="shared" si="10"/>
        <v>0.98</v>
      </c>
      <c r="S36" s="34">
        <f t="shared" si="10"/>
        <v>0.98</v>
      </c>
      <c r="T36" s="34">
        <f t="shared" si="10"/>
        <v>0.98</v>
      </c>
      <c r="U36" s="34">
        <f t="shared" si="10"/>
        <v>0.98</v>
      </c>
      <c r="V36" s="34">
        <f t="shared" si="10"/>
        <v>0.98</v>
      </c>
      <c r="W36" s="34">
        <f t="shared" si="10"/>
        <v>0.98</v>
      </c>
      <c r="X36" s="34">
        <f t="shared" si="10"/>
        <v>0.98</v>
      </c>
      <c r="Y36" s="34">
        <f t="shared" si="10"/>
        <v>0.98</v>
      </c>
      <c r="Z36" s="34"/>
    </row>
    <row r="37" spans="2:26" x14ac:dyDescent="0.25">
      <c r="K37" s="26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2:26" ht="15.75" thickBot="1" x14ac:dyDescent="0.3">
      <c r="B38" s="14" t="s">
        <v>87</v>
      </c>
      <c r="K38" s="26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2:26" x14ac:dyDescent="0.25">
      <c r="B39" t="s">
        <v>85</v>
      </c>
      <c r="C39" t="s">
        <v>84</v>
      </c>
      <c r="F39" s="6"/>
      <c r="G39" s="6"/>
      <c r="H39" s="6"/>
      <c r="I39" s="6">
        <v>57538</v>
      </c>
      <c r="J39" s="6">
        <v>28235</v>
      </c>
      <c r="K39" s="15">
        <f>SUM(L39:Y39)</f>
        <v>529318.34738930897</v>
      </c>
      <c r="L39" s="16">
        <f>L33*L36</f>
        <v>25267.083453512827</v>
      </c>
      <c r="M39" s="16">
        <f t="shared" ref="M39:Y39" si="11">M33*M36</f>
        <v>25267.083453512827</v>
      </c>
      <c r="N39" s="16">
        <f t="shared" si="11"/>
        <v>25267.083453512827</v>
      </c>
      <c r="O39" s="16">
        <f t="shared" si="11"/>
        <v>29233.196479229602</v>
      </c>
      <c r="P39" s="16">
        <f t="shared" si="11"/>
        <v>89323.655908757122</v>
      </c>
      <c r="Q39" s="16">
        <f t="shared" si="11"/>
        <v>118881.66568220039</v>
      </c>
      <c r="R39" s="16">
        <f t="shared" si="11"/>
        <v>118556.85238798671</v>
      </c>
      <c r="S39" s="16">
        <f t="shared" si="11"/>
        <v>97521.726570596627</v>
      </c>
      <c r="T39" s="16">
        <f t="shared" si="11"/>
        <v>0</v>
      </c>
      <c r="U39" s="16">
        <f t="shared" si="11"/>
        <v>0</v>
      </c>
      <c r="V39" s="16">
        <f t="shared" si="11"/>
        <v>0</v>
      </c>
      <c r="W39" s="16">
        <f t="shared" si="11"/>
        <v>0</v>
      </c>
      <c r="X39" s="16">
        <f t="shared" si="11"/>
        <v>0</v>
      </c>
      <c r="Y39" s="16">
        <f t="shared" si="11"/>
        <v>0</v>
      </c>
      <c r="Z39" s="16"/>
    </row>
    <row r="40" spans="2:26" x14ac:dyDescent="0.25">
      <c r="K40" s="26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2:26" ht="15.75" thickBot="1" x14ac:dyDescent="0.3">
      <c r="B41" s="14" t="s">
        <v>91</v>
      </c>
      <c r="K41" s="26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2:26" x14ac:dyDescent="0.25">
      <c r="B42" t="s">
        <v>85</v>
      </c>
      <c r="C42" t="s">
        <v>70</v>
      </c>
      <c r="I42" s="21">
        <v>0.997</v>
      </c>
      <c r="J42" s="21">
        <v>0.997</v>
      </c>
      <c r="K42" s="64">
        <f>AVERAGE(L42:Y42)</f>
        <v>0.99200000000000033</v>
      </c>
      <c r="L42" s="34">
        <v>0.99199999999999999</v>
      </c>
      <c r="M42" s="34">
        <v>0.99199999999999999</v>
      </c>
      <c r="N42" s="34">
        <v>0.99199999999999999</v>
      </c>
      <c r="O42" s="34">
        <v>0.99199999999999999</v>
      </c>
      <c r="P42" s="34">
        <v>0.99199999999999999</v>
      </c>
      <c r="Q42" s="34">
        <v>0.99199999999999999</v>
      </c>
      <c r="R42" s="34">
        <v>0.99199999999999999</v>
      </c>
      <c r="S42" s="34">
        <v>0.99199999999999999</v>
      </c>
      <c r="T42" s="34">
        <v>0.99199999999999999</v>
      </c>
      <c r="U42" s="34">
        <v>0.99199999999999999</v>
      </c>
      <c r="V42" s="34">
        <v>0.99199999999999999</v>
      </c>
      <c r="W42" s="34">
        <v>0.99199999999999999</v>
      </c>
      <c r="X42" s="34">
        <v>0.99199999999999999</v>
      </c>
      <c r="Y42" s="34">
        <v>0.99199999999999999</v>
      </c>
      <c r="Z42" s="13"/>
    </row>
    <row r="43" spans="2:26" x14ac:dyDescent="0.25">
      <c r="K43" s="26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2:26" ht="15.75" thickBot="1" x14ac:dyDescent="0.3">
      <c r="B44" s="14" t="s">
        <v>92</v>
      </c>
      <c r="K44" s="26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2:26" x14ac:dyDescent="0.25">
      <c r="B45" t="s">
        <v>85</v>
      </c>
      <c r="C45" t="s">
        <v>84</v>
      </c>
      <c r="I45" s="6">
        <f>I39*I42</f>
        <v>57365.385999999999</v>
      </c>
      <c r="J45" s="6">
        <f>J39*J42</f>
        <v>28150.294999999998</v>
      </c>
      <c r="K45" s="15">
        <f>SUM(L45:Y45)</f>
        <v>525083.80061019445</v>
      </c>
      <c r="L45" s="16">
        <f>L39*L42</f>
        <v>25064.946785884724</v>
      </c>
      <c r="M45" s="16">
        <f t="shared" ref="M45:Y45" si="12">M39*M42</f>
        <v>25064.946785884724</v>
      </c>
      <c r="N45" s="16">
        <f t="shared" si="12"/>
        <v>25064.946785884724</v>
      </c>
      <c r="O45" s="16">
        <f t="shared" si="12"/>
        <v>28999.330907395764</v>
      </c>
      <c r="P45" s="16">
        <f t="shared" si="12"/>
        <v>88609.066661487072</v>
      </c>
      <c r="Q45" s="16">
        <f t="shared" si="12"/>
        <v>117930.61235674279</v>
      </c>
      <c r="R45" s="16">
        <f t="shared" si="12"/>
        <v>117608.39756888282</v>
      </c>
      <c r="S45" s="16">
        <f t="shared" si="12"/>
        <v>96741.552758031859</v>
      </c>
      <c r="T45" s="16">
        <f t="shared" si="12"/>
        <v>0</v>
      </c>
      <c r="U45" s="16">
        <f t="shared" si="12"/>
        <v>0</v>
      </c>
      <c r="V45" s="16">
        <f t="shared" si="12"/>
        <v>0</v>
      </c>
      <c r="W45" s="16">
        <f t="shared" si="12"/>
        <v>0</v>
      </c>
      <c r="X45" s="16">
        <f t="shared" si="12"/>
        <v>0</v>
      </c>
      <c r="Y45" s="16">
        <f t="shared" si="12"/>
        <v>0</v>
      </c>
      <c r="Z45" s="13"/>
    </row>
    <row r="46" spans="2:26" x14ac:dyDescent="0.25">
      <c r="K46" s="26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2:26" ht="15.75" thickBot="1" x14ac:dyDescent="0.3">
      <c r="B47" s="14" t="s">
        <v>155</v>
      </c>
      <c r="K47" s="26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2:26" x14ac:dyDescent="0.25">
      <c r="B48" t="s">
        <v>85</v>
      </c>
      <c r="C48" t="s">
        <v>93</v>
      </c>
      <c r="I48" s="6">
        <f>I14*I45</f>
        <v>102626675.55399999</v>
      </c>
      <c r="J48" s="6">
        <f>J14*J45</f>
        <v>52866254.009999998</v>
      </c>
      <c r="K48" s="15">
        <f>SUM(L48:Y48)</f>
        <v>925664186.70002913</v>
      </c>
      <c r="L48" s="16">
        <f>L14*L45</f>
        <v>46871450.489604436</v>
      </c>
      <c r="M48" s="16">
        <f t="shared" ref="M48:Y48" si="13">M14*M45</f>
        <v>46370151.553886741</v>
      </c>
      <c r="N48" s="16">
        <f t="shared" si="13"/>
        <v>45116904.214592502</v>
      </c>
      <c r="O48" s="16">
        <f t="shared" si="13"/>
        <v>50748829.087942585</v>
      </c>
      <c r="P48" s="16">
        <f t="shared" si="13"/>
        <v>155065866.65760237</v>
      </c>
      <c r="Q48" s="16">
        <f t="shared" si="13"/>
        <v>206378571.62429988</v>
      </c>
      <c r="R48" s="16">
        <f t="shared" si="13"/>
        <v>205814695.74554494</v>
      </c>
      <c r="S48" s="16">
        <f t="shared" si="13"/>
        <v>169297717.32655576</v>
      </c>
      <c r="T48" s="16">
        <f t="shared" si="13"/>
        <v>0</v>
      </c>
      <c r="U48" s="16">
        <f t="shared" si="13"/>
        <v>0</v>
      </c>
      <c r="V48" s="16">
        <f t="shared" si="13"/>
        <v>0</v>
      </c>
      <c r="W48" s="16">
        <f t="shared" si="13"/>
        <v>0</v>
      </c>
      <c r="X48" s="16">
        <f t="shared" si="13"/>
        <v>0</v>
      </c>
      <c r="Y48" s="16">
        <f t="shared" si="13"/>
        <v>0</v>
      </c>
      <c r="Z48" s="16"/>
    </row>
    <row r="49" spans="2:26" x14ac:dyDescent="0.25">
      <c r="I49" s="6"/>
      <c r="J49" s="6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2:26" ht="15.75" thickBot="1" x14ac:dyDescent="0.3">
      <c r="B50" s="14" t="s">
        <v>95</v>
      </c>
      <c r="I50" s="6"/>
      <c r="J50" s="6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2:26" x14ac:dyDescent="0.25">
      <c r="B51" s="73" t="s">
        <v>97</v>
      </c>
      <c r="C51" t="s">
        <v>93</v>
      </c>
      <c r="G51" s="37"/>
      <c r="H51" s="37"/>
      <c r="I51" s="6">
        <v>271000</v>
      </c>
      <c r="J51" s="6">
        <v>155000</v>
      </c>
      <c r="K51" s="15">
        <f>SUM(L51:Y51)</f>
        <v>2677927.3831119915</v>
      </c>
      <c r="L51" s="16">
        <f>5.1*L45</f>
        <v>127831.22860801208</v>
      </c>
      <c r="M51" s="16">
        <f t="shared" ref="M51:Y51" si="14">5.1*M45</f>
        <v>127831.22860801208</v>
      </c>
      <c r="N51" s="16">
        <f t="shared" si="14"/>
        <v>127831.22860801208</v>
      </c>
      <c r="O51" s="16">
        <f t="shared" si="14"/>
        <v>147896.5876277184</v>
      </c>
      <c r="P51" s="16">
        <f t="shared" si="14"/>
        <v>451906.23997358402</v>
      </c>
      <c r="Q51" s="16">
        <f t="shared" si="14"/>
        <v>601446.12301938818</v>
      </c>
      <c r="R51" s="16">
        <f t="shared" si="14"/>
        <v>599802.8276013023</v>
      </c>
      <c r="S51" s="16">
        <f t="shared" si="14"/>
        <v>493381.91906596243</v>
      </c>
      <c r="T51" s="16">
        <f t="shared" si="14"/>
        <v>0</v>
      </c>
      <c r="U51" s="16">
        <f t="shared" si="14"/>
        <v>0</v>
      </c>
      <c r="V51" s="16">
        <f t="shared" si="14"/>
        <v>0</v>
      </c>
      <c r="W51" s="16">
        <f t="shared" si="14"/>
        <v>0</v>
      </c>
      <c r="X51" s="16">
        <f t="shared" si="14"/>
        <v>0</v>
      </c>
      <c r="Y51" s="16">
        <f t="shared" si="14"/>
        <v>0</v>
      </c>
      <c r="Z51" s="16"/>
    </row>
    <row r="52" spans="2:26" x14ac:dyDescent="0.25">
      <c r="B52" s="32" t="s">
        <v>95</v>
      </c>
      <c r="C52" t="s">
        <v>93</v>
      </c>
      <c r="I52" s="6">
        <v>101256000</v>
      </c>
      <c r="J52" s="6">
        <v>55443000</v>
      </c>
      <c r="K52" s="15">
        <f>SUM(L52:Y52)</f>
        <v>922986259.31691718</v>
      </c>
      <c r="L52" s="16">
        <f>L48-L51</f>
        <v>46743619.260996424</v>
      </c>
      <c r="M52" s="16">
        <f t="shared" ref="M52:Y52" si="15">M48-M51</f>
        <v>46242320.325278729</v>
      </c>
      <c r="N52" s="16">
        <f t="shared" si="15"/>
        <v>44989072.985984489</v>
      </c>
      <c r="O52" s="16">
        <f t="shared" si="15"/>
        <v>50600932.500314869</v>
      </c>
      <c r="P52" s="16">
        <f t="shared" si="15"/>
        <v>154613960.41762879</v>
      </c>
      <c r="Q52" s="16">
        <f t="shared" si="15"/>
        <v>205777125.50128049</v>
      </c>
      <c r="R52" s="16">
        <f t="shared" si="15"/>
        <v>205214892.91794363</v>
      </c>
      <c r="S52" s="16">
        <f t="shared" si="15"/>
        <v>168804335.40748981</v>
      </c>
      <c r="T52" s="16">
        <f t="shared" si="15"/>
        <v>0</v>
      </c>
      <c r="U52" s="16">
        <f t="shared" si="15"/>
        <v>0</v>
      </c>
      <c r="V52" s="16">
        <f t="shared" si="15"/>
        <v>0</v>
      </c>
      <c r="W52" s="16">
        <f t="shared" si="15"/>
        <v>0</v>
      </c>
      <c r="X52" s="16">
        <f t="shared" si="15"/>
        <v>0</v>
      </c>
      <c r="Y52" s="16">
        <f t="shared" si="15"/>
        <v>0</v>
      </c>
      <c r="Z52" s="16"/>
    </row>
    <row r="53" spans="2:26" x14ac:dyDescent="0.25">
      <c r="K53" s="26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2:26" ht="15.75" thickBot="1" x14ac:dyDescent="0.3">
      <c r="B54" s="14" t="s">
        <v>131</v>
      </c>
      <c r="K54" s="26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2:26" x14ac:dyDescent="0.25">
      <c r="K55" s="26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2:26" x14ac:dyDescent="0.25">
      <c r="B56" s="3" t="s">
        <v>132</v>
      </c>
      <c r="K56" s="26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2:26" x14ac:dyDescent="0.25">
      <c r="B57" t="s">
        <v>202</v>
      </c>
      <c r="C57" t="s">
        <v>134</v>
      </c>
      <c r="I57" s="53">
        <f>I58/I29</f>
        <v>167.54228056214413</v>
      </c>
      <c r="J57" s="53">
        <f>J58/J29</f>
        <v>152.45998999749938</v>
      </c>
      <c r="K57" s="57">
        <f>AVERAGE(L57:Y57)</f>
        <v>164.94329700538438</v>
      </c>
      <c r="L57" s="50">
        <f>IFERROR(L58/L29,"")</f>
        <v>158.09585291934687</v>
      </c>
      <c r="M57" s="50">
        <f t="shared" ref="M57:Y57" si="16">IFERROR(M58/M29,"")</f>
        <v>161.2577699777338</v>
      </c>
      <c r="N57" s="50">
        <f t="shared" si="16"/>
        <v>162.87034767751112</v>
      </c>
      <c r="O57" s="50">
        <f t="shared" si="16"/>
        <v>170.73106208242342</v>
      </c>
      <c r="P57" s="50">
        <f t="shared" si="16"/>
        <v>167.62686095365208</v>
      </c>
      <c r="Q57" s="50">
        <f t="shared" si="16"/>
        <v>141.50420161624464</v>
      </c>
      <c r="R57" s="50">
        <f t="shared" si="16"/>
        <v>127.70269592435891</v>
      </c>
      <c r="S57" s="50">
        <f t="shared" si="16"/>
        <v>229.7575848918041</v>
      </c>
      <c r="T57" s="50" t="str">
        <f t="shared" si="16"/>
        <v/>
      </c>
      <c r="U57" s="50" t="str">
        <f t="shared" si="16"/>
        <v/>
      </c>
      <c r="V57" s="50" t="str">
        <f t="shared" si="16"/>
        <v/>
      </c>
      <c r="W57" s="50" t="str">
        <f t="shared" si="16"/>
        <v/>
      </c>
      <c r="X57" s="50" t="str">
        <f t="shared" si="16"/>
        <v/>
      </c>
      <c r="Y57" s="50" t="str">
        <f t="shared" si="16"/>
        <v/>
      </c>
      <c r="Z57" s="13"/>
    </row>
    <row r="58" spans="2:26" x14ac:dyDescent="0.25">
      <c r="B58" t="s">
        <v>133</v>
      </c>
      <c r="C58" t="s">
        <v>93</v>
      </c>
      <c r="I58" s="6">
        <v>43371000</v>
      </c>
      <c r="J58" s="6">
        <v>19510000</v>
      </c>
      <c r="K58" s="15">
        <f>SUM(L58:Y58)</f>
        <v>396740777.25</v>
      </c>
      <c r="L58" s="16">
        <f>77900000/4*1.05</f>
        <v>20448750</v>
      </c>
      <c r="M58" s="16">
        <f>L58*1.02</f>
        <v>20857725</v>
      </c>
      <c r="N58" s="16">
        <f>M58*1.01</f>
        <v>21066302.25</v>
      </c>
      <c r="O58" s="16">
        <f>80700000*1.08/4</f>
        <v>21789000</v>
      </c>
      <c r="P58" s="16">
        <f>IF(Auxiliary!B20&gt;=4,80700000*1.08*0.75,IF(Auxiliary!B20=3,68000000*1.08*0.75,IF(Auxiliary!B20=2,61200000*1.08*0.75,IF(Auxiliary!B20=1,99700000*1.08*0.75,0))))</f>
        <v>65367000</v>
      </c>
      <c r="Q58" s="16">
        <f>IF(Auxiliary!C20&gt;=4,80700000*1.08,IF(Auxiliary!C20=3,68000000*1.08,IF(Auxiliary!C20=2,61200000*1.08,IF(Auxiliary!C20=1,99700000*1.08,0))))</f>
        <v>73440000</v>
      </c>
      <c r="R58" s="16">
        <f>IF(Auxiliary!D20&gt;=4,80700000*1.08,IF(Auxiliary!D20=3,68000000*1.08,IF(Auxiliary!D20=2,61200000*1.08,IF(Auxiliary!D20=1,99700000*1.08,0))))</f>
        <v>66096000.000000007</v>
      </c>
      <c r="S58" s="16">
        <f>IF(Auxiliary!E20&gt;=4,80700000*1.08,IF(Auxiliary!E20=3,68000000*1.08,IF(Auxiliary!E20=2,61200000*1.08,IF(Auxiliary!E20=1,99700000*1.08,0))))</f>
        <v>107676000</v>
      </c>
      <c r="T58" s="16">
        <f>IF(Auxiliary!F20&gt;=4,80700000*1.08,IF(Auxiliary!F20=3,68000000*1.08,IF(Auxiliary!F20=2,61200000*1.08,IF(Auxiliary!F20=1,99700000*1.08,0))))</f>
        <v>0</v>
      </c>
      <c r="U58" s="16">
        <f>IF(Auxiliary!G20&gt;=4,80700000*1.08,IF(Auxiliary!G20=3,68000000*1.08,IF(Auxiliary!G20=2,61200000*1.08,IF(Auxiliary!G20=1,99700000*1.08,0))))</f>
        <v>0</v>
      </c>
      <c r="V58" s="16">
        <f>IF(Auxiliary!H20&gt;=4,80700000*1.08,IF(Auxiliary!H20=3,68000000*1.08,IF(Auxiliary!H20=2,61200000*1.08,IF(Auxiliary!H20=1,99700000*1.08,0))))</f>
        <v>0</v>
      </c>
      <c r="W58" s="16">
        <f>IF(Auxiliary!I20&gt;=4,80700000*1.08,IF(Auxiliary!I20=3,68000000*1.08,IF(Auxiliary!I20=2,61200000*1.08,IF(Auxiliary!I20=1,99700000*1.08,0))))</f>
        <v>0</v>
      </c>
      <c r="X58" s="16">
        <f>IF(Auxiliary!J20&gt;=4,80700000*1.08,IF(Auxiliary!J20=3,68000000*1.08,IF(Auxiliary!J20=2,61200000*1.08,IF(Auxiliary!J20=1,99700000*1.08,0))))</f>
        <v>0</v>
      </c>
      <c r="Y58" s="16">
        <f>IF(Auxiliary!K20&gt;=4,80700000*1.08,IF(Auxiliary!K20=3,68000000*1.08,IF(Auxiliary!K20=2,61200000*1.08,IF(Auxiliary!K20=1,99700000*1.08,0))))</f>
        <v>0</v>
      </c>
      <c r="Z58" s="13"/>
    </row>
    <row r="59" spans="2:26" x14ac:dyDescent="0.25">
      <c r="B59" t="s">
        <v>203</v>
      </c>
      <c r="C59" t="s">
        <v>43</v>
      </c>
      <c r="I59" s="6">
        <f>I58/I45</f>
        <v>756.04825530155063</v>
      </c>
      <c r="J59" s="6">
        <f>J58/J45</f>
        <v>693.06556112467035</v>
      </c>
      <c r="K59" s="58">
        <f>AVERAGE(L59:Y59)</f>
        <v>784.40959866371145</v>
      </c>
      <c r="L59" s="16">
        <f>IFERROR(L58/L45,"")</f>
        <v>815.8305770477707</v>
      </c>
      <c r="M59" s="16">
        <f t="shared" ref="M59:Y59" si="17">IFERROR(M58/M45,"")</f>
        <v>832.14718858872618</v>
      </c>
      <c r="N59" s="16">
        <f t="shared" si="17"/>
        <v>840.46866047461333</v>
      </c>
      <c r="O59" s="16">
        <f t="shared" si="17"/>
        <v>751.36216313332602</v>
      </c>
      <c r="P59" s="16">
        <f t="shared" si="17"/>
        <v>737.70103289453823</v>
      </c>
      <c r="Q59" s="16">
        <f t="shared" si="17"/>
        <v>622.73907115687939</v>
      </c>
      <c r="R59" s="16">
        <f t="shared" si="17"/>
        <v>562.0006850385646</v>
      </c>
      <c r="S59" s="16">
        <f t="shared" si="17"/>
        <v>1113.0274109752731</v>
      </c>
      <c r="T59" s="16" t="str">
        <f t="shared" si="17"/>
        <v/>
      </c>
      <c r="U59" s="16" t="str">
        <f t="shared" si="17"/>
        <v/>
      </c>
      <c r="V59" s="16" t="str">
        <f t="shared" si="17"/>
        <v/>
      </c>
      <c r="W59" s="16" t="str">
        <f t="shared" si="17"/>
        <v/>
      </c>
      <c r="X59" s="16" t="str">
        <f t="shared" si="17"/>
        <v/>
      </c>
      <c r="Y59" s="16" t="str">
        <f t="shared" si="17"/>
        <v/>
      </c>
      <c r="Z59" s="13"/>
    </row>
    <row r="60" spans="2:26" x14ac:dyDescent="0.25">
      <c r="K60" s="26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2:26" x14ac:dyDescent="0.25">
      <c r="B61" t="s">
        <v>143</v>
      </c>
      <c r="C61" t="s">
        <v>93</v>
      </c>
      <c r="I61" s="6">
        <v>953000</v>
      </c>
      <c r="J61" s="6">
        <v>410000</v>
      </c>
      <c r="K61" s="15">
        <f>SUM(L61:Y61)</f>
        <v>8632333.3333333321</v>
      </c>
      <c r="L61" s="16">
        <f>SUM($I$61:$J$61)/3</f>
        <v>454333.33333333331</v>
      </c>
      <c r="M61" s="16">
        <f>SUM($I$61:$J$61)/3</f>
        <v>454333.33333333331</v>
      </c>
      <c r="N61" s="16">
        <f>SUM($I$61:$J$61)/3</f>
        <v>454333.33333333331</v>
      </c>
      <c r="O61" s="16">
        <f>SUM($I$61:$J$61)/3</f>
        <v>454333.33333333331</v>
      </c>
      <c r="P61" s="16">
        <f>IF(P29&gt;0,SUM($I$61:$J$61)/3*3,0)</f>
        <v>1363000</v>
      </c>
      <c r="Q61" s="16">
        <f>IF(Q29&gt;0,SUM($I$61:$J$61)/3*4,0)</f>
        <v>1817333.3333333333</v>
      </c>
      <c r="R61" s="16">
        <f t="shared" ref="R61:Y61" si="18">IF(R29&gt;0,SUM($I$61:$J$61)/3*4,0)</f>
        <v>1817333.3333333333</v>
      </c>
      <c r="S61" s="16">
        <f t="shared" si="18"/>
        <v>1817333.3333333333</v>
      </c>
      <c r="T61" s="16">
        <f t="shared" si="18"/>
        <v>0</v>
      </c>
      <c r="U61" s="16">
        <f t="shared" si="18"/>
        <v>0</v>
      </c>
      <c r="V61" s="16">
        <f t="shared" si="18"/>
        <v>0</v>
      </c>
      <c r="W61" s="16">
        <f t="shared" si="18"/>
        <v>0</v>
      </c>
      <c r="X61" s="16">
        <f t="shared" si="18"/>
        <v>0</v>
      </c>
      <c r="Y61" s="16">
        <f t="shared" si="18"/>
        <v>0</v>
      </c>
      <c r="Z61" s="13"/>
    </row>
    <row r="62" spans="2:26" x14ac:dyDescent="0.25">
      <c r="B62" s="8" t="s">
        <v>139</v>
      </c>
      <c r="C62" t="s">
        <v>93</v>
      </c>
      <c r="I62" s="6">
        <v>28974000</v>
      </c>
      <c r="J62" s="6">
        <v>14028000</v>
      </c>
      <c r="K62" s="15">
        <f t="shared" ref="K62:K63" si="19">SUM(L62:Y62)</f>
        <v>148972000</v>
      </c>
      <c r="L62" s="16">
        <f>(45000000-$J$62)/3</f>
        <v>10324000</v>
      </c>
      <c r="M62" s="16">
        <f t="shared" ref="M62:N62" si="20">(45000000-$J$62)/3</f>
        <v>10324000</v>
      </c>
      <c r="N62" s="16">
        <f t="shared" si="20"/>
        <v>10324000</v>
      </c>
      <c r="O62" s="16">
        <f>45000000/4</f>
        <v>11250000</v>
      </c>
      <c r="P62" s="16">
        <f>IF(Auxiliary!B20&gt;=4,45000000*0.75,IF(Auxiliary!B20=3,30000000*0.75,IF(Auxiliary!B20=2,18000000*0.75,IF(Auxiliary!B20=1,25000000*0.75,0))))</f>
        <v>33750000</v>
      </c>
      <c r="Q62" s="16">
        <f>IF(Auxiliary!C20&gt;=4,45000000,IF(Auxiliary!C20=3,30000000,IF(Auxiliary!C20=2,18000000,IF(Auxiliary!C20=1,25000000,0))))</f>
        <v>30000000</v>
      </c>
      <c r="R62" s="16">
        <f>IF(Auxiliary!D20&gt;=4,45000000,IF(Auxiliary!D20=3,30000000,IF(Auxiliary!D20=2,18000000,IF(Auxiliary!D20=1,25000000,0))))</f>
        <v>18000000</v>
      </c>
      <c r="S62" s="16">
        <f>IF(Auxiliary!E20&gt;=4,45000000,IF(Auxiliary!E20=3,30000000,IF(Auxiliary!E20=2,18000000,IF(Auxiliary!E20=1,25000000,0))))</f>
        <v>25000000</v>
      </c>
      <c r="T62" s="16">
        <f>IF(Auxiliary!F20&gt;=4,45000000,IF(Auxiliary!F20=3,30000000,IF(Auxiliary!F20=2,18000000,IF(Auxiliary!F20=1,25000000,0))))</f>
        <v>0</v>
      </c>
      <c r="U62" s="16">
        <f>IF(Auxiliary!G20&gt;=4,45000000,IF(Auxiliary!G20=3,30000000,IF(Auxiliary!G20=2,18000000,IF(Auxiliary!G20=1,25000000,0))))</f>
        <v>0</v>
      </c>
      <c r="V62" s="16">
        <f>IF(Auxiliary!H20&gt;=4,45000000,IF(Auxiliary!H20=3,30000000,IF(Auxiliary!H20=2,18000000,IF(Auxiliary!H20=1,25000000,0))))</f>
        <v>0</v>
      </c>
      <c r="W62" s="16">
        <f>IF(Auxiliary!I20&gt;=4,45000000,IF(Auxiliary!I20=3,30000000,IF(Auxiliary!I20=2,18000000,IF(Auxiliary!I20=1,25000000,0))))</f>
        <v>0</v>
      </c>
      <c r="X62" s="16">
        <f>IF(Auxiliary!J20&gt;=4,45000000,IF(Auxiliary!J20=3,30000000,IF(Auxiliary!J20=2,18000000,IF(Auxiliary!J20=1,25000000,0))))</f>
        <v>0</v>
      </c>
      <c r="Y62" s="16">
        <f>IF(Auxiliary!K20&gt;=4,45000000,IF(Auxiliary!K20=3,30000000,IF(Auxiliary!K20=2,18000000,IF(Auxiliary!K20=1,25000000,0))))</f>
        <v>0</v>
      </c>
      <c r="Z62" s="13"/>
    </row>
    <row r="63" spans="2:26" x14ac:dyDescent="0.25">
      <c r="B63" t="s">
        <v>145</v>
      </c>
      <c r="C63" t="s">
        <v>93</v>
      </c>
      <c r="I63" s="6">
        <f>I58+SUM(I61:I62)</f>
        <v>73298000</v>
      </c>
      <c r="J63" s="6">
        <f>J58+SUM(J61:J62)</f>
        <v>33948000</v>
      </c>
      <c r="K63" s="15">
        <f t="shared" si="19"/>
        <v>554345110.58333337</v>
      </c>
      <c r="L63" s="16">
        <f>L58+SUM(L61:L62)</f>
        <v>31227083.333333336</v>
      </c>
      <c r="M63" s="16">
        <f t="shared" ref="M63:Y63" si="21">M58+SUM(M61:M62)</f>
        <v>31636058.333333336</v>
      </c>
      <c r="N63" s="16">
        <f t="shared" si="21"/>
        <v>31844635.583333336</v>
      </c>
      <c r="O63" s="16">
        <f t="shared" si="21"/>
        <v>33493333.333333336</v>
      </c>
      <c r="P63" s="16">
        <f t="shared" si="21"/>
        <v>100480000</v>
      </c>
      <c r="Q63" s="16">
        <f>Q58+SUM(Q61:Q62)</f>
        <v>105257333.33333333</v>
      </c>
      <c r="R63" s="16">
        <f t="shared" si="21"/>
        <v>85913333.333333343</v>
      </c>
      <c r="S63" s="16">
        <f t="shared" si="21"/>
        <v>134493333.33333334</v>
      </c>
      <c r="T63" s="16">
        <f t="shared" si="21"/>
        <v>0</v>
      </c>
      <c r="U63" s="16">
        <f t="shared" si="21"/>
        <v>0</v>
      </c>
      <c r="V63" s="16">
        <f t="shared" si="21"/>
        <v>0</v>
      </c>
      <c r="W63" s="16">
        <f t="shared" si="21"/>
        <v>0</v>
      </c>
      <c r="X63" s="16">
        <f t="shared" si="21"/>
        <v>0</v>
      </c>
      <c r="Y63" s="16">
        <f t="shared" si="21"/>
        <v>0</v>
      </c>
      <c r="Z63" s="13"/>
    </row>
    <row r="64" spans="2:26" x14ac:dyDescent="0.25">
      <c r="K64" s="26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2:26" ht="15.75" thickBot="1" x14ac:dyDescent="0.3">
      <c r="B65" s="14" t="s">
        <v>146</v>
      </c>
      <c r="K65" s="26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2:26" x14ac:dyDescent="0.25">
      <c r="B66" t="s">
        <v>221</v>
      </c>
      <c r="C66" t="s">
        <v>93</v>
      </c>
      <c r="I66" s="6"/>
      <c r="J66" s="6"/>
      <c r="K66" s="15">
        <f t="shared" ref="K66:K67" si="22">SUM(L66:Y66)</f>
        <v>46149312.965845868</v>
      </c>
      <c r="L66" s="16">
        <f>IF(L14&lt;1000,3%,IF(AND(L14&gt;=1000,L14&lt;=1300),4%,IF(L14&gt;1300,5%)))*L52</f>
        <v>2337180.9630498211</v>
      </c>
      <c r="M66" s="16">
        <f t="shared" ref="M66:Y66" si="23">IF(M14&lt;1000,3%,IF(AND(M14&gt;=1000,M14&lt;=1300),4%,IF(M14&gt;1300,5%)))*M52</f>
        <v>2312116.0162639366</v>
      </c>
      <c r="N66" s="16">
        <f t="shared" si="23"/>
        <v>2249453.6492992244</v>
      </c>
      <c r="O66" s="16">
        <f t="shared" si="23"/>
        <v>2530046.6250157435</v>
      </c>
      <c r="P66" s="16">
        <f t="shared" si="23"/>
        <v>7730698.0208814405</v>
      </c>
      <c r="Q66" s="16">
        <f t="shared" si="23"/>
        <v>10288856.275064025</v>
      </c>
      <c r="R66" s="16">
        <f t="shared" si="23"/>
        <v>10260744.645897182</v>
      </c>
      <c r="S66" s="16">
        <f t="shared" si="23"/>
        <v>8440216.7703744899</v>
      </c>
      <c r="T66" s="16">
        <f t="shared" si="23"/>
        <v>0</v>
      </c>
      <c r="U66" s="16">
        <f t="shared" si="23"/>
        <v>0</v>
      </c>
      <c r="V66" s="16">
        <f t="shared" si="23"/>
        <v>0</v>
      </c>
      <c r="W66" s="16">
        <f t="shared" si="23"/>
        <v>0</v>
      </c>
      <c r="X66" s="16">
        <f t="shared" si="23"/>
        <v>0</v>
      </c>
      <c r="Y66" s="16">
        <f t="shared" si="23"/>
        <v>0</v>
      </c>
      <c r="Z66" s="13"/>
    </row>
    <row r="67" spans="2:26" x14ac:dyDescent="0.25">
      <c r="B67" t="s">
        <v>222</v>
      </c>
      <c r="C67" t="s">
        <v>93</v>
      </c>
      <c r="K67" s="15">
        <f t="shared" si="22"/>
        <v>9229862.5931691714</v>
      </c>
      <c r="L67" s="16">
        <f>1%*L52</f>
        <v>467436.19260996423</v>
      </c>
      <c r="M67" s="16">
        <f t="shared" ref="M67:Y67" si="24">1%*M52</f>
        <v>462423.20325278729</v>
      </c>
      <c r="N67" s="16">
        <f t="shared" si="24"/>
        <v>449890.7298598449</v>
      </c>
      <c r="O67" s="16">
        <f t="shared" si="24"/>
        <v>506009.3250031487</v>
      </c>
      <c r="P67" s="16">
        <f t="shared" si="24"/>
        <v>1546139.604176288</v>
      </c>
      <c r="Q67" s="16">
        <f t="shared" si="24"/>
        <v>2057771.2550128049</v>
      </c>
      <c r="R67" s="16">
        <f t="shared" si="24"/>
        <v>2052148.9291794363</v>
      </c>
      <c r="S67" s="16">
        <f t="shared" si="24"/>
        <v>1688043.3540748982</v>
      </c>
      <c r="T67" s="16">
        <f t="shared" si="24"/>
        <v>0</v>
      </c>
      <c r="U67" s="16">
        <f t="shared" si="24"/>
        <v>0</v>
      </c>
      <c r="V67" s="16">
        <f t="shared" si="24"/>
        <v>0</v>
      </c>
      <c r="W67" s="16">
        <f t="shared" si="24"/>
        <v>0</v>
      </c>
      <c r="X67" s="16">
        <f t="shared" si="24"/>
        <v>0</v>
      </c>
      <c r="Y67" s="16">
        <f t="shared" si="24"/>
        <v>0</v>
      </c>
      <c r="Z67" s="13"/>
    </row>
    <row r="68" spans="2:26" x14ac:dyDescent="0.25">
      <c r="K68" s="26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2:26" ht="15.75" thickBot="1" x14ac:dyDescent="0.3">
      <c r="B69" s="14" t="s">
        <v>147</v>
      </c>
      <c r="K69" s="26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2:26" x14ac:dyDescent="0.25">
      <c r="B70" t="s">
        <v>148</v>
      </c>
      <c r="C70" t="s">
        <v>93</v>
      </c>
      <c r="I70" s="6">
        <v>14291000</v>
      </c>
      <c r="J70" s="6">
        <v>15995000</v>
      </c>
      <c r="K70" s="15">
        <f t="shared" ref="K70:K72" si="25">SUM(L70:Y70)</f>
        <v>315939900.55768085</v>
      </c>
      <c r="L70" s="16">
        <f>L48-L63-SUM(L66:L67)</f>
        <v>12839750.000611315</v>
      </c>
      <c r="M70" s="16">
        <f t="shared" ref="M70:Y70" si="26">M48-M63-SUM(M66:M67)</f>
        <v>11959554.001036681</v>
      </c>
      <c r="N70" s="16">
        <f t="shared" si="26"/>
        <v>10572924.252100097</v>
      </c>
      <c r="O70" s="16">
        <f t="shared" si="26"/>
        <v>14219439.804590357</v>
      </c>
      <c r="P70" s="16">
        <f t="shared" si="26"/>
        <v>45309029.032544643</v>
      </c>
      <c r="Q70" s="16">
        <f t="shared" si="26"/>
        <v>88774610.760889724</v>
      </c>
      <c r="R70" s="16">
        <f t="shared" si="26"/>
        <v>107588468.83713499</v>
      </c>
      <c r="S70" s="16">
        <f t="shared" si="26"/>
        <v>24676123.868773028</v>
      </c>
      <c r="T70" s="16">
        <f t="shared" si="26"/>
        <v>0</v>
      </c>
      <c r="U70" s="16">
        <f t="shared" si="26"/>
        <v>0</v>
      </c>
      <c r="V70" s="16">
        <f t="shared" si="26"/>
        <v>0</v>
      </c>
      <c r="W70" s="16">
        <f t="shared" si="26"/>
        <v>0</v>
      </c>
      <c r="X70" s="16">
        <f t="shared" si="26"/>
        <v>0</v>
      </c>
      <c r="Y70" s="16">
        <f t="shared" si="26"/>
        <v>0</v>
      </c>
      <c r="Z70" s="13"/>
    </row>
    <row r="71" spans="2:26" x14ac:dyDescent="0.25">
      <c r="B71" t="s">
        <v>149</v>
      </c>
      <c r="C71" t="s">
        <v>70</v>
      </c>
      <c r="I71" s="18">
        <f>(I70-I72)/I70</f>
        <v>0.19235882723392345</v>
      </c>
      <c r="J71" s="18">
        <f>(J70-J72)/J70</f>
        <v>0.21437949359174743</v>
      </c>
      <c r="K71" s="64">
        <f>AVERAGE(L71:Y71)</f>
        <v>0.27499999999999997</v>
      </c>
      <c r="L71" s="34">
        <v>0.27500000000000002</v>
      </c>
      <c r="M71" s="34">
        <f>L71</f>
        <v>0.27500000000000002</v>
      </c>
      <c r="N71" s="34">
        <f t="shared" ref="N71:Y71" si="27">M71</f>
        <v>0.27500000000000002</v>
      </c>
      <c r="O71" s="34">
        <f t="shared" si="27"/>
        <v>0.27500000000000002</v>
      </c>
      <c r="P71" s="34">
        <f t="shared" si="27"/>
        <v>0.27500000000000002</v>
      </c>
      <c r="Q71" s="34">
        <f t="shared" si="27"/>
        <v>0.27500000000000002</v>
      </c>
      <c r="R71" s="34">
        <f t="shared" si="27"/>
        <v>0.27500000000000002</v>
      </c>
      <c r="S71" s="34">
        <f t="shared" si="27"/>
        <v>0.27500000000000002</v>
      </c>
      <c r="T71" s="34">
        <f t="shared" si="27"/>
        <v>0.27500000000000002</v>
      </c>
      <c r="U71" s="34">
        <f t="shared" si="27"/>
        <v>0.27500000000000002</v>
      </c>
      <c r="V71" s="34">
        <f t="shared" si="27"/>
        <v>0.27500000000000002</v>
      </c>
      <c r="W71" s="34">
        <f t="shared" si="27"/>
        <v>0.27500000000000002</v>
      </c>
      <c r="X71" s="34">
        <f t="shared" si="27"/>
        <v>0.27500000000000002</v>
      </c>
      <c r="Y71" s="34">
        <f t="shared" si="27"/>
        <v>0.27500000000000002</v>
      </c>
      <c r="Z71" s="13"/>
    </row>
    <row r="72" spans="2:26" x14ac:dyDescent="0.25">
      <c r="B72" t="s">
        <v>147</v>
      </c>
      <c r="C72" t="s">
        <v>93</v>
      </c>
      <c r="I72" s="6">
        <v>11542000</v>
      </c>
      <c r="J72" s="6">
        <v>12566000</v>
      </c>
      <c r="K72" s="15">
        <f t="shared" si="25"/>
        <v>229056427.9043186</v>
      </c>
      <c r="L72" s="16">
        <f>IF(L70&gt;=0,L70*(1-L71),L70)</f>
        <v>9308818.7504432034</v>
      </c>
      <c r="M72" s="16">
        <f t="shared" ref="M72:Y72" si="28">IF(M70&gt;=0,M70*(1-M71),M70)</f>
        <v>8670676.6507515945</v>
      </c>
      <c r="N72" s="16">
        <f t="shared" si="28"/>
        <v>7665370.0827725697</v>
      </c>
      <c r="O72" s="16">
        <f t="shared" si="28"/>
        <v>10309093.858328009</v>
      </c>
      <c r="P72" s="16">
        <f t="shared" si="28"/>
        <v>32849046.048594866</v>
      </c>
      <c r="Q72" s="16">
        <f t="shared" si="28"/>
        <v>64361592.801645048</v>
      </c>
      <c r="R72" s="16">
        <f t="shared" si="28"/>
        <v>78001639.906922862</v>
      </c>
      <c r="S72" s="16">
        <f t="shared" si="28"/>
        <v>17890189.804860447</v>
      </c>
      <c r="T72" s="16">
        <f t="shared" si="28"/>
        <v>0</v>
      </c>
      <c r="U72" s="16">
        <f t="shared" si="28"/>
        <v>0</v>
      </c>
      <c r="V72" s="16">
        <f t="shared" si="28"/>
        <v>0</v>
      </c>
      <c r="W72" s="16">
        <f t="shared" si="28"/>
        <v>0</v>
      </c>
      <c r="X72" s="16">
        <f t="shared" si="28"/>
        <v>0</v>
      </c>
      <c r="Y72" s="16">
        <f t="shared" si="28"/>
        <v>0</v>
      </c>
      <c r="Z72" s="13"/>
    </row>
    <row r="73" spans="2:26" x14ac:dyDescent="0.25">
      <c r="K73" s="26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2:26" ht="15.75" thickBot="1" x14ac:dyDescent="0.3">
      <c r="B74" s="14" t="s">
        <v>156</v>
      </c>
      <c r="K74" s="26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2:26" x14ac:dyDescent="0.25">
      <c r="B75" t="s">
        <v>157</v>
      </c>
      <c r="C75" t="s">
        <v>93</v>
      </c>
      <c r="I75" s="6">
        <v>21387000</v>
      </c>
      <c r="J75" s="6">
        <v>7361000</v>
      </c>
      <c r="K75" s="15">
        <f t="shared" ref="K75:K76" si="29">SUM(L75:Y75)</f>
        <v>107092000</v>
      </c>
      <c r="L75" s="16">
        <f>(45900000-$J$75)/3</f>
        <v>12846333.333333334</v>
      </c>
      <c r="M75" s="16">
        <f t="shared" ref="M75:N75" si="30">(45900000-$J$75)/3</f>
        <v>12846333.333333334</v>
      </c>
      <c r="N75" s="16">
        <f t="shared" si="30"/>
        <v>12846333.333333334</v>
      </c>
      <c r="O75" s="16">
        <f>34300000*1.08/4</f>
        <v>9261000</v>
      </c>
      <c r="P75" s="16">
        <f>IF(Auxiliary!B20&gt;=4,34300000*1.08*0.75,IF(Auxiliary!B20=3,5300000*1.08*0.75,IF(Auxiliary!B20=2,30500000*1.08*0.75,IF(Auxiliary!B20=1,3100000*1.08*0.75,0))))</f>
        <v>27783000</v>
      </c>
      <c r="Q75" s="16">
        <f>IF(Auxiliary!C20&gt;=4,34300000*1.08*0.75,IF(Auxiliary!C20=3,5300000*1.08*0.75,IF(Auxiliary!C20=2,30500000*1.08*0.75,IF(Auxiliary!C20=1,3100000*1.08*0.75,0))))</f>
        <v>4293000</v>
      </c>
      <c r="R75" s="16">
        <f>IF(Auxiliary!D20&gt;=4,34300000*1.08*0.75,IF(Auxiliary!D20=3,5300000*1.08*0.75,IF(Auxiliary!D20=2,30500000*1.08*0.75,IF(Auxiliary!D20=1,3100000*1.08*0.75,0))))</f>
        <v>24705000.000000004</v>
      </c>
      <c r="S75" s="16">
        <f>IF(Auxiliary!E20&gt;=4,34300000*1.08*0.75,IF(Auxiliary!E20=3,5300000*1.08*0.75,IF(Auxiliary!E20=2,30500000*1.08*0.75,IF(Auxiliary!E20=1,3100000*1.08*0.75,0))))</f>
        <v>2511000</v>
      </c>
      <c r="T75" s="16">
        <f>IF(Auxiliary!F20&gt;=4,34300000*1.08*0.75,IF(Auxiliary!F20=3,5300000*1.08*0.75,IF(Auxiliary!F20=2,30500000*1.08*0.75,IF(Auxiliary!F20=1,3100000*1.08*0.75,0))))</f>
        <v>0</v>
      </c>
      <c r="U75" s="16">
        <f>IF(Auxiliary!G20&gt;=4,34300000*1.08*0.75,IF(Auxiliary!G20=3,5300000*1.08*0.75,IF(Auxiliary!G20=2,30500000*1.08*0.75,IF(Auxiliary!G20=1,3100000*1.08*0.75,0))))</f>
        <v>0</v>
      </c>
      <c r="V75" s="16">
        <f>IF(Auxiliary!H20&gt;=4,34300000*1.08*0.75,IF(Auxiliary!H20=3,5300000*1.08*0.75,IF(Auxiliary!H20=2,30500000*1.08*0.75,IF(Auxiliary!H20=1,3100000*1.08*0.75,0))))</f>
        <v>0</v>
      </c>
      <c r="W75" s="16">
        <f>IF(Auxiliary!I20&gt;=4,34300000*1.08*0.75,IF(Auxiliary!I20=3,5300000*1.08*0.75,IF(Auxiliary!I20=2,30500000*1.08*0.75,IF(Auxiliary!I20=1,3100000*1.08*0.75,0))))</f>
        <v>0</v>
      </c>
      <c r="X75" s="16">
        <f>IF(Auxiliary!J20&gt;=4,34300000*1.08*0.75,IF(Auxiliary!J20=3,5300000*1.08*0.75,IF(Auxiliary!J20=2,30500000*1.08*0.75,IF(Auxiliary!J20=1,3100000*1.08*0.75,0))))</f>
        <v>0</v>
      </c>
      <c r="Y75" s="16">
        <f>IF(Auxiliary!K20&gt;=4,34300000*1.08*0.75,IF(Auxiliary!K20=3,5300000*1.08*0.75,IF(Auxiliary!K20=2,30500000*1.08*0.75,IF(Auxiliary!K20=1,3100000*1.08*0.75,0))))</f>
        <v>0</v>
      </c>
      <c r="Z75" s="16"/>
    </row>
    <row r="76" spans="2:26" x14ac:dyDescent="0.25">
      <c r="B76" t="s">
        <v>158</v>
      </c>
      <c r="C76" t="s">
        <v>93</v>
      </c>
      <c r="I76" s="6">
        <v>138000</v>
      </c>
      <c r="J76" s="6">
        <v>488000</v>
      </c>
      <c r="K76" s="15">
        <f t="shared" si="29"/>
        <v>12012000</v>
      </c>
      <c r="L76" s="16">
        <f>(2500000-$J$76)/3</f>
        <v>670666.66666666663</v>
      </c>
      <c r="M76" s="16">
        <f t="shared" ref="M76" si="31">(2500000-$J$76)/3</f>
        <v>670666.66666666663</v>
      </c>
      <c r="N76" s="16">
        <f>(2500000-$J$76)/3</f>
        <v>670666.66666666663</v>
      </c>
      <c r="O76" s="16">
        <f>IF(O29&gt;0,2000000,0)</f>
        <v>2000000</v>
      </c>
      <c r="P76" s="16">
        <f t="shared" ref="P76:Y76" si="32">IF(P29&gt;0,2000000,0)</f>
        <v>2000000</v>
      </c>
      <c r="Q76" s="16">
        <f t="shared" si="32"/>
        <v>2000000</v>
      </c>
      <c r="R76" s="16">
        <f t="shared" si="32"/>
        <v>2000000</v>
      </c>
      <c r="S76" s="16">
        <f t="shared" si="32"/>
        <v>2000000</v>
      </c>
      <c r="T76" s="16">
        <f t="shared" si="32"/>
        <v>0</v>
      </c>
      <c r="U76" s="16">
        <f t="shared" si="32"/>
        <v>0</v>
      </c>
      <c r="V76" s="16">
        <f t="shared" si="32"/>
        <v>0</v>
      </c>
      <c r="W76" s="16">
        <f t="shared" si="32"/>
        <v>0</v>
      </c>
      <c r="X76" s="16">
        <f t="shared" si="32"/>
        <v>0</v>
      </c>
      <c r="Y76" s="16">
        <f t="shared" si="32"/>
        <v>0</v>
      </c>
      <c r="Z76" s="16"/>
    </row>
    <row r="77" spans="2:26" x14ac:dyDescent="0.25">
      <c r="B77" t="s">
        <v>159</v>
      </c>
      <c r="C77" t="s">
        <v>93</v>
      </c>
      <c r="I77" s="6"/>
      <c r="J77" s="6"/>
      <c r="K77" s="15"/>
      <c r="L77" s="16"/>
      <c r="M77" s="16"/>
      <c r="N77" s="16" t="str">
        <f>IF(AND(N29=0,M29&gt;0),4400000/2*1.08,IF(AND(N29=0,M29=0,L29&gt;0),4400000/2*1.08,""))</f>
        <v/>
      </c>
      <c r="O77" s="16" t="str">
        <f t="shared" ref="O77:Y77" si="33">IF(AND(O29=0,N29&gt;0),4400000/2*1.08,IF(AND(O29=0,N29=0,M29&gt;0),4400000/2*1.08,""))</f>
        <v/>
      </c>
      <c r="P77" s="16" t="str">
        <f t="shared" si="33"/>
        <v/>
      </c>
      <c r="Q77" s="16" t="str">
        <f t="shared" si="33"/>
        <v/>
      </c>
      <c r="R77" s="16" t="str">
        <f t="shared" si="33"/>
        <v/>
      </c>
      <c r="S77" s="16" t="str">
        <f t="shared" si="33"/>
        <v/>
      </c>
      <c r="T77" s="16">
        <f t="shared" si="33"/>
        <v>2376000</v>
      </c>
      <c r="U77" s="16">
        <f t="shared" si="33"/>
        <v>2376000</v>
      </c>
      <c r="V77" s="16" t="str">
        <f t="shared" si="33"/>
        <v/>
      </c>
      <c r="W77" s="16" t="str">
        <f t="shared" si="33"/>
        <v/>
      </c>
      <c r="X77" s="16" t="str">
        <f t="shared" si="33"/>
        <v/>
      </c>
      <c r="Y77" s="16" t="str">
        <f t="shared" si="33"/>
        <v/>
      </c>
      <c r="Z77" s="16"/>
    </row>
    <row r="78" spans="2:26" x14ac:dyDescent="0.25">
      <c r="B78" t="s">
        <v>206</v>
      </c>
      <c r="C78" t="s">
        <v>43</v>
      </c>
      <c r="I78" s="6">
        <f>(I63-I62+SUM(I66:I67)+SUM(I75:I77))/I45</f>
        <v>1147.8873340100945</v>
      </c>
      <c r="J78" s="6">
        <f>(J63-J62+SUM(J66:J67)+SUM(J75:J77))/J45</f>
        <v>986.45502649261766</v>
      </c>
      <c r="K78" s="58">
        <f>AVERAGE(L78:Y78)</f>
        <v>1241.679548641544</v>
      </c>
      <c r="L78" s="16">
        <f>IFERROR((L63-L62+SUM(L66:L67)+SUM(L75:L77))/L45,"")</f>
        <v>1485.1298431623297</v>
      </c>
      <c r="M78" s="16">
        <f t="shared" ref="M78:Y78" si="34">IFERROR((M63-M62+SUM(M66:M67)+SUM(M75:M77))/M45,"")</f>
        <v>1500.2464547032853</v>
      </c>
      <c r="N78" s="16">
        <f t="shared" si="34"/>
        <v>1505.5679265891724</v>
      </c>
      <c r="O78" s="16">
        <f t="shared" si="34"/>
        <v>1260.0424954643781</v>
      </c>
      <c r="P78" s="16">
        <f t="shared" si="34"/>
        <v>1193.8940518266184</v>
      </c>
      <c r="Q78" s="16">
        <f t="shared" si="34"/>
        <v>796.20514968047246</v>
      </c>
      <c r="R78" s="16">
        <f t="shared" si="34"/>
        <v>909.21421530108603</v>
      </c>
      <c r="S78" s="16">
        <f t="shared" si="34"/>
        <v>1283.1362524050119</v>
      </c>
      <c r="T78" s="16" t="str">
        <f t="shared" si="34"/>
        <v/>
      </c>
      <c r="U78" s="16" t="str">
        <f t="shared" si="34"/>
        <v/>
      </c>
      <c r="V78" s="16" t="str">
        <f t="shared" si="34"/>
        <v/>
      </c>
      <c r="W78" s="16" t="str">
        <f t="shared" si="34"/>
        <v/>
      </c>
      <c r="X78" s="16" t="str">
        <f t="shared" si="34"/>
        <v/>
      </c>
      <c r="Y78" s="16" t="str">
        <f t="shared" si="34"/>
        <v/>
      </c>
      <c r="Z78" s="13"/>
    </row>
    <row r="79" spans="2:26" x14ac:dyDescent="0.25">
      <c r="K79" s="26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2:26" ht="15.75" thickBot="1" x14ac:dyDescent="0.3">
      <c r="B80" s="14" t="s">
        <v>162</v>
      </c>
      <c r="K80" s="26"/>
      <c r="L80" s="13"/>
      <c r="M80" s="13"/>
      <c r="N80" s="16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2:26" x14ac:dyDescent="0.25">
      <c r="B81" t="s">
        <v>162</v>
      </c>
      <c r="C81" t="s">
        <v>93</v>
      </c>
      <c r="I81" s="6">
        <f>I72+I62-SUM(I75:I77)</f>
        <v>18991000</v>
      </c>
      <c r="J81" s="6">
        <f>J72+J62-SUM(J75:J77)</f>
        <v>18745000</v>
      </c>
      <c r="K81" s="15">
        <f t="shared" ref="K81" si="35">SUM(L81:Y81)</f>
        <v>254172427.9043186</v>
      </c>
      <c r="L81" s="16">
        <f>L72+L62-SUM(L75:L77)</f>
        <v>6115818.7504432052</v>
      </c>
      <c r="M81" s="16">
        <f t="shared" ref="M81:Y81" si="36">M72+M62-SUM(M75:M77)</f>
        <v>5477676.6507515945</v>
      </c>
      <c r="N81" s="16">
        <f t="shared" si="36"/>
        <v>4472370.0827725679</v>
      </c>
      <c r="O81" s="16">
        <f t="shared" si="36"/>
        <v>10298093.858328007</v>
      </c>
      <c r="P81" s="16">
        <f t="shared" si="36"/>
        <v>36816046.048594862</v>
      </c>
      <c r="Q81" s="16">
        <f t="shared" si="36"/>
        <v>88068592.801645041</v>
      </c>
      <c r="R81" s="16">
        <f t="shared" si="36"/>
        <v>69296639.906922862</v>
      </c>
      <c r="S81" s="16">
        <f t="shared" si="36"/>
        <v>38379189.804860443</v>
      </c>
      <c r="T81" s="16">
        <f t="shared" si="36"/>
        <v>-2376000</v>
      </c>
      <c r="U81" s="16">
        <f t="shared" si="36"/>
        <v>-2376000</v>
      </c>
      <c r="V81" s="16">
        <f t="shared" si="36"/>
        <v>0</v>
      </c>
      <c r="W81" s="16">
        <f t="shared" si="36"/>
        <v>0</v>
      </c>
      <c r="X81" s="16">
        <f t="shared" si="36"/>
        <v>0</v>
      </c>
      <c r="Y81" s="16">
        <f t="shared" si="36"/>
        <v>0</v>
      </c>
      <c r="Z81" s="13"/>
    </row>
    <row r="82" spans="2:26" x14ac:dyDescent="0.25">
      <c r="B82" s="3" t="s">
        <v>163</v>
      </c>
      <c r="C82" s="3" t="s">
        <v>93</v>
      </c>
      <c r="K82" s="15">
        <f>SUM(L82:Y82)</f>
        <v>211688479.1681599</v>
      </c>
      <c r="L82" s="15">
        <f>L81</f>
        <v>6115818.7504432052</v>
      </c>
      <c r="M82" s="15">
        <f>M81/(1+$D$4)^(0.25)</f>
        <v>5362831.6236108541</v>
      </c>
      <c r="N82" s="15">
        <f>N81/(1+$D$4)^(0.5)</f>
        <v>4286800.500799668</v>
      </c>
      <c r="O82" s="15">
        <f>O81/(1+$D$4)^(0.75)</f>
        <v>9663849.4233636018</v>
      </c>
      <c r="P82" s="15">
        <f>P81/(1+$D$4)^(1)</f>
        <v>33824253.674367554</v>
      </c>
      <c r="Q82" s="15">
        <f>Q81/(1+$D$4)^(2)</f>
        <v>74336689.006461248</v>
      </c>
      <c r="R82" s="15">
        <f>R81/(1+$D$4)^(3)</f>
        <v>53738484.118849292</v>
      </c>
      <c r="S82" s="15">
        <f>S81/(1+$D$4)^(4)</f>
        <v>27343878.479543727</v>
      </c>
      <c r="T82" s="15">
        <f>T81/(1+$D$4)^(5)</f>
        <v>-1555255.7920863519</v>
      </c>
      <c r="U82" s="15">
        <f>U81/(1+$D$4)^(6)</f>
        <v>-1428870.6171929068</v>
      </c>
      <c r="V82" s="15">
        <f>V81/(1+$D$4)^(7)</f>
        <v>0</v>
      </c>
      <c r="W82" s="15">
        <f>W81/(1+$D$4)^(8)</f>
        <v>0</v>
      </c>
      <c r="X82" s="15">
        <f>X81/(1+$D$4)^(9)</f>
        <v>0</v>
      </c>
      <c r="Y82" s="15">
        <f>Y81/(1+$D$4)^(10)</f>
        <v>0</v>
      </c>
      <c r="Z82" s="15"/>
    </row>
    <row r="83" spans="2:26" x14ac:dyDescent="0.25">
      <c r="B83" t="s">
        <v>223</v>
      </c>
      <c r="C83" t="s">
        <v>93</v>
      </c>
      <c r="K83" s="15">
        <f>0.9*K82</f>
        <v>190519631.25134391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</sheetData>
  <pageMargins left="0.7" right="0.7" top="0.75" bottom="0.75" header="0.3" footer="0.3"/>
  <pageSetup orientation="portrait" r:id="rId1"/>
  <ignoredErrors>
    <ignoredError sqref="G9 L9 V17:Y25 U29:U30 K33 K45 K48 K58 K63 K71 K81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564-BD10-484A-ADDB-46087D756219}">
  <dimension ref="A1:Y77"/>
  <sheetViews>
    <sheetView showGridLines="0" topLeftCell="A25" zoomScaleNormal="100" workbookViewId="0">
      <selection activeCell="H77" sqref="H77"/>
    </sheetView>
  </sheetViews>
  <sheetFormatPr defaultRowHeight="15" x14ac:dyDescent="0.25"/>
  <cols>
    <col min="2" max="2" width="43.7109375" customWidth="1"/>
    <col min="3" max="3" width="12.5703125" bestFit="1" customWidth="1"/>
    <col min="4" max="4" width="11.140625" bestFit="1" customWidth="1"/>
    <col min="5" max="5" width="15.28515625" bestFit="1" customWidth="1"/>
    <col min="6" max="6" width="18.5703125" bestFit="1" customWidth="1"/>
    <col min="7" max="7" width="15.28515625" bestFit="1" customWidth="1"/>
    <col min="8" max="8" width="12.7109375" bestFit="1" customWidth="1"/>
    <col min="9" max="9" width="11.7109375" bestFit="1" customWidth="1"/>
    <col min="10" max="10" width="15.28515625" bestFit="1" customWidth="1"/>
    <col min="11" max="11" width="18.5703125" bestFit="1" customWidth="1"/>
    <col min="12" max="12" width="12.28515625" bestFit="1" customWidth="1"/>
    <col min="13" max="13" width="12.85546875" bestFit="1" customWidth="1"/>
    <col min="14" max="14" width="12.28515625" bestFit="1" customWidth="1"/>
    <col min="15" max="15" width="15.42578125" bestFit="1" customWidth="1"/>
    <col min="16" max="16" width="18.7109375" bestFit="1" customWidth="1"/>
    <col min="17" max="20" width="12.28515625" bestFit="1" customWidth="1"/>
    <col min="21" max="21" width="11.140625" bestFit="1" customWidth="1"/>
    <col min="22" max="22" width="10.7109375" bestFit="1" customWidth="1"/>
  </cols>
  <sheetData>
    <row r="1" spans="1:25" ht="23.25" x14ac:dyDescent="0.35">
      <c r="A1" s="1" t="s">
        <v>224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3" t="s">
        <v>9</v>
      </c>
    </row>
    <row r="3" spans="1:25" x14ac:dyDescent="0.25">
      <c r="A3" t="s">
        <v>219</v>
      </c>
      <c r="C3" s="3" t="s">
        <v>225</v>
      </c>
      <c r="D3" s="3">
        <v>0</v>
      </c>
    </row>
    <row r="4" spans="1:25" x14ac:dyDescent="0.25">
      <c r="A4" t="s">
        <v>185</v>
      </c>
      <c r="C4" s="3" t="s">
        <v>1</v>
      </c>
      <c r="D4" s="4">
        <f>WACC!C23</f>
        <v>8.8451097931970868E-2</v>
      </c>
    </row>
    <row r="6" spans="1:25" x14ac:dyDescent="0.25">
      <c r="C6" s="3" t="s">
        <v>3</v>
      </c>
      <c r="D6" s="3" t="s">
        <v>4</v>
      </c>
      <c r="E6" s="3" t="s">
        <v>6</v>
      </c>
      <c r="F6" s="3" t="s">
        <v>8</v>
      </c>
      <c r="H6" s="3" t="s">
        <v>3</v>
      </c>
      <c r="I6" s="3" t="s">
        <v>4</v>
      </c>
      <c r="J6" s="3" t="s">
        <v>6</v>
      </c>
      <c r="K6" s="3" t="s">
        <v>8</v>
      </c>
      <c r="M6" s="3" t="s">
        <v>3</v>
      </c>
      <c r="N6" s="3" t="s">
        <v>4</v>
      </c>
      <c r="O6" s="3" t="s">
        <v>6</v>
      </c>
      <c r="P6" s="3" t="s">
        <v>8</v>
      </c>
    </row>
    <row r="7" spans="1:25" x14ac:dyDescent="0.25">
      <c r="C7" s="42" t="s">
        <v>16</v>
      </c>
      <c r="D7" s="6">
        <v>12100000</v>
      </c>
      <c r="E7" s="54">
        <v>2.8</v>
      </c>
      <c r="F7" s="6">
        <f>D7*E7/Auxiliary!$C$4</f>
        <v>1089267.2937451161</v>
      </c>
      <c r="G7" s="6"/>
      <c r="H7" t="s">
        <v>17</v>
      </c>
      <c r="I7" s="6">
        <v>3811000</v>
      </c>
      <c r="J7" s="11">
        <v>2</v>
      </c>
      <c r="K7" s="6">
        <f>I7*J7/Auxiliary!$C$4</f>
        <v>245052.99034608249</v>
      </c>
      <c r="M7" t="s">
        <v>14</v>
      </c>
      <c r="N7" s="6">
        <v>4935000</v>
      </c>
      <c r="O7">
        <v>2.89</v>
      </c>
      <c r="P7" s="6">
        <f>N7*O7/Auxiliary!$C$4</f>
        <v>458538.77017375757</v>
      </c>
    </row>
    <row r="8" spans="1:25" x14ac:dyDescent="0.25">
      <c r="C8" s="69"/>
      <c r="D8" s="74"/>
      <c r="E8" s="69"/>
      <c r="F8" s="74"/>
      <c r="G8" s="69"/>
      <c r="H8" s="69"/>
      <c r="I8" s="74"/>
      <c r="J8" s="75"/>
      <c r="K8" s="74"/>
    </row>
    <row r="9" spans="1:25" x14ac:dyDescent="0.25">
      <c r="B9" s="12" t="s">
        <v>20</v>
      </c>
      <c r="C9" s="12" t="s">
        <v>21</v>
      </c>
      <c r="D9" s="12"/>
      <c r="E9" s="12" t="s">
        <v>26</v>
      </c>
      <c r="F9" s="12" t="s">
        <v>27</v>
      </c>
      <c r="G9" s="12" t="s">
        <v>28</v>
      </c>
      <c r="H9" s="12" t="s">
        <v>29</v>
      </c>
      <c r="I9" s="12" t="s">
        <v>30</v>
      </c>
      <c r="J9" s="12" t="s">
        <v>31</v>
      </c>
      <c r="K9" s="12" t="s">
        <v>226</v>
      </c>
      <c r="L9" s="12" t="s">
        <v>33</v>
      </c>
      <c r="M9" s="12" t="s">
        <v>34</v>
      </c>
      <c r="N9" s="12" t="s">
        <v>35</v>
      </c>
      <c r="O9" s="12" t="s">
        <v>36</v>
      </c>
      <c r="P9" s="12" t="s">
        <v>37</v>
      </c>
      <c r="Q9" s="12" t="s">
        <v>38</v>
      </c>
      <c r="R9" s="12" t="s">
        <v>39</v>
      </c>
      <c r="S9" s="12" t="s">
        <v>40</v>
      </c>
      <c r="T9" s="12" t="s">
        <v>41</v>
      </c>
      <c r="U9" s="12" t="s">
        <v>54</v>
      </c>
      <c r="V9" s="12" t="s">
        <v>55</v>
      </c>
      <c r="W9" s="12" t="s">
        <v>71</v>
      </c>
      <c r="X9" s="12"/>
      <c r="Y9" s="12"/>
    </row>
    <row r="10" spans="1:25" x14ac:dyDescent="0.25"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5" ht="15.75" thickBot="1" x14ac:dyDescent="0.3">
      <c r="B11" s="1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5" x14ac:dyDescent="0.25">
      <c r="B12" t="s">
        <v>85</v>
      </c>
      <c r="C12" t="s">
        <v>43</v>
      </c>
      <c r="E12" s="6">
        <v>1789</v>
      </c>
      <c r="F12" s="6">
        <v>1884</v>
      </c>
      <c r="G12" s="15">
        <f>AVERAGE(H12:X12)</f>
        <v>1769.2857142857142</v>
      </c>
      <c r="H12" s="16">
        <f>'Central sheet'!L23</f>
        <v>1870</v>
      </c>
      <c r="I12" s="16">
        <f>'Central sheet'!M23</f>
        <v>1850</v>
      </c>
      <c r="J12" s="16">
        <f>'Central sheet'!N23</f>
        <v>1800</v>
      </c>
      <c r="K12" s="16">
        <f>'Central sheet'!O23</f>
        <v>1750</v>
      </c>
      <c r="L12" s="16">
        <f>'Central sheet'!P23</f>
        <v>1750</v>
      </c>
      <c r="M12" s="16">
        <f>'Central sheet'!Q23</f>
        <v>1750</v>
      </c>
      <c r="N12" s="16">
        <f>'Central sheet'!R23</f>
        <v>1750</v>
      </c>
      <c r="O12" s="16">
        <f>'Central sheet'!S23</f>
        <v>1750</v>
      </c>
      <c r="P12" s="16">
        <f>'Central sheet'!T23</f>
        <v>1750</v>
      </c>
      <c r="Q12" s="16">
        <f>'Central sheet'!U23</f>
        <v>1750</v>
      </c>
      <c r="R12" s="16">
        <f>'Central sheet'!V23</f>
        <v>1750</v>
      </c>
      <c r="S12" s="16">
        <f>'Central sheet'!W23</f>
        <v>1750</v>
      </c>
      <c r="T12" s="16">
        <f>'Central sheet'!X23</f>
        <v>1750</v>
      </c>
      <c r="U12" s="16">
        <f>'Central sheet'!Y23</f>
        <v>1750</v>
      </c>
      <c r="V12" s="16"/>
      <c r="W12" s="16"/>
    </row>
    <row r="13" spans="1:25" x14ac:dyDescent="0.25">
      <c r="G13" s="26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5" ht="15.75" thickBot="1" x14ac:dyDescent="0.3">
      <c r="B14" s="14" t="s">
        <v>56</v>
      </c>
      <c r="G14" s="26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5" x14ac:dyDescent="0.25">
      <c r="B15" t="s">
        <v>16</v>
      </c>
      <c r="C15" t="s">
        <v>57</v>
      </c>
      <c r="F15" s="6">
        <f>D7</f>
        <v>12100000</v>
      </c>
      <c r="G15" s="15">
        <f>D7</f>
        <v>12100000</v>
      </c>
      <c r="H15" s="16">
        <f>D7</f>
        <v>12100000</v>
      </c>
      <c r="I15" s="16">
        <f>H15</f>
        <v>12100000</v>
      </c>
      <c r="J15" s="16">
        <f t="shared" ref="J15:L15" si="0">I15</f>
        <v>12100000</v>
      </c>
      <c r="K15" s="16">
        <f t="shared" si="0"/>
        <v>12100000</v>
      </c>
      <c r="L15" s="16">
        <f t="shared" si="0"/>
        <v>12100000</v>
      </c>
      <c r="M15" s="16">
        <f>L15</f>
        <v>12100000</v>
      </c>
      <c r="N15" s="16">
        <f>IF(M15-M19&gt;=0,M15-M19,0)</f>
        <v>10850000</v>
      </c>
      <c r="O15" s="16">
        <f t="shared" ref="O15:U15" si="1">IF(N15-N19&gt;=0,N15-N19,0)</f>
        <v>9600000</v>
      </c>
      <c r="P15" s="16">
        <f t="shared" si="1"/>
        <v>8030000</v>
      </c>
      <c r="Q15" s="16">
        <f t="shared" si="1"/>
        <v>6460000</v>
      </c>
      <c r="R15" s="16">
        <f t="shared" si="1"/>
        <v>5224000</v>
      </c>
      <c r="S15" s="16">
        <f t="shared" si="1"/>
        <v>3922000</v>
      </c>
      <c r="T15" s="16">
        <f t="shared" si="1"/>
        <v>2352000</v>
      </c>
      <c r="U15" s="16">
        <f t="shared" si="1"/>
        <v>933000</v>
      </c>
      <c r="V15" s="13"/>
      <c r="W15" s="13"/>
    </row>
    <row r="16" spans="1:25" x14ac:dyDescent="0.25">
      <c r="G16" s="26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2:23" ht="15.75" thickBot="1" x14ac:dyDescent="0.3">
      <c r="B17" s="14" t="s">
        <v>61</v>
      </c>
      <c r="G17" s="26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2:23" x14ac:dyDescent="0.25">
      <c r="B18" t="s">
        <v>62</v>
      </c>
      <c r="C18" t="s">
        <v>63</v>
      </c>
      <c r="E18" s="6"/>
      <c r="F18" s="6"/>
      <c r="G18" s="15">
        <f t="shared" ref="G18:G19" si="2">SUM(H18:V18)</f>
        <v>33026.731042742729</v>
      </c>
      <c r="H18" s="16"/>
      <c r="I18" s="16"/>
      <c r="J18" s="16"/>
      <c r="K18" s="16"/>
      <c r="L18" s="16"/>
      <c r="M18" s="16">
        <f>M19/366</f>
        <v>3415.3005464480875</v>
      </c>
      <c r="N18" s="16">
        <f>N19/365</f>
        <v>3424.6575342465753</v>
      </c>
      <c r="O18" s="16">
        <f t="shared" ref="O18:P18" si="3">O19/365</f>
        <v>4301.3698630136987</v>
      </c>
      <c r="P18" s="16">
        <f t="shared" si="3"/>
        <v>4301.3698630136987</v>
      </c>
      <c r="Q18" s="16">
        <f>Q19/366</f>
        <v>3377.0491803278687</v>
      </c>
      <c r="R18" s="16">
        <f>R19/365</f>
        <v>3567.1232876712329</v>
      </c>
      <c r="S18" s="16">
        <f t="shared" ref="S18:T18" si="4">S19/365</f>
        <v>4301.3698630136987</v>
      </c>
      <c r="T18" s="16">
        <f t="shared" si="4"/>
        <v>3887.6712328767121</v>
      </c>
      <c r="U18" s="16">
        <f>U19/366</f>
        <v>2450.8196721311474</v>
      </c>
      <c r="V18" s="16"/>
      <c r="W18" s="16"/>
    </row>
    <row r="19" spans="2:23" x14ac:dyDescent="0.25">
      <c r="B19" t="s">
        <v>64</v>
      </c>
      <c r="C19" t="s">
        <v>57</v>
      </c>
      <c r="F19" s="6"/>
      <c r="G19" s="15">
        <f t="shared" si="2"/>
        <v>12064000</v>
      </c>
      <c r="H19" s="16"/>
      <c r="I19" s="16"/>
      <c r="J19" s="16"/>
      <c r="K19" s="16"/>
      <c r="L19" s="16"/>
      <c r="M19" s="16">
        <v>1250000</v>
      </c>
      <c r="N19" s="16">
        <f>M19</f>
        <v>1250000</v>
      </c>
      <c r="O19" s="16">
        <v>1570000</v>
      </c>
      <c r="P19" s="16">
        <f>O19</f>
        <v>1570000</v>
      </c>
      <c r="Q19" s="16">
        <v>1236000</v>
      </c>
      <c r="R19" s="16">
        <v>1302000</v>
      </c>
      <c r="S19" s="16">
        <v>1570000</v>
      </c>
      <c r="T19" s="16">
        <v>1419000</v>
      </c>
      <c r="U19" s="16">
        <v>897000</v>
      </c>
      <c r="V19" s="16"/>
      <c r="W19" s="16"/>
    </row>
    <row r="20" spans="2:23" x14ac:dyDescent="0.25">
      <c r="B20" t="s">
        <v>67</v>
      </c>
      <c r="C20" t="s">
        <v>66</v>
      </c>
      <c r="G20" s="56">
        <f>AVERAGE(H20:U20)</f>
        <v>2.8011111111111102</v>
      </c>
      <c r="H20" s="13"/>
      <c r="I20" s="13"/>
      <c r="J20" s="13"/>
      <c r="K20" s="13"/>
      <c r="L20" s="13"/>
      <c r="M20" s="13">
        <v>2.73</v>
      </c>
      <c r="N20" s="13">
        <v>3.85</v>
      </c>
      <c r="O20" s="13">
        <v>2.78</v>
      </c>
      <c r="P20" s="13">
        <v>3.16</v>
      </c>
      <c r="Q20" s="13">
        <v>3.26</v>
      </c>
      <c r="R20" s="13">
        <v>3.59</v>
      </c>
      <c r="S20" s="13">
        <v>1.93</v>
      </c>
      <c r="T20" s="13">
        <v>1.99</v>
      </c>
      <c r="U20" s="13">
        <v>1.92</v>
      </c>
      <c r="V20" s="13"/>
      <c r="W20" s="13"/>
    </row>
    <row r="21" spans="2:23" x14ac:dyDescent="0.25">
      <c r="G21" s="26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2:23" ht="15.75" thickBot="1" x14ac:dyDescent="0.3">
      <c r="B22" s="14" t="s">
        <v>82</v>
      </c>
      <c r="G22" s="26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2:23" x14ac:dyDescent="0.25">
      <c r="B23" t="s">
        <v>85</v>
      </c>
      <c r="C23" t="s">
        <v>84</v>
      </c>
      <c r="E23" s="6"/>
      <c r="F23" s="6"/>
      <c r="G23" s="15">
        <f t="shared" ref="G23" si="5">SUM(H23:V23)</f>
        <v>1087675.5102825032</v>
      </c>
      <c r="H23" s="16"/>
      <c r="I23" s="16"/>
      <c r="J23" s="16"/>
      <c r="K23" s="16"/>
      <c r="L23" s="16"/>
      <c r="M23" s="16">
        <f>M19*M20/Auxiliary!$C$4</f>
        <v>109714.42266544298</v>
      </c>
      <c r="N23" s="16">
        <f>N19*N20/Auxiliary!$C$4</f>
        <v>154725.46786152216</v>
      </c>
      <c r="O23" s="16">
        <f>O19*O20/Auxiliary!$C$4</f>
        <v>140325.14847343368</v>
      </c>
      <c r="P23" s="16">
        <f>P19*P20/Auxiliary!$C$4</f>
        <v>159506.28387627713</v>
      </c>
      <c r="Q23" s="16">
        <f>Q19*Q20/Auxiliary!$C$4</f>
        <v>129546.93219376683</v>
      </c>
      <c r="R23" s="16">
        <f>R19*R20/Auxiliary!$C$4</f>
        <v>150278.37659614955</v>
      </c>
      <c r="S23" s="16">
        <f>S19*S20/Auxiliary!$C$4</f>
        <v>97419.977177599649</v>
      </c>
      <c r="T23" s="16">
        <f>T19*T20/Auxiliary!$C$4</f>
        <v>90787.599667957373</v>
      </c>
      <c r="U23" s="16">
        <f>U19*U20/Auxiliary!$C$4</f>
        <v>55371.301770353857</v>
      </c>
      <c r="V23" s="16"/>
      <c r="W23" s="16"/>
    </row>
    <row r="24" spans="2:23" x14ac:dyDescent="0.25">
      <c r="G24" s="26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2:23" ht="15.75" thickBot="1" x14ac:dyDescent="0.3">
      <c r="B25" s="14" t="s">
        <v>86</v>
      </c>
      <c r="G25" s="26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2:23" x14ac:dyDescent="0.25">
      <c r="B26" t="s">
        <v>85</v>
      </c>
      <c r="C26" t="s">
        <v>70</v>
      </c>
      <c r="G26" s="27">
        <f>AVERAGE(H26:U26)</f>
        <v>0.94500000000000006</v>
      </c>
      <c r="H26" s="13"/>
      <c r="I26" s="13"/>
      <c r="J26" s="13"/>
      <c r="K26" s="13"/>
      <c r="L26" s="13"/>
      <c r="M26" s="34">
        <v>0.94499999999999995</v>
      </c>
      <c r="N26" s="34">
        <f>M26</f>
        <v>0.94499999999999995</v>
      </c>
      <c r="O26" s="34">
        <f t="shared" ref="O26:U26" si="6">N26</f>
        <v>0.94499999999999995</v>
      </c>
      <c r="P26" s="34">
        <f t="shared" si="6"/>
        <v>0.94499999999999995</v>
      </c>
      <c r="Q26" s="34">
        <f t="shared" si="6"/>
        <v>0.94499999999999995</v>
      </c>
      <c r="R26" s="34">
        <f t="shared" si="6"/>
        <v>0.94499999999999995</v>
      </c>
      <c r="S26" s="34">
        <f t="shared" si="6"/>
        <v>0.94499999999999995</v>
      </c>
      <c r="T26" s="34">
        <f t="shared" si="6"/>
        <v>0.94499999999999995</v>
      </c>
      <c r="U26" s="34">
        <f t="shared" si="6"/>
        <v>0.94499999999999995</v>
      </c>
      <c r="V26" s="13"/>
      <c r="W26" s="13"/>
    </row>
    <row r="27" spans="2:23" x14ac:dyDescent="0.25">
      <c r="G27" s="26"/>
      <c r="H27" s="13"/>
      <c r="I27" s="13"/>
      <c r="J27" s="13"/>
      <c r="K27" s="13"/>
      <c r="L27" s="13"/>
      <c r="M27" s="34"/>
      <c r="N27" s="34"/>
      <c r="O27" s="34"/>
      <c r="P27" s="34"/>
      <c r="Q27" s="34"/>
      <c r="R27" s="34"/>
      <c r="S27" s="34"/>
      <c r="T27" s="34"/>
      <c r="U27" s="34"/>
      <c r="V27" s="13"/>
      <c r="W27" s="13"/>
    </row>
    <row r="28" spans="2:23" ht="15.75" thickBot="1" x14ac:dyDescent="0.3">
      <c r="B28" s="14" t="s">
        <v>87</v>
      </c>
      <c r="G28" s="26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2:23" x14ac:dyDescent="0.25">
      <c r="B29" t="s">
        <v>85</v>
      </c>
      <c r="C29" t="s">
        <v>84</v>
      </c>
      <c r="E29" s="6"/>
      <c r="F29" s="6"/>
      <c r="G29" s="15">
        <f t="shared" ref="G29" si="7">SUM(H29:V29)</f>
        <v>1027853.3572169658</v>
      </c>
      <c r="H29" s="16"/>
      <c r="I29" s="16"/>
      <c r="J29" s="16"/>
      <c r="K29" s="16"/>
      <c r="L29" s="16"/>
      <c r="M29" s="16">
        <f>M23*M26</f>
        <v>103680.12941884361</v>
      </c>
      <c r="N29" s="16">
        <f t="shared" ref="N29:U29" si="8">N23*N26</f>
        <v>146215.56712913845</v>
      </c>
      <c r="O29" s="16">
        <f t="shared" si="8"/>
        <v>132607.26530739482</v>
      </c>
      <c r="P29" s="16">
        <f t="shared" si="8"/>
        <v>150733.43826308189</v>
      </c>
      <c r="Q29" s="16">
        <f t="shared" si="8"/>
        <v>122421.85092310964</v>
      </c>
      <c r="R29" s="16">
        <f t="shared" si="8"/>
        <v>142013.06588336133</v>
      </c>
      <c r="S29" s="16">
        <f t="shared" si="8"/>
        <v>92061.878432831669</v>
      </c>
      <c r="T29" s="16">
        <f t="shared" si="8"/>
        <v>85794.281686219707</v>
      </c>
      <c r="U29" s="16">
        <f t="shared" si="8"/>
        <v>52325.880172984391</v>
      </c>
      <c r="V29" s="16"/>
      <c r="W29" s="16"/>
    </row>
    <row r="30" spans="2:23" x14ac:dyDescent="0.25">
      <c r="G30" s="26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2:23" ht="15.75" thickBot="1" x14ac:dyDescent="0.3">
      <c r="B31" s="14" t="s">
        <v>91</v>
      </c>
      <c r="G31" s="26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2:23" x14ac:dyDescent="0.25">
      <c r="B32" t="s">
        <v>85</v>
      </c>
      <c r="C32" t="s">
        <v>70</v>
      </c>
      <c r="G32" s="27">
        <f>AVERAGE(H32:U32)</f>
        <v>0.99</v>
      </c>
      <c r="H32" s="13"/>
      <c r="I32" s="13"/>
      <c r="J32" s="13"/>
      <c r="K32" s="13"/>
      <c r="L32" s="13"/>
      <c r="M32" s="34">
        <v>0.99</v>
      </c>
      <c r="N32" s="34">
        <f>M32</f>
        <v>0.99</v>
      </c>
      <c r="O32" s="34">
        <f t="shared" ref="O32:U32" si="9">N32</f>
        <v>0.99</v>
      </c>
      <c r="P32" s="34">
        <f t="shared" si="9"/>
        <v>0.99</v>
      </c>
      <c r="Q32" s="34">
        <f t="shared" si="9"/>
        <v>0.99</v>
      </c>
      <c r="R32" s="34">
        <f t="shared" si="9"/>
        <v>0.99</v>
      </c>
      <c r="S32" s="34">
        <f t="shared" si="9"/>
        <v>0.99</v>
      </c>
      <c r="T32" s="34">
        <f t="shared" si="9"/>
        <v>0.99</v>
      </c>
      <c r="U32" s="34">
        <f t="shared" si="9"/>
        <v>0.99</v>
      </c>
      <c r="V32" s="13"/>
      <c r="W32" s="13"/>
    </row>
    <row r="33" spans="2:23" x14ac:dyDescent="0.25">
      <c r="G33" s="26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2:23" ht="15.75" thickBot="1" x14ac:dyDescent="0.3">
      <c r="B34" s="14" t="s">
        <v>92</v>
      </c>
      <c r="G34" s="26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2:23" x14ac:dyDescent="0.25">
      <c r="B35" t="s">
        <v>85</v>
      </c>
      <c r="C35" t="s">
        <v>84</v>
      </c>
      <c r="G35" s="15">
        <f t="shared" ref="G35" si="10">SUM(H35:V35)</f>
        <v>1017574.8236447959</v>
      </c>
      <c r="H35" s="13"/>
      <c r="I35" s="13"/>
      <c r="J35" s="13"/>
      <c r="K35" s="13"/>
      <c r="L35" s="13"/>
      <c r="M35" s="16">
        <f>M29*M32</f>
        <v>102643.32812465518</v>
      </c>
      <c r="N35" s="16">
        <f t="shared" ref="N35:U35" si="11">N29*N32</f>
        <v>144753.41145784708</v>
      </c>
      <c r="O35" s="16">
        <f t="shared" si="11"/>
        <v>131281.19265432085</v>
      </c>
      <c r="P35" s="16">
        <f t="shared" si="11"/>
        <v>149226.10388045106</v>
      </c>
      <c r="Q35" s="16">
        <f t="shared" si="11"/>
        <v>121197.63241387854</v>
      </c>
      <c r="R35" s="16">
        <f t="shared" si="11"/>
        <v>140592.93522452773</v>
      </c>
      <c r="S35" s="16">
        <f t="shared" si="11"/>
        <v>91141.259648503357</v>
      </c>
      <c r="T35" s="16">
        <f t="shared" si="11"/>
        <v>84936.338869357511</v>
      </c>
      <c r="U35" s="16">
        <f t="shared" si="11"/>
        <v>51802.621371254543</v>
      </c>
      <c r="V35" s="13"/>
      <c r="W35" s="13"/>
    </row>
    <row r="36" spans="2:23" x14ac:dyDescent="0.25">
      <c r="G36" s="26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2:23" ht="15.75" thickBot="1" x14ac:dyDescent="0.3">
      <c r="B37" s="14" t="s">
        <v>155</v>
      </c>
      <c r="G37" s="26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2:23" x14ac:dyDescent="0.25">
      <c r="B38" t="s">
        <v>85</v>
      </c>
      <c r="C38" t="s">
        <v>93</v>
      </c>
      <c r="G38" s="15">
        <f t="shared" ref="G38" si="12">SUM(H38:V38)</f>
        <v>1780755941.3783927</v>
      </c>
      <c r="H38" s="13"/>
      <c r="I38" s="13"/>
      <c r="J38" s="13"/>
      <c r="K38" s="13"/>
      <c r="L38" s="13"/>
      <c r="M38" s="16">
        <f>M12*M35</f>
        <v>179625824.21814656</v>
      </c>
      <c r="N38" s="16">
        <f t="shared" ref="N38:U38" si="13">N12*N35</f>
        <v>253318470.0512324</v>
      </c>
      <c r="O38" s="16">
        <f t="shared" si="13"/>
        <v>229742087.14506149</v>
      </c>
      <c r="P38" s="16">
        <f t="shared" si="13"/>
        <v>261145681.79078937</v>
      </c>
      <c r="Q38" s="16">
        <f t="shared" si="13"/>
        <v>212095856.72428745</v>
      </c>
      <c r="R38" s="16">
        <f t="shared" si="13"/>
        <v>246037636.64292353</v>
      </c>
      <c r="S38" s="16">
        <f t="shared" si="13"/>
        <v>159497204.38488087</v>
      </c>
      <c r="T38" s="16">
        <f t="shared" si="13"/>
        <v>148638593.02137566</v>
      </c>
      <c r="U38" s="16">
        <f t="shared" si="13"/>
        <v>90654587.399695456</v>
      </c>
      <c r="V38" s="13"/>
      <c r="W38" s="13"/>
    </row>
    <row r="39" spans="2:23" x14ac:dyDescent="0.25">
      <c r="G39" s="26"/>
      <c r="H39" s="13"/>
      <c r="I39" s="13"/>
      <c r="J39" s="13"/>
      <c r="K39" s="13"/>
      <c r="L39" s="13"/>
      <c r="M39" s="16"/>
      <c r="N39" s="16"/>
      <c r="O39" s="16"/>
      <c r="P39" s="16"/>
      <c r="Q39" s="16"/>
      <c r="R39" s="16"/>
      <c r="S39" s="16"/>
      <c r="T39" s="16"/>
      <c r="U39" s="16"/>
      <c r="V39" s="13"/>
      <c r="W39" s="13"/>
    </row>
    <row r="40" spans="2:23" ht="15.75" thickBot="1" x14ac:dyDescent="0.3">
      <c r="B40" s="14" t="s">
        <v>95</v>
      </c>
      <c r="G40" s="26"/>
      <c r="H40" s="13"/>
      <c r="I40" s="13"/>
      <c r="J40" s="13"/>
      <c r="K40" s="13"/>
      <c r="L40" s="13"/>
      <c r="M40" s="16"/>
      <c r="N40" s="16"/>
      <c r="O40" s="16"/>
      <c r="P40" s="16"/>
      <c r="Q40" s="16"/>
      <c r="R40" s="16"/>
      <c r="S40" s="16"/>
      <c r="T40" s="16"/>
      <c r="U40" s="16"/>
      <c r="V40" s="13"/>
      <c r="W40" s="13"/>
    </row>
    <row r="41" spans="2:23" x14ac:dyDescent="0.25">
      <c r="B41" s="73" t="s">
        <v>97</v>
      </c>
      <c r="C41" t="s">
        <v>93</v>
      </c>
      <c r="G41" s="15">
        <f t="shared" ref="G41:G42" si="14">SUM(H41:V41)</f>
        <v>2860000</v>
      </c>
      <c r="H41" s="13"/>
      <c r="I41" s="13"/>
      <c r="J41" s="13"/>
      <c r="K41" s="13"/>
      <c r="L41" s="13"/>
      <c r="M41" s="16">
        <f>300000*Auxiliary!$B$22</f>
        <v>330000</v>
      </c>
      <c r="N41" s="16">
        <f>400000*Auxiliary!$B$22</f>
        <v>440000.00000000006</v>
      </c>
      <c r="O41" s="16">
        <f>300000*Auxiliary!$B$22</f>
        <v>330000</v>
      </c>
      <c r="P41" s="16">
        <f>400000*Auxiliary!$B$22</f>
        <v>440000.00000000006</v>
      </c>
      <c r="Q41" s="16">
        <f>300000*Auxiliary!$B$22</f>
        <v>330000</v>
      </c>
      <c r="R41" s="16">
        <f>400000*Auxiliary!$B$22</f>
        <v>440000.00000000006</v>
      </c>
      <c r="S41" s="16">
        <f>200000*Auxiliary!$B$22</f>
        <v>220000.00000000003</v>
      </c>
      <c r="T41" s="16">
        <f>200000*Auxiliary!$B$22</f>
        <v>220000.00000000003</v>
      </c>
      <c r="U41" s="16">
        <f>100000*Auxiliary!$B$22</f>
        <v>110000.00000000001</v>
      </c>
      <c r="V41" s="13"/>
      <c r="W41" s="13"/>
    </row>
    <row r="42" spans="2:23" x14ac:dyDescent="0.25">
      <c r="B42" s="32" t="s">
        <v>95</v>
      </c>
      <c r="C42" t="s">
        <v>93</v>
      </c>
      <c r="G42" s="15">
        <f t="shared" si="14"/>
        <v>1777895941.3783927</v>
      </c>
      <c r="H42" s="13"/>
      <c r="I42" s="13"/>
      <c r="J42" s="13"/>
      <c r="K42" s="13"/>
      <c r="L42" s="13"/>
      <c r="M42" s="16">
        <f>M38-M41</f>
        <v>179295824.21814656</v>
      </c>
      <c r="N42" s="16">
        <f t="shared" ref="N42:U42" si="15">N38-N41</f>
        <v>252878470.0512324</v>
      </c>
      <c r="O42" s="16">
        <f t="shared" si="15"/>
        <v>229412087.14506149</v>
      </c>
      <c r="P42" s="16">
        <f t="shared" si="15"/>
        <v>260705681.79078937</v>
      </c>
      <c r="Q42" s="16">
        <f t="shared" si="15"/>
        <v>211765856.72428745</v>
      </c>
      <c r="R42" s="16">
        <f t="shared" si="15"/>
        <v>245597636.64292353</v>
      </c>
      <c r="S42" s="16">
        <f t="shared" si="15"/>
        <v>159277204.38488087</v>
      </c>
      <c r="T42" s="16">
        <f t="shared" si="15"/>
        <v>148418593.02137566</v>
      </c>
      <c r="U42" s="16">
        <f t="shared" si="15"/>
        <v>90544587.399695456</v>
      </c>
      <c r="V42" s="13"/>
      <c r="W42" s="13"/>
    </row>
    <row r="43" spans="2:23" x14ac:dyDescent="0.25">
      <c r="G43" s="26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2:23" ht="15.75" thickBot="1" x14ac:dyDescent="0.3">
      <c r="B44" s="14" t="s">
        <v>131</v>
      </c>
      <c r="G44" s="26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2:23" x14ac:dyDescent="0.25">
      <c r="G45" s="46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2:23" x14ac:dyDescent="0.25">
      <c r="B46" s="3" t="s">
        <v>132</v>
      </c>
      <c r="G46" s="46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2:23" x14ac:dyDescent="0.25">
      <c r="B47" s="42" t="s">
        <v>227</v>
      </c>
      <c r="C47" t="s">
        <v>93</v>
      </c>
      <c r="G47" s="15">
        <f t="shared" ref="G47:G50" si="16">SUM(H47:V47)</f>
        <v>399410000</v>
      </c>
      <c r="H47" s="13"/>
      <c r="I47" s="13"/>
      <c r="J47" s="13"/>
      <c r="K47" s="13"/>
      <c r="L47" s="13"/>
      <c r="M47" s="16">
        <f>30700000*Auxiliary!B22</f>
        <v>33770000</v>
      </c>
      <c r="N47" s="16">
        <f>44100000*Auxiliary!B22</f>
        <v>48510000.000000007</v>
      </c>
      <c r="O47" s="16">
        <f>48600000*Auxiliary!B22</f>
        <v>53460000.000000007</v>
      </c>
      <c r="P47" s="16">
        <f>45500000*Auxiliary!B22</f>
        <v>50050000.000000007</v>
      </c>
      <c r="Q47" s="16">
        <f>38900000*Auxiliary!B22</f>
        <v>42790000</v>
      </c>
      <c r="R47" s="16">
        <f>56200000*Auxiliary!B22</f>
        <v>61820000.000000007</v>
      </c>
      <c r="S47" s="16">
        <f>40400000*Auxiliary!B22</f>
        <v>44440000</v>
      </c>
      <c r="T47" s="16">
        <f>31800000*Auxiliary!B22</f>
        <v>34980000</v>
      </c>
      <c r="U47" s="16">
        <f>26900000*Auxiliary!B22</f>
        <v>29590000.000000004</v>
      </c>
      <c r="V47" s="13"/>
      <c r="W47" s="13"/>
    </row>
    <row r="48" spans="2:23" x14ac:dyDescent="0.25">
      <c r="B48" s="42" t="s">
        <v>228</v>
      </c>
      <c r="C48" t="s">
        <v>93</v>
      </c>
      <c r="G48" s="15">
        <f t="shared" si="16"/>
        <v>166760000</v>
      </c>
      <c r="H48" s="13"/>
      <c r="I48" s="13"/>
      <c r="J48" s="13"/>
      <c r="K48" s="13"/>
      <c r="L48" s="13"/>
      <c r="M48" s="16">
        <f>18600000*Auxiliary!B22</f>
        <v>20460000</v>
      </c>
      <c r="N48" s="16">
        <f>M48</f>
        <v>20460000</v>
      </c>
      <c r="O48" s="16">
        <f>19500000*Auxiliary!B22</f>
        <v>21450000</v>
      </c>
      <c r="P48" s="16">
        <f>19200000*Auxiliary!B22</f>
        <v>21120000</v>
      </c>
      <c r="Q48" s="16">
        <f>16200000*Auxiliary!B22</f>
        <v>17820000</v>
      </c>
      <c r="R48" s="16">
        <f>16400000*Auxiliary!B22</f>
        <v>18040000</v>
      </c>
      <c r="S48" s="16">
        <f>17500000*Auxiliary!B22</f>
        <v>19250000</v>
      </c>
      <c r="T48" s="16">
        <f>15600000*Auxiliary!B22</f>
        <v>17160000</v>
      </c>
      <c r="U48" s="16">
        <f>10000000*Auxiliary!B22</f>
        <v>11000000</v>
      </c>
      <c r="V48" s="13"/>
      <c r="W48" s="13"/>
    </row>
    <row r="49" spans="2:23" x14ac:dyDescent="0.25">
      <c r="B49" s="42" t="s">
        <v>144</v>
      </c>
      <c r="C49" t="s">
        <v>93</v>
      </c>
      <c r="G49" s="15">
        <f t="shared" si="16"/>
        <v>70400000</v>
      </c>
      <c r="H49" s="13"/>
      <c r="I49" s="13"/>
      <c r="J49" s="13"/>
      <c r="K49" s="13"/>
      <c r="L49" s="13"/>
      <c r="M49" s="16">
        <f>8300000*Auxiliary!B22</f>
        <v>9130000</v>
      </c>
      <c r="N49" s="16">
        <f>8200000*Auxiliary!B22</f>
        <v>9020000</v>
      </c>
      <c r="O49" s="16">
        <f>7500000*Auxiliary!B22</f>
        <v>8250000.0000000009</v>
      </c>
      <c r="P49" s="16">
        <f t="shared" ref="P49" si="17">O49</f>
        <v>8250000.0000000009</v>
      </c>
      <c r="Q49" s="16">
        <f>7300000*Auxiliary!B22</f>
        <v>8030000.0000000009</v>
      </c>
      <c r="R49" s="16">
        <f>7400000*Auxiliary!B22</f>
        <v>8140000.0000000009</v>
      </c>
      <c r="S49" s="16">
        <f>7000000*Auxiliary!B22</f>
        <v>7700000.0000000009</v>
      </c>
      <c r="T49" s="16">
        <f>6500000*Auxiliary!B22</f>
        <v>7150000.0000000009</v>
      </c>
      <c r="U49" s="16">
        <f>4300000*Auxiliary!B22</f>
        <v>4730000</v>
      </c>
      <c r="V49" s="13"/>
      <c r="W49" s="13"/>
    </row>
    <row r="50" spans="2:23" x14ac:dyDescent="0.25">
      <c r="B50" s="42" t="s">
        <v>133</v>
      </c>
      <c r="C50" t="s">
        <v>93</v>
      </c>
      <c r="G50" s="15">
        <f t="shared" si="16"/>
        <v>639430000</v>
      </c>
      <c r="H50" s="13"/>
      <c r="I50" s="13"/>
      <c r="J50" s="13"/>
      <c r="K50" s="13"/>
      <c r="L50" s="13"/>
      <c r="M50" s="16">
        <f>M41+SUM(M47:M49)</f>
        <v>63690000</v>
      </c>
      <c r="N50" s="16">
        <f t="shared" ref="N50:U50" si="18">N41+SUM(N47:N49)</f>
        <v>78430000</v>
      </c>
      <c r="O50" s="16">
        <f t="shared" si="18"/>
        <v>83490000</v>
      </c>
      <c r="P50" s="16">
        <f t="shared" si="18"/>
        <v>79860000</v>
      </c>
      <c r="Q50" s="16">
        <f t="shared" si="18"/>
        <v>68970000</v>
      </c>
      <c r="R50" s="16">
        <f t="shared" si="18"/>
        <v>88440000</v>
      </c>
      <c r="S50" s="16">
        <f t="shared" si="18"/>
        <v>71610000</v>
      </c>
      <c r="T50" s="16">
        <f t="shared" si="18"/>
        <v>59510000</v>
      </c>
      <c r="U50" s="16">
        <f t="shared" si="18"/>
        <v>45430000</v>
      </c>
      <c r="V50" s="13"/>
      <c r="W50" s="13"/>
    </row>
    <row r="51" spans="2:23" x14ac:dyDescent="0.25">
      <c r="B51" s="42" t="s">
        <v>202</v>
      </c>
      <c r="C51" t="s">
        <v>134</v>
      </c>
      <c r="G51" s="76">
        <f>AVERAGE(H51:U51)</f>
        <v>53.295985931496119</v>
      </c>
      <c r="H51" s="13"/>
      <c r="I51" s="13"/>
      <c r="J51" s="13"/>
      <c r="K51" s="13"/>
      <c r="L51" s="13"/>
      <c r="M51" s="50">
        <f t="shared" ref="M51:U51" si="19">M50/M19</f>
        <v>50.951999999999998</v>
      </c>
      <c r="N51" s="50">
        <f t="shared" si="19"/>
        <v>62.744</v>
      </c>
      <c r="O51" s="50">
        <f t="shared" si="19"/>
        <v>53.178343949044589</v>
      </c>
      <c r="P51" s="50">
        <f t="shared" si="19"/>
        <v>50.866242038216562</v>
      </c>
      <c r="Q51" s="50">
        <f t="shared" si="19"/>
        <v>55.800970873786405</v>
      </c>
      <c r="R51" s="50">
        <f t="shared" si="19"/>
        <v>67.926267281105993</v>
      </c>
      <c r="S51" s="50">
        <f t="shared" si="19"/>
        <v>45.611464968152866</v>
      </c>
      <c r="T51" s="50">
        <f t="shared" si="19"/>
        <v>41.937984496124031</v>
      </c>
      <c r="U51" s="50">
        <f t="shared" si="19"/>
        <v>50.64659977703456</v>
      </c>
      <c r="V51" s="13"/>
      <c r="W51" s="13"/>
    </row>
    <row r="52" spans="2:23" x14ac:dyDescent="0.25">
      <c r="B52" s="42" t="s">
        <v>203</v>
      </c>
      <c r="C52" t="s">
        <v>43</v>
      </c>
      <c r="G52" s="15">
        <f>AVERAGE(H52:U52)</f>
        <v>654.98771848226875</v>
      </c>
      <c r="H52" s="13"/>
      <c r="I52" s="13"/>
      <c r="J52" s="13"/>
      <c r="K52" s="13"/>
      <c r="L52" s="13"/>
      <c r="M52" s="16">
        <f t="shared" ref="M52:U52" si="20">M50/M35</f>
        <v>620.49819665484426</v>
      </c>
      <c r="N52" s="16">
        <f t="shared" si="20"/>
        <v>541.81797313177117</v>
      </c>
      <c r="O52" s="16">
        <f t="shared" si="20"/>
        <v>635.96314378282045</v>
      </c>
      <c r="P52" s="16">
        <f t="shared" si="20"/>
        <v>535.16106045345748</v>
      </c>
      <c r="Q52" s="16">
        <f t="shared" si="20"/>
        <v>569.07052247088393</v>
      </c>
      <c r="R52" s="16">
        <f t="shared" si="20"/>
        <v>629.05010026827313</v>
      </c>
      <c r="S52" s="16">
        <f t="shared" si="20"/>
        <v>785.70342648512997</v>
      </c>
      <c r="T52" s="16">
        <f t="shared" si="20"/>
        <v>700.64239631912631</v>
      </c>
      <c r="U52" s="16">
        <f t="shared" si="20"/>
        <v>876.98264677411225</v>
      </c>
      <c r="V52" s="13"/>
      <c r="W52" s="13"/>
    </row>
    <row r="53" spans="2:23" x14ac:dyDescent="0.25">
      <c r="G53" s="46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2:23" x14ac:dyDescent="0.25">
      <c r="B54" s="8" t="s">
        <v>139</v>
      </c>
      <c r="G54" s="15">
        <f t="shared" ref="G54:G55" si="21">SUM(H54:V54)</f>
        <v>461000000</v>
      </c>
      <c r="H54" s="13"/>
      <c r="I54" s="13"/>
      <c r="J54" s="13"/>
      <c r="K54" s="13"/>
      <c r="L54" s="13"/>
      <c r="M54" s="16">
        <f>97000000-11000000/0.25</f>
        <v>53000000</v>
      </c>
      <c r="N54" s="16">
        <f>149000000-2000000/0.25</f>
        <v>141000000</v>
      </c>
      <c r="O54" s="16">
        <f>123000000-1000000/0.25</f>
        <v>119000000</v>
      </c>
      <c r="P54" s="16">
        <f>154000000-18000000/0.25</f>
        <v>82000000</v>
      </c>
      <c r="Q54" s="16">
        <f>121000000-29000000/0.25</f>
        <v>5000000</v>
      </c>
      <c r="R54" s="16">
        <f>133000000-32000000/0.25</f>
        <v>5000000</v>
      </c>
      <c r="S54" s="16">
        <f>72000000-13000000/0.25</f>
        <v>20000000</v>
      </c>
      <c r="T54" s="16">
        <f>75000000-14000000/0.25</f>
        <v>19000000</v>
      </c>
      <c r="U54" s="16">
        <f>37000000-5000000/0.25</f>
        <v>17000000</v>
      </c>
      <c r="V54" s="13"/>
      <c r="W54" s="13"/>
    </row>
    <row r="55" spans="2:23" x14ac:dyDescent="0.25">
      <c r="B55" s="32" t="s">
        <v>145</v>
      </c>
      <c r="C55" t="s">
        <v>93</v>
      </c>
      <c r="G55" s="15">
        <f t="shared" si="21"/>
        <v>1100430000</v>
      </c>
      <c r="H55" s="13"/>
      <c r="I55" s="13"/>
      <c r="J55" s="13"/>
      <c r="K55" s="13"/>
      <c r="L55" s="13"/>
      <c r="M55" s="16">
        <f>M50+M54</f>
        <v>116690000</v>
      </c>
      <c r="N55" s="16">
        <f t="shared" ref="N55:U55" si="22">N50+N54</f>
        <v>219430000</v>
      </c>
      <c r="O55" s="16">
        <f t="shared" si="22"/>
        <v>202490000</v>
      </c>
      <c r="P55" s="16">
        <f t="shared" si="22"/>
        <v>161860000</v>
      </c>
      <c r="Q55" s="16">
        <f t="shared" si="22"/>
        <v>73970000</v>
      </c>
      <c r="R55" s="16">
        <f t="shared" si="22"/>
        <v>93440000</v>
      </c>
      <c r="S55" s="16">
        <f t="shared" si="22"/>
        <v>91610000</v>
      </c>
      <c r="T55" s="16">
        <f t="shared" si="22"/>
        <v>78510000</v>
      </c>
      <c r="U55" s="16">
        <f t="shared" si="22"/>
        <v>62430000</v>
      </c>
      <c r="V55" s="13"/>
      <c r="W55" s="13"/>
    </row>
    <row r="56" spans="2:23" x14ac:dyDescent="0.25">
      <c r="G56" s="46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2:23" ht="15.75" thickBot="1" x14ac:dyDescent="0.3">
      <c r="B57" s="14" t="s">
        <v>146</v>
      </c>
      <c r="G57" s="46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2:23" x14ac:dyDescent="0.25">
      <c r="B58" t="s">
        <v>231</v>
      </c>
      <c r="C58" t="s">
        <v>93</v>
      </c>
      <c r="G58" s="15">
        <f t="shared" ref="G58:G60" si="23">SUM(H58:V58)</f>
        <v>6930000</v>
      </c>
      <c r="H58" s="13"/>
      <c r="I58" s="13"/>
      <c r="J58" s="13"/>
      <c r="K58" s="13"/>
      <c r="L58" s="13"/>
      <c r="M58" s="16">
        <v>6930000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2:23" x14ac:dyDescent="0.25">
      <c r="B59" t="s">
        <v>230</v>
      </c>
      <c r="C59" t="s">
        <v>93</v>
      </c>
      <c r="G59" s="15">
        <f t="shared" si="23"/>
        <v>10667375.648270356</v>
      </c>
      <c r="H59" s="13"/>
      <c r="I59" s="13"/>
      <c r="J59" s="13"/>
      <c r="K59" s="13"/>
      <c r="L59" s="16"/>
      <c r="M59" s="16">
        <f>0.6%*M42</f>
        <v>1075774.9453088795</v>
      </c>
      <c r="N59" s="16">
        <f t="shared" ref="N59:U59" si="24">0.6%*N42</f>
        <v>1517270.8203073945</v>
      </c>
      <c r="O59" s="16">
        <f t="shared" si="24"/>
        <v>1376472.522870369</v>
      </c>
      <c r="P59" s="16">
        <f t="shared" si="24"/>
        <v>1564234.0907447361</v>
      </c>
      <c r="Q59" s="16">
        <f t="shared" si="24"/>
        <v>1270595.1403457248</v>
      </c>
      <c r="R59" s="16">
        <f t="shared" si="24"/>
        <v>1473585.8198575412</v>
      </c>
      <c r="S59" s="16">
        <f t="shared" si="24"/>
        <v>955663.22630928527</v>
      </c>
      <c r="T59" s="16">
        <f t="shared" si="24"/>
        <v>890511.55812825391</v>
      </c>
      <c r="U59" s="16">
        <f t="shared" si="24"/>
        <v>543267.52439817274</v>
      </c>
      <c r="V59" s="13"/>
      <c r="W59" s="13"/>
    </row>
    <row r="60" spans="2:23" x14ac:dyDescent="0.25">
      <c r="B60" t="s">
        <v>221</v>
      </c>
      <c r="C60" t="s">
        <v>93</v>
      </c>
      <c r="G60" s="15">
        <f t="shared" si="23"/>
        <v>88894797.068919644</v>
      </c>
      <c r="H60" s="13"/>
      <c r="I60" s="13"/>
      <c r="J60" s="13"/>
      <c r="K60" s="13"/>
      <c r="L60" s="13"/>
      <c r="M60" s="49">
        <f>IF(M12&lt;=1100,3%,IF(AND(M12&gt;1100,M12&lt;=1300),3.5%,IF(AND(M12&gt;1300,M12&lt;=1600),4%,IF(AND(M12&gt;1600,M12&lt;=2000),5%,IF(M12&gt;2000,6%)))))*M42</f>
        <v>8964791.2109073289</v>
      </c>
      <c r="N60" s="49">
        <f t="shared" ref="N60:U60" si="25">IF(N12&lt;=1100,3%,IF(AND(N12&gt;1100,N12&lt;=1300),3.5%,IF(AND(N12&gt;1300,N12&lt;=1600),4%,IF(AND(N12&gt;1600,N12&lt;=2000),5%,IF(N12&gt;2000,6%)))))*N42</f>
        <v>12643923.502561621</v>
      </c>
      <c r="O60" s="49">
        <f t="shared" si="25"/>
        <v>11470604.357253075</v>
      </c>
      <c r="P60" s="49">
        <f t="shared" si="25"/>
        <v>13035284.089539468</v>
      </c>
      <c r="Q60" s="49">
        <f t="shared" si="25"/>
        <v>10588292.836214373</v>
      </c>
      <c r="R60" s="49">
        <f t="shared" si="25"/>
        <v>12279881.832146177</v>
      </c>
      <c r="S60" s="49">
        <f t="shared" si="25"/>
        <v>7963860.2192440443</v>
      </c>
      <c r="T60" s="49">
        <f t="shared" si="25"/>
        <v>7420929.6510687834</v>
      </c>
      <c r="U60" s="49">
        <f t="shared" si="25"/>
        <v>4527229.369984773</v>
      </c>
      <c r="V60" s="13"/>
      <c r="W60" s="13"/>
    </row>
    <row r="61" spans="2:23" x14ac:dyDescent="0.25">
      <c r="B61" t="s">
        <v>232</v>
      </c>
      <c r="C61" t="s">
        <v>93</v>
      </c>
      <c r="G61" s="15">
        <f t="shared" ref="G61" si="26">SUM(H61:V61)</f>
        <v>8889479.7068919651</v>
      </c>
      <c r="H61" s="13"/>
      <c r="I61" s="13"/>
      <c r="J61" s="13"/>
      <c r="K61" s="13"/>
      <c r="L61" s="13"/>
      <c r="M61" s="16">
        <f>0.5%*M42</f>
        <v>896479.12109073286</v>
      </c>
      <c r="N61" s="16">
        <f t="shared" ref="N61:U61" si="27">0.5%*N42</f>
        <v>1264392.350256162</v>
      </c>
      <c r="O61" s="16">
        <f t="shared" si="27"/>
        <v>1147060.4357253076</v>
      </c>
      <c r="P61" s="16">
        <f t="shared" si="27"/>
        <v>1303528.4089539468</v>
      </c>
      <c r="Q61" s="16">
        <f t="shared" si="27"/>
        <v>1058829.2836214374</v>
      </c>
      <c r="R61" s="16">
        <f t="shared" si="27"/>
        <v>1227988.1832146177</v>
      </c>
      <c r="S61" s="16">
        <f t="shared" si="27"/>
        <v>796386.02192440443</v>
      </c>
      <c r="T61" s="16">
        <f t="shared" si="27"/>
        <v>742092.96510687831</v>
      </c>
      <c r="U61" s="16">
        <f t="shared" si="27"/>
        <v>452722.93699847726</v>
      </c>
      <c r="V61" s="13"/>
      <c r="W61" s="13"/>
    </row>
    <row r="62" spans="2:23" x14ac:dyDescent="0.25">
      <c r="G62" s="46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2:23" ht="15.75" thickBot="1" x14ac:dyDescent="0.3">
      <c r="B63" s="14" t="s">
        <v>147</v>
      </c>
      <c r="G63" s="46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2:23" x14ac:dyDescent="0.25">
      <c r="B64" t="s">
        <v>148</v>
      </c>
      <c r="C64" t="s">
        <v>93</v>
      </c>
      <c r="G64" s="15">
        <f t="shared" ref="G64:G66" si="28">SUM(H64:V64)</f>
        <v>564944288.95431089</v>
      </c>
      <c r="H64" s="13"/>
      <c r="I64" s="13"/>
      <c r="J64" s="13"/>
      <c r="K64" s="13"/>
      <c r="L64" s="13"/>
      <c r="M64" s="16">
        <f>M38-M55-SUM(M58:M61)</f>
        <v>45068778.940839618</v>
      </c>
      <c r="N64" s="16">
        <f t="shared" ref="N64:U64" si="29">N38-N55-SUM(N58:N61)</f>
        <v>18462883.37810722</v>
      </c>
      <c r="O64" s="16">
        <f t="shared" si="29"/>
        <v>13257949.829212742</v>
      </c>
      <c r="P64" s="16">
        <f t="shared" si="29"/>
        <v>83382635.201551214</v>
      </c>
      <c r="Q64" s="16">
        <f t="shared" si="29"/>
        <v>125208139.46410592</v>
      </c>
      <c r="R64" s="16">
        <f t="shared" si="29"/>
        <v>137616180.80770519</v>
      </c>
      <c r="S64" s="16">
        <f t="shared" si="29"/>
        <v>58171294.917403139</v>
      </c>
      <c r="T64" s="16">
        <f t="shared" si="29"/>
        <v>61075058.847071737</v>
      </c>
      <c r="U64" s="16">
        <f t="shared" si="29"/>
        <v>22701367.568314031</v>
      </c>
      <c r="V64" s="13"/>
      <c r="W64" s="13"/>
    </row>
    <row r="65" spans="2:23" x14ac:dyDescent="0.25">
      <c r="B65" t="s">
        <v>149</v>
      </c>
      <c r="C65" t="s">
        <v>70</v>
      </c>
      <c r="G65" s="27">
        <f>AVERAGE(H65:U65)</f>
        <v>0.25</v>
      </c>
      <c r="H65" s="13"/>
      <c r="I65" s="13"/>
      <c r="J65" s="13"/>
      <c r="K65" s="13"/>
      <c r="L65" s="13"/>
      <c r="M65" s="34">
        <v>0.25</v>
      </c>
      <c r="N65" s="34">
        <v>0.25</v>
      </c>
      <c r="O65" s="34">
        <v>0.25</v>
      </c>
      <c r="P65" s="34">
        <v>0.25</v>
      </c>
      <c r="Q65" s="34">
        <v>0.25</v>
      </c>
      <c r="R65" s="34">
        <v>0.25</v>
      </c>
      <c r="S65" s="34">
        <v>0.25</v>
      </c>
      <c r="T65" s="34">
        <v>0.25</v>
      </c>
      <c r="U65" s="34">
        <v>0.25</v>
      </c>
      <c r="V65" s="13"/>
      <c r="W65" s="13"/>
    </row>
    <row r="66" spans="2:23" x14ac:dyDescent="0.25">
      <c r="B66" t="s">
        <v>147</v>
      </c>
      <c r="C66" t="s">
        <v>93</v>
      </c>
      <c r="G66" s="15">
        <f t="shared" si="28"/>
        <v>423708216.71573311</v>
      </c>
      <c r="H66" s="13"/>
      <c r="I66" s="13"/>
      <c r="J66" s="13"/>
      <c r="K66" s="13"/>
      <c r="L66" s="13"/>
      <c r="M66" s="16">
        <f>IF(M64&gt;=0,M64*(1-M65),M64)</f>
        <v>33801584.205629714</v>
      </c>
      <c r="N66" s="16">
        <f t="shared" ref="N66:U66" si="30">IF(N64&gt;=0,N64*(1-N65),N64)</f>
        <v>13847162.533580415</v>
      </c>
      <c r="O66" s="16">
        <f t="shared" si="30"/>
        <v>9943462.3719095569</v>
      </c>
      <c r="P66" s="16">
        <f t="shared" si="30"/>
        <v>62536976.401163414</v>
      </c>
      <c r="Q66" s="16">
        <f t="shared" si="30"/>
        <v>93906104.598079443</v>
      </c>
      <c r="R66" s="16">
        <f t="shared" si="30"/>
        <v>103212135.6057789</v>
      </c>
      <c r="S66" s="16">
        <f t="shared" si="30"/>
        <v>43628471.188052356</v>
      </c>
      <c r="T66" s="16">
        <f t="shared" si="30"/>
        <v>45806294.135303803</v>
      </c>
      <c r="U66" s="16">
        <f t="shared" si="30"/>
        <v>17026025.676235523</v>
      </c>
      <c r="V66" s="13"/>
      <c r="W66" s="13"/>
    </row>
    <row r="67" spans="2:23" x14ac:dyDescent="0.25">
      <c r="G67" s="26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2:23" ht="15.75" thickBot="1" x14ac:dyDescent="0.3">
      <c r="B68" s="14" t="s">
        <v>156</v>
      </c>
      <c r="G68" s="26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2:23" x14ac:dyDescent="0.25">
      <c r="B69" t="s">
        <v>207</v>
      </c>
      <c r="C69" t="s">
        <v>93</v>
      </c>
      <c r="D69" s="6"/>
      <c r="E69" s="6">
        <f>34200000</f>
        <v>34200000</v>
      </c>
      <c r="F69" s="6">
        <v>34400000</v>
      </c>
      <c r="G69" s="15">
        <f t="shared" ref="G69:G70" si="31">SUM(H69:V69)</f>
        <v>104900000</v>
      </c>
      <c r="H69" s="16">
        <v>30000000</v>
      </c>
      <c r="I69" s="16">
        <v>30000000</v>
      </c>
      <c r="J69" s="16">
        <f>39700000/2</f>
        <v>19850000</v>
      </c>
      <c r="K69" s="16">
        <f>39700000/2</f>
        <v>19850000</v>
      </c>
      <c r="L69" s="16">
        <v>5200000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2:23" x14ac:dyDescent="0.25">
      <c r="B70" t="s">
        <v>157</v>
      </c>
      <c r="C70" t="s">
        <v>93</v>
      </c>
      <c r="D70" s="6"/>
      <c r="E70" s="6"/>
      <c r="F70" s="6"/>
      <c r="G70" s="15">
        <f t="shared" si="31"/>
        <v>189970000</v>
      </c>
      <c r="H70" s="16"/>
      <c r="I70" s="16"/>
      <c r="J70" s="16"/>
      <c r="K70" s="16"/>
      <c r="L70" s="16"/>
      <c r="M70" s="16">
        <f>22300000*Auxiliary!B22</f>
        <v>24530000.000000004</v>
      </c>
      <c r="N70" s="16">
        <f>28000000*Auxiliary!B22</f>
        <v>30800000.000000004</v>
      </c>
      <c r="O70" s="16">
        <f>23000000*Auxiliary!B22</f>
        <v>25300000.000000004</v>
      </c>
      <c r="P70" s="16">
        <f>25700000*Auxiliary!B22</f>
        <v>28270000.000000004</v>
      </c>
      <c r="Q70" s="16">
        <f>31600000*Auxiliary!B22</f>
        <v>34760000</v>
      </c>
      <c r="R70" s="16">
        <f>15400000*Auxiliary!B22</f>
        <v>16940000</v>
      </c>
      <c r="S70" s="16">
        <f>8300000*Auxiliary!B22</f>
        <v>9130000</v>
      </c>
      <c r="T70" s="16">
        <f>14900000*Auxiliary!B22</f>
        <v>16390000.000000002</v>
      </c>
      <c r="U70" s="16">
        <f>3500000*Auxiliary!B22</f>
        <v>3850000.0000000005</v>
      </c>
      <c r="V70" s="16"/>
      <c r="W70" s="16"/>
    </row>
    <row r="71" spans="2:23" x14ac:dyDescent="0.25">
      <c r="B71" t="s">
        <v>159</v>
      </c>
      <c r="C71" t="s">
        <v>93</v>
      </c>
      <c r="D71" s="6"/>
      <c r="E71" s="6"/>
      <c r="F71" s="6"/>
      <c r="G71" s="15">
        <f>SUM(H71:V71)</f>
        <v>12320000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>
        <f>3200000*Auxiliary!B22</f>
        <v>3520000.0000000005</v>
      </c>
      <c r="V71" s="16">
        <f>8000000*Auxiliary!B22</f>
        <v>8800000</v>
      </c>
      <c r="W71" s="16"/>
    </row>
    <row r="72" spans="2:23" x14ac:dyDescent="0.25">
      <c r="B72" t="s">
        <v>206</v>
      </c>
      <c r="C72" t="s">
        <v>43</v>
      </c>
      <c r="G72" s="15">
        <f>AVERAGE(H72:U72)</f>
        <v>955.36377942898821</v>
      </c>
      <c r="H72" s="13"/>
      <c r="I72" s="13"/>
      <c r="J72" s="13"/>
      <c r="K72" s="13"/>
      <c r="L72" s="13"/>
      <c r="M72" s="16">
        <f>(M55-M54+SUM(M58:M61)+SUM(M70:M71))/M35</f>
        <v>1033.5503263151165</v>
      </c>
      <c r="N72" s="16">
        <f t="shared" ref="N72:U72" si="32">(N55-N54+SUM(N58:N61)+SUM(N70:N71))/N35</f>
        <v>861.15819598093208</v>
      </c>
      <c r="O72" s="16">
        <f t="shared" si="32"/>
        <v>935.27591297219647</v>
      </c>
      <c r="P72" s="16">
        <f t="shared" si="32"/>
        <v>831.17526601514885</v>
      </c>
      <c r="Q72" s="16">
        <f t="shared" si="32"/>
        <v>962.45871257485067</v>
      </c>
      <c r="R72" s="16">
        <f t="shared" si="32"/>
        <v>856.09889033898048</v>
      </c>
      <c r="S72" s="16">
        <f t="shared" si="32"/>
        <v>992.4803521076102</v>
      </c>
      <c r="T72" s="16">
        <f t="shared" si="32"/>
        <v>1000.2024493305846</v>
      </c>
      <c r="U72" s="16">
        <f t="shared" si="32"/>
        <v>1125.8739092254739</v>
      </c>
      <c r="V72" s="16"/>
      <c r="W72" s="13"/>
    </row>
    <row r="73" spans="2:23" x14ac:dyDescent="0.25">
      <c r="G73" s="15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2:23" ht="15.75" thickBot="1" x14ac:dyDescent="0.3">
      <c r="B74" s="14" t="s">
        <v>162</v>
      </c>
      <c r="G74" s="26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2:23" x14ac:dyDescent="0.25">
      <c r="B75" t="s">
        <v>162</v>
      </c>
      <c r="C75" t="s">
        <v>93</v>
      </c>
      <c r="G75" s="15">
        <f>SUM(H75:V75)</f>
        <v>577518216.71573317</v>
      </c>
      <c r="H75" s="16">
        <f t="shared" ref="H75:L75" si="33">H66+H54-SUM(H69:H71)</f>
        <v>-30000000</v>
      </c>
      <c r="I75" s="16">
        <f t="shared" si="33"/>
        <v>-30000000</v>
      </c>
      <c r="J75" s="16">
        <f t="shared" si="33"/>
        <v>-19850000</v>
      </c>
      <c r="K75" s="16">
        <f t="shared" si="33"/>
        <v>-19850000</v>
      </c>
      <c r="L75" s="16">
        <f t="shared" si="33"/>
        <v>-5200000</v>
      </c>
      <c r="M75" s="16">
        <f>M66+M54-SUM(M69:M71)</f>
        <v>62271584.205629706</v>
      </c>
      <c r="N75" s="16">
        <f t="shared" ref="N75:V75" si="34">N66+N54-SUM(N69:N71)</f>
        <v>124047162.53358042</v>
      </c>
      <c r="O75" s="16">
        <f t="shared" si="34"/>
        <v>103643462.37190956</v>
      </c>
      <c r="P75" s="16">
        <f t="shared" si="34"/>
        <v>116266976.4011634</v>
      </c>
      <c r="Q75" s="16">
        <f t="shared" si="34"/>
        <v>64146104.598079443</v>
      </c>
      <c r="R75" s="16">
        <f t="shared" si="34"/>
        <v>91272135.605778903</v>
      </c>
      <c r="S75" s="16">
        <f t="shared" si="34"/>
        <v>54498471.188052356</v>
      </c>
      <c r="T75" s="16">
        <f t="shared" si="34"/>
        <v>48416294.135303803</v>
      </c>
      <c r="U75" s="16">
        <f t="shared" si="34"/>
        <v>26656025.676235527</v>
      </c>
      <c r="V75" s="16">
        <f t="shared" si="34"/>
        <v>-8800000</v>
      </c>
      <c r="W75" s="13"/>
    </row>
    <row r="76" spans="2:23" x14ac:dyDescent="0.25">
      <c r="B76" s="3" t="s">
        <v>163</v>
      </c>
      <c r="C76" s="3" t="s">
        <v>93</v>
      </c>
      <c r="G76" s="15">
        <f>SUM(H76:V76)</f>
        <v>344108268.58293527</v>
      </c>
      <c r="H76" s="15">
        <f>H75</f>
        <v>-30000000</v>
      </c>
      <c r="I76" s="15">
        <f>I75/(1+$D$4)^(0.25)</f>
        <v>-29371019.679712299</v>
      </c>
      <c r="J76" s="15">
        <f>J75/(1+$D$4)^(0.5)</f>
        <v>-19026374.912185598</v>
      </c>
      <c r="K76" s="15">
        <f>K75/(1+$D$4)^(0.75)</f>
        <v>-18627467.732646253</v>
      </c>
      <c r="L76" s="15">
        <f>L75/(1+$D$4)^(1)</f>
        <v>-4777430.9841570891</v>
      </c>
      <c r="M76" s="15">
        <f>M75/(1+$D$4)^(2)</f>
        <v>52562022.870735511</v>
      </c>
      <c r="N76" s="15">
        <f>N75/(1+$D$4)^(3)</f>
        <v>96196676.81943655</v>
      </c>
      <c r="O76" s="15">
        <f>O75/(1+$D$4)^(4)</f>
        <v>73842471.785002366</v>
      </c>
      <c r="P76" s="15">
        <f>P75/(1+$D$4)^(5)</f>
        <v>76104751.042203948</v>
      </c>
      <c r="Q76" s="15">
        <f>Q75/(1+$D$4)^(6)</f>
        <v>38575961.307903424</v>
      </c>
      <c r="R76" s="15">
        <f>R75/(1+$D$4)^(7)</f>
        <v>50428466.291025035</v>
      </c>
      <c r="S76" s="15">
        <f>S75/(1+$D$4)^(8)</f>
        <v>27663870.647131454</v>
      </c>
      <c r="T76" s="15">
        <f>T75/(1+$D$4)^(9)</f>
        <v>22579340.286428154</v>
      </c>
      <c r="U76" s="15">
        <f>U75/(1+$D$4)^(10)</f>
        <v>11421053.877577577</v>
      </c>
      <c r="V76" s="15">
        <f>V75/(1+$D$4)^(11)</f>
        <v>-3464053.0358075649</v>
      </c>
      <c r="W76" s="13"/>
    </row>
    <row r="77" spans="2:23" x14ac:dyDescent="0.25">
      <c r="B77" t="s">
        <v>223</v>
      </c>
      <c r="C77" t="s">
        <v>93</v>
      </c>
      <c r="G77" s="15">
        <f>90%*G76</f>
        <v>309697441.72464174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</sheetData>
  <pageMargins left="0.7" right="0.7" top="0.75" bottom="0.75" header="0.3" footer="0.3"/>
  <pageSetup orientation="portrait" r:id="rId1"/>
  <ignoredErrors>
    <ignoredError sqref="Q18 N41:Q41 G65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68D9-A27D-46DE-AFE8-C9F41A96EE81}">
  <dimension ref="A1:AI22"/>
  <sheetViews>
    <sheetView showGridLines="0" workbookViewId="0">
      <selection activeCell="C6" sqref="C6"/>
    </sheetView>
  </sheetViews>
  <sheetFormatPr defaultRowHeight="15" x14ac:dyDescent="0.25"/>
  <cols>
    <col min="1" max="1" width="21.85546875" bestFit="1" customWidth="1"/>
    <col min="3" max="3" width="10.85546875" bestFit="1" customWidth="1"/>
    <col min="5" max="5" width="8.5703125" customWidth="1"/>
  </cols>
  <sheetData>
    <row r="1" spans="1:22" x14ac:dyDescent="0.25">
      <c r="E1" s="3"/>
    </row>
    <row r="2" spans="1:22" x14ac:dyDescent="0.25">
      <c r="A2" s="17" t="s">
        <v>44</v>
      </c>
      <c r="B2" s="8"/>
      <c r="C2" s="8"/>
    </row>
    <row r="3" spans="1:22" x14ac:dyDescent="0.25">
      <c r="A3" t="s">
        <v>45</v>
      </c>
      <c r="C3">
        <v>3.2149999999999998E-2</v>
      </c>
    </row>
    <row r="4" spans="1:22" x14ac:dyDescent="0.25">
      <c r="A4" t="s">
        <v>46</v>
      </c>
      <c r="C4">
        <v>31.103476799999999</v>
      </c>
    </row>
    <row r="5" spans="1:22" x14ac:dyDescent="0.25">
      <c r="A5" t="s">
        <v>47</v>
      </c>
      <c r="C5">
        <v>4.5359000000000003E-4</v>
      </c>
    </row>
    <row r="6" spans="1:22" x14ac:dyDescent="0.25">
      <c r="A6" t="s">
        <v>48</v>
      </c>
      <c r="C6">
        <v>2204.6226200000001</v>
      </c>
    </row>
    <row r="7" spans="1:22" x14ac:dyDescent="0.25">
      <c r="A7" t="s">
        <v>141</v>
      </c>
      <c r="C7">
        <v>16</v>
      </c>
    </row>
    <row r="8" spans="1:22" x14ac:dyDescent="0.25">
      <c r="A8" t="s">
        <v>142</v>
      </c>
      <c r="C8">
        <v>6.25E-2</v>
      </c>
    </row>
    <row r="10" spans="1:22" x14ac:dyDescent="0.25">
      <c r="A10" s="3" t="s">
        <v>98</v>
      </c>
    </row>
    <row r="11" spans="1:22" x14ac:dyDescent="0.25">
      <c r="A11" t="s">
        <v>161</v>
      </c>
      <c r="B11">
        <f>COUNTIF('DCF Caylloma'!P32:$AJ$32,"&gt;0")</f>
        <v>18</v>
      </c>
      <c r="C11">
        <f>COUNTIF('DCF Caylloma'!Q32:$AJ$32,"&gt;0")</f>
        <v>17</v>
      </c>
      <c r="D11">
        <f>COUNTIF('DCF Caylloma'!R32:$AJ$32,"&gt;0")</f>
        <v>16</v>
      </c>
      <c r="E11">
        <f>COUNTIF('DCF Caylloma'!S32:$AJ$32,"&gt;0")</f>
        <v>15</v>
      </c>
      <c r="F11">
        <f>COUNTIF('DCF Caylloma'!T32:$AJ$32,"&gt;0")</f>
        <v>14</v>
      </c>
      <c r="G11">
        <f>COUNTIF('DCF Caylloma'!U32:$AJ$32,"&gt;0")</f>
        <v>13</v>
      </c>
      <c r="H11">
        <f>COUNTIF('DCF Caylloma'!V32:$AJ$32,"&gt;0")</f>
        <v>12</v>
      </c>
      <c r="I11">
        <f>COUNTIF('DCF Caylloma'!W32:$AJ$32,"&gt;0")</f>
        <v>11</v>
      </c>
      <c r="J11">
        <f>COUNTIF('DCF Caylloma'!X32:$AJ$32,"&gt;0")</f>
        <v>10</v>
      </c>
      <c r="K11">
        <f>COUNTIF('DCF Caylloma'!Y32:$AJ$32,"&gt;0")</f>
        <v>9</v>
      </c>
      <c r="L11">
        <f>COUNTIF('DCF Caylloma'!Z32:$AJ$32,"&gt;0")</f>
        <v>8</v>
      </c>
      <c r="M11">
        <f>COUNTIF('DCF Caylloma'!AA32:$AJ$32,"&gt;0")</f>
        <v>7</v>
      </c>
      <c r="N11">
        <f>COUNTIF('DCF Caylloma'!AB32:$AJ$32,"&gt;0")</f>
        <v>6</v>
      </c>
      <c r="O11">
        <f>COUNTIF('DCF Caylloma'!AC32:$AJ$32,"&gt;0")</f>
        <v>5</v>
      </c>
      <c r="P11">
        <f>COUNTIF('DCF Caylloma'!AD32:$AJ$32,"&gt;0")</f>
        <v>4</v>
      </c>
      <c r="Q11">
        <f>COUNTIF('DCF Caylloma'!AE32:$AJ$32,"&gt;0")</f>
        <v>3</v>
      </c>
      <c r="R11">
        <f>COUNTIF('DCF Caylloma'!AF32:$AJ$32,"&gt;0")</f>
        <v>2</v>
      </c>
      <c r="S11">
        <f>COUNTIF('DCF Caylloma'!AG32:$AJ$32,"&gt;0")</f>
        <v>1</v>
      </c>
      <c r="T11">
        <f>COUNTIF('DCF Caylloma'!AH32:$AJ$32,"&gt;0")</f>
        <v>0</v>
      </c>
      <c r="U11">
        <f>COUNTIF('DCF Caylloma'!AI32:$AJ$32,"&gt;0")</f>
        <v>0</v>
      </c>
      <c r="V11">
        <f>COUNTIF('DCF Caylloma'!AJ32:$AJ$32,"&gt;0")</f>
        <v>0</v>
      </c>
    </row>
    <row r="13" spans="1:22" x14ac:dyDescent="0.25">
      <c r="A13" s="3" t="s">
        <v>99</v>
      </c>
    </row>
    <row r="14" spans="1:22" x14ac:dyDescent="0.25">
      <c r="A14" t="s">
        <v>161</v>
      </c>
      <c r="B14">
        <f>COUNTIF('DCF San Jose'!P30:$AJ$30,"&gt;0")</f>
        <v>3</v>
      </c>
      <c r="C14">
        <f>COUNTIF('DCF San Jose'!Q30:$AJ$30,"&gt;0")</f>
        <v>2</v>
      </c>
      <c r="D14">
        <f>COUNTIF('DCF San Jose'!R30:$AJ$30,"&gt;0")</f>
        <v>1</v>
      </c>
      <c r="E14">
        <f>COUNTIF('DCF San Jose'!S30:$AJ$30,"&gt;0")</f>
        <v>0</v>
      </c>
      <c r="F14">
        <f>COUNTIF('DCF San Jose'!T30:$AJ$30,"&gt;0")</f>
        <v>0</v>
      </c>
      <c r="G14">
        <f>COUNTIF('DCF San Jose'!U30:$AJ$30,"&gt;0")</f>
        <v>0</v>
      </c>
      <c r="H14">
        <f>COUNTIF('DCF San Jose'!V30:$AJ$30,"&gt;0")</f>
        <v>0</v>
      </c>
      <c r="I14">
        <f>COUNTIF('DCF San Jose'!W30:$AJ$30,"&gt;0")</f>
        <v>0</v>
      </c>
      <c r="J14">
        <f>COUNTIF('DCF San Jose'!X30:$AJ$30,"&gt;0")</f>
        <v>0</v>
      </c>
    </row>
    <row r="16" spans="1:22" x14ac:dyDescent="0.25">
      <c r="A16" s="3" t="s">
        <v>208</v>
      </c>
    </row>
    <row r="17" spans="1:35" x14ac:dyDescent="0.25">
      <c r="A17" t="s">
        <v>161</v>
      </c>
      <c r="B17">
        <f>COUNTIF('DCF Lindero'!P29:$AW$29,"&gt;0")</f>
        <v>16</v>
      </c>
      <c r="C17">
        <f>COUNTIF('DCF Lindero'!Q29:$AW$29,"&gt;0")</f>
        <v>15</v>
      </c>
      <c r="D17">
        <f>COUNTIF('DCF Lindero'!R29:$AW$29,"&gt;0")</f>
        <v>14</v>
      </c>
      <c r="E17">
        <f>COUNTIF('DCF Lindero'!S29:$AW$29,"&gt;0")</f>
        <v>13</v>
      </c>
      <c r="F17">
        <f>COUNTIF('DCF Lindero'!T29:$AW$29,"&gt;0")</f>
        <v>12</v>
      </c>
      <c r="G17">
        <f>COUNTIF('DCF Lindero'!U29:$AW$29,"&gt;0")</f>
        <v>11</v>
      </c>
      <c r="H17">
        <f>COUNTIF('DCF Lindero'!V29:$AW$29,"&gt;0")</f>
        <v>10</v>
      </c>
      <c r="I17">
        <f>COUNTIF('DCF Lindero'!W29:$AW$29,"&gt;0")</f>
        <v>9</v>
      </c>
      <c r="J17">
        <f>COUNTIF('DCF Lindero'!X29:$AW$29,"&gt;0")</f>
        <v>8</v>
      </c>
      <c r="K17">
        <f>COUNTIF('DCF Lindero'!Y29:$AW$29,"&gt;0")</f>
        <v>7</v>
      </c>
      <c r="L17">
        <f>COUNTIF('DCF Lindero'!Z29:$AW$29,"&gt;0")</f>
        <v>6</v>
      </c>
      <c r="M17">
        <f>COUNTIF('DCF Lindero'!AA29:$AW$29,"&gt;0")</f>
        <v>5</v>
      </c>
      <c r="N17">
        <f>COUNTIF('DCF Lindero'!AB29:$AW$29,"&gt;0")</f>
        <v>4</v>
      </c>
      <c r="O17">
        <f>COUNTIF('DCF Lindero'!AC29:$AW$29,"&gt;0")</f>
        <v>3</v>
      </c>
      <c r="P17">
        <f>COUNTIF('DCF Lindero'!AD29:$AW$29,"&gt;0")</f>
        <v>2</v>
      </c>
      <c r="Q17">
        <f>COUNTIF('DCF Lindero'!AE29:$AW$29,"&gt;0")</f>
        <v>1</v>
      </c>
      <c r="R17">
        <f>COUNTIF('DCF Lindero'!AF29:$AW$29,"&gt;0")</f>
        <v>0</v>
      </c>
      <c r="S17">
        <f>COUNTIF('DCF Lindero'!AG29:$AW$29,"&gt;0")</f>
        <v>0</v>
      </c>
      <c r="T17">
        <f>COUNTIF('DCF Lindero'!AH29:$AW$29,"&gt;0")</f>
        <v>0</v>
      </c>
      <c r="U17">
        <f>COUNTIF('DCF Lindero'!AI29:$AW$29,"&gt;0")</f>
        <v>0</v>
      </c>
      <c r="V17">
        <f>COUNTIF('DCF Lindero'!AJ29:$AW$29,"&gt;0")</f>
        <v>0</v>
      </c>
      <c r="W17">
        <f>COUNTIF('DCF Lindero'!AK29:$AW$29,"&gt;0")</f>
        <v>0</v>
      </c>
      <c r="X17">
        <f>COUNTIF('DCF Lindero'!AL29:$AW$29,"&gt;0")</f>
        <v>0</v>
      </c>
      <c r="Y17">
        <f>COUNTIF('DCF Lindero'!AM29:$AW$29,"&gt;0")</f>
        <v>0</v>
      </c>
      <c r="Z17">
        <f>COUNTIF('DCF Lindero'!AN29:$AW$29,"&gt;0")</f>
        <v>0</v>
      </c>
      <c r="AA17">
        <f>COUNTIF('DCF Lindero'!AO29:$AW$29,"&gt;0")</f>
        <v>0</v>
      </c>
      <c r="AB17">
        <f>COUNTIF('DCF Lindero'!AP29:$AW$29,"&gt;0")</f>
        <v>0</v>
      </c>
      <c r="AC17">
        <f>COUNTIF('DCF Lindero'!AQ29:$AW$29,"&gt;0")</f>
        <v>0</v>
      </c>
      <c r="AD17">
        <f>COUNTIF('DCF Lindero'!AR29:$AW$29,"&gt;0")</f>
        <v>0</v>
      </c>
      <c r="AE17">
        <f>COUNTIF('DCF Lindero'!AS29:$AW$29,"&gt;0")</f>
        <v>0</v>
      </c>
      <c r="AF17">
        <f>COUNTIF('DCF Lindero'!AT29:$AW$29,"&gt;0")</f>
        <v>0</v>
      </c>
      <c r="AG17">
        <f>COUNTIF('DCF Lindero'!AU29:$AW$29,"&gt;0")</f>
        <v>0</v>
      </c>
      <c r="AH17">
        <f>COUNTIF('DCF Lindero'!AV29:$AW$29,"&gt;0")</f>
        <v>0</v>
      </c>
      <c r="AI17">
        <f>COUNTIF('DCF Lindero'!AW29:$AW$29,"&gt;0")</f>
        <v>0</v>
      </c>
    </row>
    <row r="19" spans="1:35" x14ac:dyDescent="0.25">
      <c r="A19" s="3" t="s">
        <v>220</v>
      </c>
    </row>
    <row r="20" spans="1:35" x14ac:dyDescent="0.25">
      <c r="A20" t="s">
        <v>161</v>
      </c>
      <c r="B20">
        <f>COUNTIF('DCF Yaramoko'!P29:$Y$29,"&gt;0")</f>
        <v>4</v>
      </c>
      <c r="C20">
        <f>COUNTIF('DCF Yaramoko'!Q29:$Y$29,"&gt;0")</f>
        <v>3</v>
      </c>
      <c r="D20">
        <f>COUNTIF('DCF Yaramoko'!R29:$Y$29,"&gt;0")</f>
        <v>2</v>
      </c>
      <c r="E20">
        <f>COUNTIF('DCF Yaramoko'!S29:$Y$29,"&gt;0")</f>
        <v>1</v>
      </c>
      <c r="F20">
        <f>COUNTIF('DCF Yaramoko'!T29:$Y$29,"&gt;0")</f>
        <v>0</v>
      </c>
      <c r="G20">
        <f>COUNTIF('DCF Yaramoko'!U29:$Y$29,"&gt;0")</f>
        <v>0</v>
      </c>
      <c r="H20">
        <f>COUNTIF('DCF Yaramoko'!V29:$Y$29,"&gt;0")</f>
        <v>0</v>
      </c>
      <c r="I20">
        <f>COUNTIF('DCF Yaramoko'!W29:$Y$29,"&gt;0")</f>
        <v>0</v>
      </c>
      <c r="J20">
        <f>COUNTIF('DCF Yaramoko'!X29:$Y$29,"&gt;0")</f>
        <v>0</v>
      </c>
      <c r="K20">
        <f>COUNTIF('DCF Yaramoko'!Y29:$Y$29,"&gt;0")</f>
        <v>0</v>
      </c>
    </row>
    <row r="22" spans="1:35" x14ac:dyDescent="0.25">
      <c r="A22" t="s">
        <v>229</v>
      </c>
      <c r="B22" s="11">
        <v>1.1000000000000001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Valuation</vt:lpstr>
      <vt:lpstr>Central sheet</vt:lpstr>
      <vt:lpstr>All inclusive sheet</vt:lpstr>
      <vt:lpstr>DCF Caylloma</vt:lpstr>
      <vt:lpstr>DCF San Jose</vt:lpstr>
      <vt:lpstr>DCF Lindero</vt:lpstr>
      <vt:lpstr>DCF Yaramoko</vt:lpstr>
      <vt:lpstr>DCF Seguela</vt:lpstr>
      <vt:lpstr>Auxiliary</vt:lpstr>
      <vt:lpstr>WACC</vt:lpstr>
      <vt:lpstr>Guidance vs results</vt:lpstr>
      <vt:lpstr>Auxiliary calculations Lindero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gormh</cp:lastModifiedBy>
  <dcterms:created xsi:type="dcterms:W3CDTF">2022-06-13T08:42:35Z</dcterms:created>
  <dcterms:modified xsi:type="dcterms:W3CDTF">2022-06-27T13:01:24Z</dcterms:modified>
</cp:coreProperties>
</file>