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luckyoubest/Library/Mobile Documents/iCloud~md~obsidian/Documents/Obsidian 2/知识库/育儿/"/>
    </mc:Choice>
  </mc:AlternateContent>
  <xr:revisionPtr revIDLastSave="0" documentId="8_{F29CB419-DF4C-8249-ADDF-4697CA14E52D}" xr6:coauthVersionLast="47" xr6:coauthVersionMax="47" xr10:uidLastSave="{00000000-0000-0000-0000-000000000000}"/>
  <bookViews>
    <workbookView xWindow="0" yWindow="500" windowWidth="38400" windowHeight="21100" activeTab="4" xr2:uid="{00000000-000D-0000-FFFF-FFFF00000000}"/>
  </bookViews>
  <sheets>
    <sheet name="录入表" sheetId="2" r:id="rId1"/>
    <sheet name="海选表" sheetId="1" r:id="rId2"/>
    <sheet name="市场均值表" sheetId="3" r:id="rId3"/>
    <sheet name="评分表" sheetId="4" r:id="rId4"/>
    <sheet name="汇总表" sheetId="5" r:id="rId5"/>
  </sheets>
  <definedNames>
    <definedName name="_xlchart.v1.0" hidden="1">评分表!$BG$1</definedName>
    <definedName name="_xlchart.v1.1" hidden="1">评分表!$BG$2:$BG$38</definedName>
    <definedName name="_xlchart.v1.2" hidden="1">评分表!$E$1</definedName>
    <definedName name="_xlchart.v1.3" hidden="1">评分表!$E$2:$E$38</definedName>
    <definedName name="_xlchart.v1.4" hidden="1">评分表!$BG$1</definedName>
    <definedName name="_xlchart.v1.5" hidden="1">评分表!$BG$2:$BG$38</definedName>
    <definedName name="_xlchart.v1.6" hidden="1">评分表!$E$1</definedName>
    <definedName name="_xlchart.v1.7" hidden="1">评分表!$E$2:$E$38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" i="3" l="1"/>
  <c r="AT33" i="1"/>
  <c r="AT12" i="4" s="1"/>
  <c r="AU33" i="1"/>
  <c r="AU16" i="4" s="1"/>
  <c r="AV33" i="1"/>
  <c r="AV3" i="4" s="1"/>
  <c r="AW33" i="1"/>
  <c r="AW2" i="4" s="1"/>
  <c r="AX33" i="1"/>
  <c r="AX22" i="4" s="1"/>
  <c r="AY33" i="1"/>
  <c r="AY10" i="4" s="1"/>
  <c r="AZ33" i="1"/>
  <c r="AZ19" i="4" s="1"/>
  <c r="BA33" i="1"/>
  <c r="BA5" i="4" s="1"/>
  <c r="BB33" i="1"/>
  <c r="BB18" i="4" s="1"/>
  <c r="AS33" i="1"/>
  <c r="AS18" i="4" s="1"/>
  <c r="D6" i="3"/>
  <c r="D12" i="3" s="1"/>
  <c r="AO12" i="3"/>
  <c r="AP12" i="3"/>
  <c r="AQ12" i="3"/>
  <c r="AR12" i="3"/>
  <c r="AS12" i="3"/>
  <c r="AT12" i="3"/>
  <c r="AU12" i="3"/>
  <c r="AV12" i="3"/>
  <c r="AN12" i="3"/>
  <c r="R8" i="4"/>
  <c r="AB8" i="4"/>
  <c r="L30" i="4"/>
  <c r="R30" i="4"/>
  <c r="T30" i="4"/>
  <c r="Z30" i="4"/>
  <c r="AB30" i="4"/>
  <c r="AH30" i="4"/>
  <c r="AJ30" i="4"/>
  <c r="AP30" i="4"/>
  <c r="AR30" i="4"/>
  <c r="M26" i="4"/>
  <c r="R26" i="4"/>
  <c r="U26" i="4"/>
  <c r="Z26" i="4"/>
  <c r="AC26" i="4"/>
  <c r="AH26" i="4"/>
  <c r="AK26" i="4"/>
  <c r="AP26" i="4"/>
  <c r="L11" i="4"/>
  <c r="N11" i="4"/>
  <c r="R11" i="4"/>
  <c r="T11" i="4"/>
  <c r="V11" i="4"/>
  <c r="Z11" i="4"/>
  <c r="AB11" i="4"/>
  <c r="AD11" i="4"/>
  <c r="AH11" i="4"/>
  <c r="AJ11" i="4"/>
  <c r="AL11" i="4"/>
  <c r="AP11" i="4"/>
  <c r="AR11" i="4"/>
  <c r="L19" i="4"/>
  <c r="M19" i="4"/>
  <c r="O19" i="4"/>
  <c r="T19" i="4"/>
  <c r="U19" i="4"/>
  <c r="W19" i="4"/>
  <c r="AB19" i="4"/>
  <c r="AC19" i="4"/>
  <c r="AE19" i="4"/>
  <c r="AJ19" i="4"/>
  <c r="AK19" i="4"/>
  <c r="AM19" i="4"/>
  <c r="AR19" i="4"/>
  <c r="H5" i="4"/>
  <c r="L5" i="4"/>
  <c r="M5" i="4"/>
  <c r="N5" i="4"/>
  <c r="P5" i="4"/>
  <c r="T5" i="4"/>
  <c r="U5" i="4"/>
  <c r="V5" i="4"/>
  <c r="X5" i="4"/>
  <c r="AB5" i="4"/>
  <c r="AC5" i="4"/>
  <c r="AD5" i="4"/>
  <c r="AJ5" i="4"/>
  <c r="AK5" i="4"/>
  <c r="AL5" i="4"/>
  <c r="AN5" i="4"/>
  <c r="AR5" i="4"/>
  <c r="M12" i="4"/>
  <c r="N12" i="4"/>
  <c r="O12" i="4"/>
  <c r="U12" i="4"/>
  <c r="V12" i="4"/>
  <c r="W12" i="4"/>
  <c r="Y12" i="4"/>
  <c r="AC12" i="4"/>
  <c r="AD12" i="4"/>
  <c r="AE12" i="4"/>
  <c r="AK12" i="4"/>
  <c r="AL12" i="4"/>
  <c r="AM12" i="4"/>
  <c r="AO12" i="4"/>
  <c r="I27" i="4"/>
  <c r="W27" i="4"/>
  <c r="AO27" i="4"/>
  <c r="C12" i="3"/>
  <c r="I12" i="4" s="1"/>
  <c r="E12" i="3"/>
  <c r="F12" i="3"/>
  <c r="L15" i="4" s="1"/>
  <c r="G12" i="3"/>
  <c r="M24" i="4" s="1"/>
  <c r="H12" i="3"/>
  <c r="N24" i="4" s="1"/>
  <c r="I12" i="3"/>
  <c r="O4" i="4" s="1"/>
  <c r="J12" i="3"/>
  <c r="P4" i="4" s="1"/>
  <c r="K12" i="3"/>
  <c r="Q27" i="4" s="1"/>
  <c r="L12" i="3"/>
  <c r="R22" i="4" s="1"/>
  <c r="M12" i="3"/>
  <c r="N12" i="3"/>
  <c r="T22" i="4" s="1"/>
  <c r="O12" i="3"/>
  <c r="U24" i="4" s="1"/>
  <c r="P12" i="3"/>
  <c r="V29" i="4" s="1"/>
  <c r="Q12" i="3"/>
  <c r="W4" i="4" s="1"/>
  <c r="R12" i="3"/>
  <c r="X24" i="4" s="1"/>
  <c r="S12" i="3"/>
  <c r="T12" i="3"/>
  <c r="U12" i="3"/>
  <c r="AA27" i="4" s="1"/>
  <c r="V12" i="3"/>
  <c r="AB15" i="4" s="1"/>
  <c r="W12" i="3"/>
  <c r="AC24" i="4" s="1"/>
  <c r="X12" i="3"/>
  <c r="AD24" i="4" s="1"/>
  <c r="Y12" i="3"/>
  <c r="AE26" i="4" s="1"/>
  <c r="AA12" i="3"/>
  <c r="AB12" i="3"/>
  <c r="AH22" i="4" s="1"/>
  <c r="AC12" i="3"/>
  <c r="AD12" i="3"/>
  <c r="AJ22" i="4" s="1"/>
  <c r="AE12" i="3"/>
  <c r="AK24" i="4" s="1"/>
  <c r="AF12" i="3"/>
  <c r="AL29" i="4" s="1"/>
  <c r="AG12" i="3"/>
  <c r="AM30" i="4" s="1"/>
  <c r="AH12" i="3"/>
  <c r="AN24" i="4" s="1"/>
  <c r="AI12" i="3"/>
  <c r="AJ12" i="3"/>
  <c r="AK12" i="3"/>
  <c r="AQ27" i="4" s="1"/>
  <c r="AL12" i="3"/>
  <c r="AR15" i="4" s="1"/>
  <c r="AM12" i="3"/>
  <c r="B12" i="3"/>
  <c r="H16" i="4" s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H33" i="1"/>
  <c r="AU29" i="4" l="1"/>
  <c r="AU28" i="4"/>
  <c r="AY23" i="4"/>
  <c r="AX23" i="4"/>
  <c r="BA4" i="4"/>
  <c r="AU6" i="4"/>
  <c r="AS7" i="4"/>
  <c r="AU32" i="4"/>
  <c r="AV29" i="4"/>
  <c r="AW21" i="4"/>
  <c r="AZ25" i="4"/>
  <c r="AW25" i="4"/>
  <c r="AU9" i="4"/>
  <c r="AU27" i="4"/>
  <c r="AS15" i="4"/>
  <c r="AW20" i="4"/>
  <c r="AU12" i="4"/>
  <c r="AU23" i="4"/>
  <c r="AX8" i="4"/>
  <c r="AU20" i="4"/>
  <c r="AZ21" i="4"/>
  <c r="AV8" i="4"/>
  <c r="AU22" i="4"/>
  <c r="AS32" i="4"/>
  <c r="AY21" i="4"/>
  <c r="AU8" i="4"/>
  <c r="AV28" i="4"/>
  <c r="AW17" i="4"/>
  <c r="AW7" i="4"/>
  <c r="AS31" i="4"/>
  <c r="AW15" i="4"/>
  <c r="AX20" i="4"/>
  <c r="AV7" i="4"/>
  <c r="AV15" i="4"/>
  <c r="AV10" i="4"/>
  <c r="AW29" i="4"/>
  <c r="AS28" i="4"/>
  <c r="AX21" i="4"/>
  <c r="AS4" i="4"/>
  <c r="AU7" i="4"/>
  <c r="AW8" i="4"/>
  <c r="AS26" i="4"/>
  <c r="AU15" i="4"/>
  <c r="AV20" i="4"/>
  <c r="AW19" i="4"/>
  <c r="AX5" i="4"/>
  <c r="AS12" i="4"/>
  <c r="AV21" i="4"/>
  <c r="AS6" i="4"/>
  <c r="AX31" i="4"/>
  <c r="AS9" i="4"/>
  <c r="AW24" i="4"/>
  <c r="AY14" i="4"/>
  <c r="AY18" i="4"/>
  <c r="AV12" i="4"/>
  <c r="AS29" i="4"/>
  <c r="AW23" i="4"/>
  <c r="AZ17" i="4"/>
  <c r="AV27" i="4"/>
  <c r="AW31" i="4"/>
  <c r="AY11" i="4"/>
  <c r="AV30" i="4"/>
  <c r="AV24" i="4"/>
  <c r="AW14" i="4"/>
  <c r="AZ16" i="4"/>
  <c r="AX28" i="4"/>
  <c r="AV23" i="4"/>
  <c r="AY17" i="4"/>
  <c r="AV31" i="4"/>
  <c r="AW11" i="4"/>
  <c r="AU30" i="4"/>
  <c r="AU24" i="4"/>
  <c r="AZ13" i="4"/>
  <c r="AT10" i="4"/>
  <c r="AV32" i="4"/>
  <c r="AW28" i="4"/>
  <c r="AX17" i="4"/>
  <c r="AS27" i="4"/>
  <c r="AU31" i="4"/>
  <c r="AV11" i="4"/>
  <c r="AS30" i="4"/>
  <c r="AS24" i="4"/>
  <c r="AS2" i="4"/>
  <c r="AF4" i="4"/>
  <c r="AF5" i="4"/>
  <c r="BB6" i="4"/>
  <c r="AT31" i="4"/>
  <c r="BB29" i="4"/>
  <c r="AY4" i="4"/>
  <c r="BA29" i="4"/>
  <c r="AY6" i="4"/>
  <c r="AW12" i="4"/>
  <c r="AW32" i="4"/>
  <c r="AX29" i="4"/>
  <c r="AY28" i="4"/>
  <c r="AZ23" i="4"/>
  <c r="BA21" i="4"/>
  <c r="BB17" i="4"/>
  <c r="AS17" i="4"/>
  <c r="AU4" i="4"/>
  <c r="AV6" i="4"/>
  <c r="AW27" i="4"/>
  <c r="AX7" i="4"/>
  <c r="AY31" i="4"/>
  <c r="AZ8" i="4"/>
  <c r="BA11" i="4"/>
  <c r="BB25" i="4"/>
  <c r="AS25" i="4"/>
  <c r="AU26" i="4"/>
  <c r="AV9" i="4"/>
  <c r="AW30" i="4"/>
  <c r="AX15" i="4"/>
  <c r="AY24" i="4"/>
  <c r="AZ20" i="4"/>
  <c r="BA14" i="4"/>
  <c r="BB13" i="4"/>
  <c r="AS13" i="4"/>
  <c r="AU3" i="4"/>
  <c r="AV2" i="4"/>
  <c r="AW22" i="4"/>
  <c r="AX10" i="4"/>
  <c r="AY19" i="4"/>
  <c r="AZ5" i="4"/>
  <c r="BA18" i="4"/>
  <c r="BB16" i="4"/>
  <c r="AS16" i="4"/>
  <c r="AT27" i="4"/>
  <c r="AT26" i="4"/>
  <c r="AT2" i="4"/>
  <c r="BA17" i="4"/>
  <c r="BB4" i="4"/>
  <c r="AY8" i="4"/>
  <c r="AZ11" i="4"/>
  <c r="BA25" i="4"/>
  <c r="BB26" i="4"/>
  <c r="AX24" i="4"/>
  <c r="AY20" i="4"/>
  <c r="AZ14" i="4"/>
  <c r="BA13" i="4"/>
  <c r="BB3" i="4"/>
  <c r="AS3" i="4"/>
  <c r="AU2" i="4"/>
  <c r="AV22" i="4"/>
  <c r="AW10" i="4"/>
  <c r="AX19" i="4"/>
  <c r="AY5" i="4"/>
  <c r="AZ18" i="4"/>
  <c r="BA16" i="4"/>
  <c r="AT32" i="4"/>
  <c r="AT6" i="4"/>
  <c r="AT15" i="4"/>
  <c r="AT22" i="4"/>
  <c r="AZ4" i="4"/>
  <c r="BA6" i="4"/>
  <c r="BB27" i="4"/>
  <c r="AX11" i="4"/>
  <c r="AY25" i="4"/>
  <c r="AZ26" i="4"/>
  <c r="BA9" i="4"/>
  <c r="BB30" i="4"/>
  <c r="AX14" i="4"/>
  <c r="AY13" i="4"/>
  <c r="AZ3" i="4"/>
  <c r="BA2" i="4"/>
  <c r="BB22" i="4"/>
  <c r="AS22" i="4"/>
  <c r="AU10" i="4"/>
  <c r="AV19" i="4"/>
  <c r="AW5" i="4"/>
  <c r="AX18" i="4"/>
  <c r="AY16" i="4"/>
  <c r="AT28" i="4"/>
  <c r="AT4" i="4"/>
  <c r="AT20" i="4"/>
  <c r="AT19" i="4"/>
  <c r="AT29" i="4"/>
  <c r="BB12" i="4"/>
  <c r="BA27" i="4"/>
  <c r="AX25" i="4"/>
  <c r="AY26" i="4"/>
  <c r="AZ9" i="4"/>
  <c r="BA30" i="4"/>
  <c r="BB15" i="4"/>
  <c r="AX13" i="4"/>
  <c r="AY3" i="4"/>
  <c r="AZ2" i="4"/>
  <c r="BA22" i="4"/>
  <c r="BB10" i="4"/>
  <c r="AS10" i="4"/>
  <c r="AU19" i="4"/>
  <c r="AV5" i="4"/>
  <c r="AW18" i="4"/>
  <c r="AX16" i="4"/>
  <c r="AT23" i="4"/>
  <c r="AT11" i="4"/>
  <c r="AT24" i="4"/>
  <c r="AT5" i="4"/>
  <c r="BA26" i="4"/>
  <c r="BB31" i="4"/>
  <c r="AX26" i="4"/>
  <c r="AY9" i="4"/>
  <c r="AZ30" i="4"/>
  <c r="BA15" i="4"/>
  <c r="BB24" i="4"/>
  <c r="AV14" i="4"/>
  <c r="AW13" i="4"/>
  <c r="AX3" i="4"/>
  <c r="AY2" i="4"/>
  <c r="AZ22" i="4"/>
  <c r="BA10" i="4"/>
  <c r="BB19" i="4"/>
  <c r="AS19" i="4"/>
  <c r="AU5" i="4"/>
  <c r="AV18" i="4"/>
  <c r="AW16" i="4"/>
  <c r="AT21" i="4"/>
  <c r="AT8" i="4"/>
  <c r="AT14" i="4"/>
  <c r="AT18" i="4"/>
  <c r="BB2" i="4"/>
  <c r="AT30" i="4"/>
  <c r="BB32" i="4"/>
  <c r="BA12" i="4"/>
  <c r="BB7" i="4"/>
  <c r="AZ12" i="4"/>
  <c r="BB28" i="4"/>
  <c r="AX4" i="4"/>
  <c r="BA7" i="4"/>
  <c r="AY12" i="4"/>
  <c r="AY32" i="4"/>
  <c r="AZ29" i="4"/>
  <c r="BA28" i="4"/>
  <c r="BB23" i="4"/>
  <c r="AS23" i="4"/>
  <c r="AU21" i="4"/>
  <c r="AV17" i="4"/>
  <c r="AW4" i="4"/>
  <c r="AX6" i="4"/>
  <c r="AY27" i="4"/>
  <c r="AZ7" i="4"/>
  <c r="BA31" i="4"/>
  <c r="BB8" i="4"/>
  <c r="AS8" i="4"/>
  <c r="AU11" i="4"/>
  <c r="AV25" i="4"/>
  <c r="AW26" i="4"/>
  <c r="AX9" i="4"/>
  <c r="AY30" i="4"/>
  <c r="AZ15" i="4"/>
  <c r="BA24" i="4"/>
  <c r="BB20" i="4"/>
  <c r="AS20" i="4"/>
  <c r="AU14" i="4"/>
  <c r="AV13" i="4"/>
  <c r="AW3" i="4"/>
  <c r="AX2" i="4"/>
  <c r="AY22" i="4"/>
  <c r="AZ10" i="4"/>
  <c r="BA19" i="4"/>
  <c r="BB5" i="4"/>
  <c r="AS5" i="4"/>
  <c r="AU18" i="4"/>
  <c r="AV16" i="4"/>
  <c r="AT7" i="4"/>
  <c r="AT9" i="4"/>
  <c r="AT3" i="4"/>
  <c r="AT16" i="4"/>
  <c r="BB9" i="4"/>
  <c r="BA3" i="4"/>
  <c r="BA32" i="4"/>
  <c r="AZ6" i="4"/>
  <c r="AZ32" i="4"/>
  <c r="AZ27" i="4"/>
  <c r="AX12" i="4"/>
  <c r="AX32" i="4"/>
  <c r="AY29" i="4"/>
  <c r="AZ28" i="4"/>
  <c r="BA23" i="4"/>
  <c r="BB21" i="4"/>
  <c r="AS21" i="4"/>
  <c r="AU17" i="4"/>
  <c r="AV4" i="4"/>
  <c r="AW6" i="4"/>
  <c r="AX27" i="4"/>
  <c r="AY7" i="4"/>
  <c r="AZ31" i="4"/>
  <c r="BA8" i="4"/>
  <c r="BB11" i="4"/>
  <c r="AS11" i="4"/>
  <c r="AU25" i="4"/>
  <c r="AV26" i="4"/>
  <c r="AW9" i="4"/>
  <c r="AX30" i="4"/>
  <c r="AY15" i="4"/>
  <c r="AZ24" i="4"/>
  <c r="BA20" i="4"/>
  <c r="BB14" i="4"/>
  <c r="AS14" i="4"/>
  <c r="AU13" i="4"/>
  <c r="AT17" i="4"/>
  <c r="AT25" i="4"/>
  <c r="AT13" i="4"/>
  <c r="J11" i="4"/>
  <c r="J26" i="4"/>
  <c r="J30" i="4"/>
  <c r="AG21" i="4"/>
  <c r="AG31" i="4"/>
  <c r="AG10" i="4"/>
  <c r="AG32" i="4"/>
  <c r="AG3" i="4"/>
  <c r="AG23" i="4"/>
  <c r="AG2" i="4"/>
  <c r="AG25" i="4"/>
  <c r="AG9" i="4"/>
  <c r="AG15" i="4"/>
  <c r="AG7" i="4"/>
  <c r="AG17" i="4"/>
  <c r="AG28" i="4"/>
  <c r="AG20" i="4"/>
  <c r="AG6" i="4"/>
  <c r="AG13" i="4"/>
  <c r="AG14" i="4"/>
  <c r="AG18" i="4"/>
  <c r="AG24" i="4"/>
  <c r="AG5" i="4"/>
  <c r="AG19" i="4"/>
  <c r="AG26" i="4"/>
  <c r="AG11" i="4"/>
  <c r="AG4" i="4"/>
  <c r="AG30" i="4"/>
  <c r="AG29" i="4"/>
  <c r="AG22" i="4"/>
  <c r="AG8" i="4"/>
  <c r="AG16" i="4"/>
  <c r="AO21" i="4"/>
  <c r="AO31" i="4"/>
  <c r="AO10" i="4"/>
  <c r="AO32" i="4"/>
  <c r="AO3" i="4"/>
  <c r="AO23" i="4"/>
  <c r="AO2" i="4"/>
  <c r="AO25" i="4"/>
  <c r="AO9" i="4"/>
  <c r="AO13" i="4"/>
  <c r="AO15" i="4"/>
  <c r="AO14" i="4"/>
  <c r="AO7" i="4"/>
  <c r="AO20" i="4"/>
  <c r="AO17" i="4"/>
  <c r="AO18" i="4"/>
  <c r="AO28" i="4"/>
  <c r="AO6" i="4"/>
  <c r="AO24" i="4"/>
  <c r="AO4" i="4"/>
  <c r="AO5" i="4"/>
  <c r="AO29" i="4"/>
  <c r="AO19" i="4"/>
  <c r="AO30" i="4"/>
  <c r="AO22" i="4"/>
  <c r="AO11" i="4"/>
  <c r="AO16" i="4"/>
  <c r="AO26" i="4"/>
  <c r="AO8" i="4"/>
  <c r="Y21" i="4"/>
  <c r="Y31" i="4"/>
  <c r="Y10" i="4"/>
  <c r="Y32" i="4"/>
  <c r="Y3" i="4"/>
  <c r="Y23" i="4"/>
  <c r="Y2" i="4"/>
  <c r="Y25" i="4"/>
  <c r="Y9" i="4"/>
  <c r="Y13" i="4"/>
  <c r="Y15" i="4"/>
  <c r="Y17" i="4"/>
  <c r="Y14" i="4"/>
  <c r="Y7" i="4"/>
  <c r="Y20" i="4"/>
  <c r="Y28" i="4"/>
  <c r="Y18" i="4"/>
  <c r="Y6" i="4"/>
  <c r="Y24" i="4"/>
  <c r="Y4" i="4"/>
  <c r="Y5" i="4"/>
  <c r="Y30" i="4"/>
  <c r="Y29" i="4"/>
  <c r="Y8" i="4"/>
  <c r="Y19" i="4"/>
  <c r="Y22" i="4"/>
  <c r="Y11" i="4"/>
  <c r="Y26" i="4"/>
  <c r="Y16" i="4"/>
  <c r="Q21" i="4"/>
  <c r="Q31" i="4"/>
  <c r="Q18" i="4"/>
  <c r="Q10" i="4"/>
  <c r="Q32" i="4"/>
  <c r="Q3" i="4"/>
  <c r="Q23" i="4"/>
  <c r="Q2" i="4"/>
  <c r="Q25" i="4"/>
  <c r="Q9" i="4"/>
  <c r="Q17" i="4"/>
  <c r="Q15" i="4"/>
  <c r="Q7" i="4"/>
  <c r="Q28" i="4"/>
  <c r="Q20" i="4"/>
  <c r="Q6" i="4"/>
  <c r="Q13" i="4"/>
  <c r="Q14" i="4"/>
  <c r="Q24" i="4"/>
  <c r="Q5" i="4"/>
  <c r="Q26" i="4"/>
  <c r="Q19" i="4"/>
  <c r="Q11" i="4"/>
  <c r="Q30" i="4"/>
  <c r="Q8" i="4"/>
  <c r="Q4" i="4"/>
  <c r="Q29" i="4"/>
  <c r="Q22" i="4"/>
  <c r="Q16" i="4"/>
  <c r="I21" i="4"/>
  <c r="I17" i="4"/>
  <c r="I31" i="4"/>
  <c r="I18" i="4"/>
  <c r="I10" i="4"/>
  <c r="I32" i="4"/>
  <c r="I3" i="4"/>
  <c r="I23" i="4"/>
  <c r="I2" i="4"/>
  <c r="I25" i="4"/>
  <c r="I9" i="4"/>
  <c r="I13" i="4"/>
  <c r="I15" i="4"/>
  <c r="I14" i="4"/>
  <c r="I7" i="4"/>
  <c r="I20" i="4"/>
  <c r="I28" i="4"/>
  <c r="I6" i="4"/>
  <c r="I24" i="4"/>
  <c r="I4" i="4"/>
  <c r="I5" i="4"/>
  <c r="I29" i="4"/>
  <c r="I19" i="4"/>
  <c r="I26" i="4"/>
  <c r="I30" i="4"/>
  <c r="I22" i="4"/>
  <c r="I11" i="4"/>
  <c r="I16" i="4"/>
  <c r="I8" i="4"/>
  <c r="AG27" i="4"/>
  <c r="AI2" i="4"/>
  <c r="AI21" i="4"/>
  <c r="AI17" i="4"/>
  <c r="AI13" i="4"/>
  <c r="AI14" i="4"/>
  <c r="AI31" i="4"/>
  <c r="AI10" i="4"/>
  <c r="AI32" i="4"/>
  <c r="AI3" i="4"/>
  <c r="AI29" i="4"/>
  <c r="AI24" i="4"/>
  <c r="AI23" i="4"/>
  <c r="AI15" i="4"/>
  <c r="AI25" i="4"/>
  <c r="AI28" i="4"/>
  <c r="AI6" i="4"/>
  <c r="AI9" i="4"/>
  <c r="AI18" i="4"/>
  <c r="AI4" i="4"/>
  <c r="AI22" i="4"/>
  <c r="AI19" i="4"/>
  <c r="AI26" i="4"/>
  <c r="AI16" i="4"/>
  <c r="AI8" i="4"/>
  <c r="AI12" i="4"/>
  <c r="AI5" i="4"/>
  <c r="AI11" i="4"/>
  <c r="AI7" i="4"/>
  <c r="AI30" i="4"/>
  <c r="AI20" i="4"/>
  <c r="Y27" i="4"/>
  <c r="AG12" i="4"/>
  <c r="Q12" i="4"/>
  <c r="AQ2" i="4"/>
  <c r="AQ21" i="4"/>
  <c r="AQ17" i="4"/>
  <c r="AQ13" i="4"/>
  <c r="AQ14" i="4"/>
  <c r="AQ31" i="4"/>
  <c r="AQ10" i="4"/>
  <c r="AQ32" i="4"/>
  <c r="AQ3" i="4"/>
  <c r="AQ28" i="4"/>
  <c r="AQ29" i="4"/>
  <c r="AQ6" i="4"/>
  <c r="AQ24" i="4"/>
  <c r="AQ15" i="4"/>
  <c r="AQ23" i="4"/>
  <c r="AQ9" i="4"/>
  <c r="AQ25" i="4"/>
  <c r="AQ18" i="4"/>
  <c r="AQ4" i="4"/>
  <c r="AQ11" i="4"/>
  <c r="AQ12" i="4"/>
  <c r="AQ26" i="4"/>
  <c r="AQ7" i="4"/>
  <c r="AQ5" i="4"/>
  <c r="AQ19" i="4"/>
  <c r="AQ20" i="4"/>
  <c r="AQ22" i="4"/>
  <c r="AQ16" i="4"/>
  <c r="AQ30" i="4"/>
  <c r="AQ8" i="4"/>
  <c r="S2" i="4"/>
  <c r="S21" i="4"/>
  <c r="S17" i="4"/>
  <c r="S13" i="4"/>
  <c r="S14" i="4"/>
  <c r="S31" i="4"/>
  <c r="S18" i="4"/>
  <c r="S10" i="4"/>
  <c r="S32" i="4"/>
  <c r="S3" i="4"/>
  <c r="S29" i="4"/>
  <c r="S24" i="4"/>
  <c r="S23" i="4"/>
  <c r="S15" i="4"/>
  <c r="S25" i="4"/>
  <c r="S9" i="4"/>
  <c r="S28" i="4"/>
  <c r="S6" i="4"/>
  <c r="S4" i="4"/>
  <c r="S22" i="4"/>
  <c r="S19" i="4"/>
  <c r="S16" i="4"/>
  <c r="S12" i="4"/>
  <c r="S5" i="4"/>
  <c r="S11" i="4"/>
  <c r="S8" i="4"/>
  <c r="S26" i="4"/>
  <c r="S7" i="4"/>
  <c r="S30" i="4"/>
  <c r="S20" i="4"/>
  <c r="K2" i="4"/>
  <c r="K21" i="4"/>
  <c r="K17" i="4"/>
  <c r="K13" i="4"/>
  <c r="K14" i="4"/>
  <c r="K31" i="4"/>
  <c r="K18" i="4"/>
  <c r="K10" i="4"/>
  <c r="K32" i="4"/>
  <c r="K3" i="4"/>
  <c r="K28" i="4"/>
  <c r="K29" i="4"/>
  <c r="K6" i="4"/>
  <c r="K24" i="4"/>
  <c r="K15" i="4"/>
  <c r="K9" i="4"/>
  <c r="K23" i="4"/>
  <c r="K16" i="4"/>
  <c r="K25" i="4"/>
  <c r="K4" i="4"/>
  <c r="K11" i="4"/>
  <c r="K8" i="4"/>
  <c r="K12" i="4"/>
  <c r="K19" i="4"/>
  <c r="K7" i="4"/>
  <c r="K5" i="4"/>
  <c r="K20" i="4"/>
  <c r="K22" i="4"/>
  <c r="K26" i="4"/>
  <c r="K30" i="4"/>
  <c r="K27" i="4"/>
  <c r="AA2" i="4"/>
  <c r="AA21" i="4"/>
  <c r="AA17" i="4"/>
  <c r="AA13" i="4"/>
  <c r="AA14" i="4"/>
  <c r="AA31" i="4"/>
  <c r="AA18" i="4"/>
  <c r="AA10" i="4"/>
  <c r="AA32" i="4"/>
  <c r="AA3" i="4"/>
  <c r="AA28" i="4"/>
  <c r="AA29" i="4"/>
  <c r="AA6" i="4"/>
  <c r="AA24" i="4"/>
  <c r="AA15" i="4"/>
  <c r="AA9" i="4"/>
  <c r="AA23" i="4"/>
  <c r="AA25" i="4"/>
  <c r="AA4" i="4"/>
  <c r="AA12" i="4"/>
  <c r="AA19" i="4"/>
  <c r="AA11" i="4"/>
  <c r="AA7" i="4"/>
  <c r="AA5" i="4"/>
  <c r="AA26" i="4"/>
  <c r="AA20" i="4"/>
  <c r="AA8" i="4"/>
  <c r="AA22" i="4"/>
  <c r="AA16" i="4"/>
  <c r="AA30" i="4"/>
  <c r="AI27" i="4"/>
  <c r="S27" i="4"/>
  <c r="X4" i="4"/>
  <c r="W29" i="4"/>
  <c r="AL24" i="4"/>
  <c r="V24" i="4"/>
  <c r="AK15" i="4"/>
  <c r="U15" i="4"/>
  <c r="AJ7" i="4"/>
  <c r="T7" i="4"/>
  <c r="W8" i="4"/>
  <c r="AN4" i="4"/>
  <c r="H4" i="4"/>
  <c r="AM29" i="4"/>
  <c r="AP9" i="4"/>
  <c r="AP17" i="4"/>
  <c r="AP14" i="4"/>
  <c r="AP31" i="4"/>
  <c r="AP10" i="4"/>
  <c r="AP32" i="4"/>
  <c r="AP3" i="4"/>
  <c r="AP23" i="4"/>
  <c r="AP2" i="4"/>
  <c r="AP6" i="4"/>
  <c r="AP24" i="4"/>
  <c r="AP21" i="4"/>
  <c r="AP13" i="4"/>
  <c r="AP15" i="4"/>
  <c r="AP7" i="4"/>
  <c r="AP25" i="4"/>
  <c r="AP18" i="4"/>
  <c r="AP28" i="4"/>
  <c r="AP29" i="4"/>
  <c r="AH9" i="4"/>
  <c r="AH17" i="4"/>
  <c r="AH14" i="4"/>
  <c r="AH31" i="4"/>
  <c r="AH10" i="4"/>
  <c r="AH32" i="4"/>
  <c r="AH3" i="4"/>
  <c r="AH23" i="4"/>
  <c r="AH2" i="4"/>
  <c r="AH21" i="4"/>
  <c r="AH24" i="4"/>
  <c r="AH15" i="4"/>
  <c r="AH25" i="4"/>
  <c r="AH7" i="4"/>
  <c r="AH28" i="4"/>
  <c r="AH6" i="4"/>
  <c r="AH13" i="4"/>
  <c r="AH18" i="4"/>
  <c r="AH29" i="4"/>
  <c r="Z9" i="4"/>
  <c r="Z17" i="4"/>
  <c r="Z14" i="4"/>
  <c r="Z31" i="4"/>
  <c r="Z10" i="4"/>
  <c r="Z32" i="4"/>
  <c r="Z3" i="4"/>
  <c r="Z23" i="4"/>
  <c r="Z2" i="4"/>
  <c r="Z6" i="4"/>
  <c r="Z24" i="4"/>
  <c r="Z13" i="4"/>
  <c r="Z15" i="4"/>
  <c r="Z7" i="4"/>
  <c r="Z25" i="4"/>
  <c r="Z21" i="4"/>
  <c r="Z28" i="4"/>
  <c r="Z18" i="4"/>
  <c r="Z29" i="4"/>
  <c r="R9" i="4"/>
  <c r="R17" i="4"/>
  <c r="R14" i="4"/>
  <c r="R31" i="4"/>
  <c r="R18" i="4"/>
  <c r="R10" i="4"/>
  <c r="R32" i="4"/>
  <c r="R3" i="4"/>
  <c r="R23" i="4"/>
  <c r="R2" i="4"/>
  <c r="R24" i="4"/>
  <c r="R15" i="4"/>
  <c r="R25" i="4"/>
  <c r="R7" i="4"/>
  <c r="R28" i="4"/>
  <c r="R6" i="4"/>
  <c r="R13" i="4"/>
  <c r="R21" i="4"/>
  <c r="R29" i="4"/>
  <c r="J9" i="4"/>
  <c r="J17" i="4"/>
  <c r="J14" i="4"/>
  <c r="J31" i="4"/>
  <c r="J18" i="4"/>
  <c r="J10" i="4"/>
  <c r="J32" i="4"/>
  <c r="J3" i="4"/>
  <c r="J23" i="4"/>
  <c r="J2" i="4"/>
  <c r="J6" i="4"/>
  <c r="J24" i="4"/>
  <c r="J13" i="4"/>
  <c r="J15" i="4"/>
  <c r="J7" i="4"/>
  <c r="J21" i="4"/>
  <c r="J25" i="4"/>
  <c r="J28" i="4"/>
  <c r="J29" i="4"/>
  <c r="AP27" i="4"/>
  <c r="AH27" i="4"/>
  <c r="Z27" i="4"/>
  <c r="R27" i="4"/>
  <c r="J27" i="4"/>
  <c r="AN12" i="4"/>
  <c r="AF12" i="4"/>
  <c r="X12" i="4"/>
  <c r="P12" i="4"/>
  <c r="H12" i="4"/>
  <c r="AM5" i="4"/>
  <c r="AE5" i="4"/>
  <c r="W5" i="4"/>
  <c r="O5" i="4"/>
  <c r="AL19" i="4"/>
  <c r="AD19" i="4"/>
  <c r="V19" i="4"/>
  <c r="N19" i="4"/>
  <c r="AK11" i="4"/>
  <c r="AC11" i="4"/>
  <c r="U11" i="4"/>
  <c r="M11" i="4"/>
  <c r="AR26" i="4"/>
  <c r="AJ26" i="4"/>
  <c r="AB26" i="4"/>
  <c r="T26" i="4"/>
  <c r="L26" i="4"/>
  <c r="AP8" i="4"/>
  <c r="AF8" i="4"/>
  <c r="T8" i="4"/>
  <c r="H8" i="4"/>
  <c r="AM4" i="4"/>
  <c r="AJ15" i="4"/>
  <c r="T15" i="4"/>
  <c r="AH20" i="4"/>
  <c r="R20" i="4"/>
  <c r="AF16" i="4"/>
  <c r="P16" i="4"/>
  <c r="AE8" i="4"/>
  <c r="AH4" i="4"/>
  <c r="R4" i="4"/>
  <c r="AF24" i="4"/>
  <c r="P24" i="4"/>
  <c r="AE15" i="4"/>
  <c r="O15" i="4"/>
  <c r="AD7" i="4"/>
  <c r="N7" i="4"/>
  <c r="AC20" i="4"/>
  <c r="M20" i="4"/>
  <c r="AR22" i="4"/>
  <c r="AB22" i="4"/>
  <c r="L22" i="4"/>
  <c r="J16" i="4"/>
  <c r="AN8" i="4"/>
  <c r="AF29" i="4"/>
  <c r="P29" i="4"/>
  <c r="AE24" i="4"/>
  <c r="O24" i="4"/>
  <c r="AD15" i="4"/>
  <c r="N15" i="4"/>
  <c r="AC7" i="4"/>
  <c r="M7" i="4"/>
  <c r="AR20" i="4"/>
  <c r="AB20" i="4"/>
  <c r="L20" i="4"/>
  <c r="AP16" i="4"/>
  <c r="Z16" i="4"/>
  <c r="AM8" i="4"/>
  <c r="AE29" i="4"/>
  <c r="O29" i="4"/>
  <c r="AC15" i="4"/>
  <c r="M15" i="4"/>
  <c r="AR7" i="4"/>
  <c r="AB7" i="4"/>
  <c r="L7" i="4"/>
  <c r="AP22" i="4"/>
  <c r="Z22" i="4"/>
  <c r="J22" i="4"/>
  <c r="AF17" i="4"/>
  <c r="AF10" i="4"/>
  <c r="AF32" i="4"/>
  <c r="AF3" i="4"/>
  <c r="AF23" i="4"/>
  <c r="AF2" i="4"/>
  <c r="AF25" i="4"/>
  <c r="AF9" i="4"/>
  <c r="AF28" i="4"/>
  <c r="AF21" i="4"/>
  <c r="AF7" i="4"/>
  <c r="AF20" i="4"/>
  <c r="AF6" i="4"/>
  <c r="AF22" i="4"/>
  <c r="AF13" i="4"/>
  <c r="AF14" i="4"/>
  <c r="AF18" i="4"/>
  <c r="AF31" i="4"/>
  <c r="AF15" i="4"/>
  <c r="P17" i="4"/>
  <c r="P10" i="4"/>
  <c r="P32" i="4"/>
  <c r="P3" i="4"/>
  <c r="P23" i="4"/>
  <c r="P2" i="4"/>
  <c r="P25" i="4"/>
  <c r="P9" i="4"/>
  <c r="P28" i="4"/>
  <c r="P21" i="4"/>
  <c r="P7" i="4"/>
  <c r="P18" i="4"/>
  <c r="P20" i="4"/>
  <c r="P6" i="4"/>
  <c r="P22" i="4"/>
  <c r="P13" i="4"/>
  <c r="P14" i="4"/>
  <c r="P31" i="4"/>
  <c r="P15" i="4"/>
  <c r="AN27" i="4"/>
  <c r="H17" i="4"/>
  <c r="H10" i="4"/>
  <c r="H32" i="4"/>
  <c r="H3" i="4"/>
  <c r="H23" i="4"/>
  <c r="H2" i="4"/>
  <c r="H25" i="4"/>
  <c r="H9" i="4"/>
  <c r="H28" i="4"/>
  <c r="H21" i="4"/>
  <c r="H14" i="4"/>
  <c r="H7" i="4"/>
  <c r="H31" i="4"/>
  <c r="H20" i="4"/>
  <c r="H22" i="4"/>
  <c r="H18" i="4"/>
  <c r="H6" i="4"/>
  <c r="H13" i="4"/>
  <c r="H15" i="4"/>
  <c r="W10" i="4"/>
  <c r="W3" i="4"/>
  <c r="W23" i="4"/>
  <c r="W2" i="4"/>
  <c r="W25" i="4"/>
  <c r="W9" i="4"/>
  <c r="W28" i="4"/>
  <c r="W21" i="4"/>
  <c r="W6" i="4"/>
  <c r="W17" i="4"/>
  <c r="W31" i="4"/>
  <c r="W20" i="4"/>
  <c r="W22" i="4"/>
  <c r="W16" i="4"/>
  <c r="W18" i="4"/>
  <c r="W32" i="4"/>
  <c r="W13" i="4"/>
  <c r="W14" i="4"/>
  <c r="W7" i="4"/>
  <c r="X30" i="4"/>
  <c r="AL3" i="4"/>
  <c r="AL2" i="4"/>
  <c r="AL25" i="4"/>
  <c r="AL9" i="4"/>
  <c r="AL28" i="4"/>
  <c r="AL21" i="4"/>
  <c r="AL6" i="4"/>
  <c r="AL17" i="4"/>
  <c r="AL13" i="4"/>
  <c r="AL22" i="4"/>
  <c r="AL10" i="4"/>
  <c r="AL16" i="4"/>
  <c r="AL8" i="4"/>
  <c r="AL18" i="4"/>
  <c r="AL4" i="4"/>
  <c r="AL32" i="4"/>
  <c r="AL23" i="4"/>
  <c r="AL14" i="4"/>
  <c r="AL31" i="4"/>
  <c r="AL20" i="4"/>
  <c r="AD3" i="4"/>
  <c r="AD2" i="4"/>
  <c r="AD25" i="4"/>
  <c r="AD9" i="4"/>
  <c r="AD28" i="4"/>
  <c r="AD21" i="4"/>
  <c r="AD6" i="4"/>
  <c r="AD17" i="4"/>
  <c r="AD13" i="4"/>
  <c r="AD32" i="4"/>
  <c r="AD22" i="4"/>
  <c r="AD23" i="4"/>
  <c r="AD16" i="4"/>
  <c r="AD8" i="4"/>
  <c r="AD14" i="4"/>
  <c r="AD18" i="4"/>
  <c r="AD4" i="4"/>
  <c r="AD31" i="4"/>
  <c r="AD10" i="4"/>
  <c r="AD20" i="4"/>
  <c r="V3" i="4"/>
  <c r="V2" i="4"/>
  <c r="V25" i="4"/>
  <c r="V9" i="4"/>
  <c r="V28" i="4"/>
  <c r="V21" i="4"/>
  <c r="V6" i="4"/>
  <c r="V17" i="4"/>
  <c r="V13" i="4"/>
  <c r="V22" i="4"/>
  <c r="V16" i="4"/>
  <c r="V8" i="4"/>
  <c r="V4" i="4"/>
  <c r="V18" i="4"/>
  <c r="V32" i="4"/>
  <c r="V23" i="4"/>
  <c r="V10" i="4"/>
  <c r="V14" i="4"/>
  <c r="V31" i="4"/>
  <c r="V20" i="4"/>
  <c r="N3" i="4"/>
  <c r="N2" i="4"/>
  <c r="N25" i="4"/>
  <c r="N9" i="4"/>
  <c r="N28" i="4"/>
  <c r="N21" i="4"/>
  <c r="N6" i="4"/>
  <c r="N17" i="4"/>
  <c r="N13" i="4"/>
  <c r="N32" i="4"/>
  <c r="N22" i="4"/>
  <c r="N23" i="4"/>
  <c r="N16" i="4"/>
  <c r="N8" i="4"/>
  <c r="N14" i="4"/>
  <c r="N4" i="4"/>
  <c r="N31" i="4"/>
  <c r="N10" i="4"/>
  <c r="N18" i="4"/>
  <c r="N20" i="4"/>
  <c r="AL27" i="4"/>
  <c r="AD27" i="4"/>
  <c r="V27" i="4"/>
  <c r="N27" i="4"/>
  <c r="AR12" i="4"/>
  <c r="AJ12" i="4"/>
  <c r="AB12" i="4"/>
  <c r="T12" i="4"/>
  <c r="L12" i="4"/>
  <c r="AP19" i="4"/>
  <c r="AH19" i="4"/>
  <c r="Z19" i="4"/>
  <c r="R19" i="4"/>
  <c r="J19" i="4"/>
  <c r="AN26" i="4"/>
  <c r="AF26" i="4"/>
  <c r="X26" i="4"/>
  <c r="P26" i="4"/>
  <c r="H26" i="4"/>
  <c r="AE30" i="4"/>
  <c r="W30" i="4"/>
  <c r="O30" i="4"/>
  <c r="AJ8" i="4"/>
  <c r="Z8" i="4"/>
  <c r="P8" i="4"/>
  <c r="AE4" i="4"/>
  <c r="AD29" i="4"/>
  <c r="N29" i="4"/>
  <c r="AP20" i="4"/>
  <c r="Z20" i="4"/>
  <c r="J20" i="4"/>
  <c r="AN16" i="4"/>
  <c r="X16" i="4"/>
  <c r="X27" i="4"/>
  <c r="AM10" i="4"/>
  <c r="AM3" i="4"/>
  <c r="AM23" i="4"/>
  <c r="AM2" i="4"/>
  <c r="AM25" i="4"/>
  <c r="AM9" i="4"/>
  <c r="AM28" i="4"/>
  <c r="AM21" i="4"/>
  <c r="AM6" i="4"/>
  <c r="AM17" i="4"/>
  <c r="AM31" i="4"/>
  <c r="AM20" i="4"/>
  <c r="AM22" i="4"/>
  <c r="AM16" i="4"/>
  <c r="AM32" i="4"/>
  <c r="AM13" i="4"/>
  <c r="AM14" i="4"/>
  <c r="AM7" i="4"/>
  <c r="O10" i="4"/>
  <c r="O3" i="4"/>
  <c r="O23" i="4"/>
  <c r="O2" i="4"/>
  <c r="O25" i="4"/>
  <c r="O9" i="4"/>
  <c r="O28" i="4"/>
  <c r="O21" i="4"/>
  <c r="O6" i="4"/>
  <c r="O17" i="4"/>
  <c r="O18" i="4"/>
  <c r="O20" i="4"/>
  <c r="O32" i="4"/>
  <c r="O22" i="4"/>
  <c r="O13" i="4"/>
  <c r="O16" i="4"/>
  <c r="O8" i="4"/>
  <c r="O14" i="4"/>
  <c r="O31" i="4"/>
  <c r="O7" i="4"/>
  <c r="AM27" i="4"/>
  <c r="O27" i="4"/>
  <c r="AF30" i="4"/>
  <c r="H30" i="4"/>
  <c r="AK2" i="4"/>
  <c r="AK9" i="4"/>
  <c r="AK28" i="4"/>
  <c r="AK21" i="4"/>
  <c r="AK6" i="4"/>
  <c r="AK17" i="4"/>
  <c r="AK13" i="4"/>
  <c r="AK14" i="4"/>
  <c r="AK10" i="4"/>
  <c r="AK16" i="4"/>
  <c r="AK8" i="4"/>
  <c r="AK18" i="4"/>
  <c r="AK4" i="4"/>
  <c r="AK3" i="4"/>
  <c r="AK29" i="4"/>
  <c r="AK32" i="4"/>
  <c r="AK23" i="4"/>
  <c r="AK25" i="4"/>
  <c r="AK31" i="4"/>
  <c r="AK22" i="4"/>
  <c r="AC10" i="4"/>
  <c r="AC2" i="4"/>
  <c r="AC9" i="4"/>
  <c r="AC28" i="4"/>
  <c r="AC21" i="4"/>
  <c r="AC6" i="4"/>
  <c r="AC17" i="4"/>
  <c r="AC13" i="4"/>
  <c r="AC14" i="4"/>
  <c r="AC23" i="4"/>
  <c r="AC16" i="4"/>
  <c r="AC8" i="4"/>
  <c r="AC3" i="4"/>
  <c r="AC25" i="4"/>
  <c r="AC18" i="4"/>
  <c r="AC4" i="4"/>
  <c r="AC31" i="4"/>
  <c r="AC29" i="4"/>
  <c r="AC32" i="4"/>
  <c r="AC22" i="4"/>
  <c r="U10" i="4"/>
  <c r="U2" i="4"/>
  <c r="U9" i="4"/>
  <c r="U28" i="4"/>
  <c r="U21" i="4"/>
  <c r="U6" i="4"/>
  <c r="U17" i="4"/>
  <c r="U13" i="4"/>
  <c r="U14" i="4"/>
  <c r="U3" i="4"/>
  <c r="U16" i="4"/>
  <c r="U8" i="4"/>
  <c r="U4" i="4"/>
  <c r="U18" i="4"/>
  <c r="U29" i="4"/>
  <c r="U32" i="4"/>
  <c r="U23" i="4"/>
  <c r="U25" i="4"/>
  <c r="U31" i="4"/>
  <c r="U22" i="4"/>
  <c r="M10" i="4"/>
  <c r="M2" i="4"/>
  <c r="M9" i="4"/>
  <c r="M28" i="4"/>
  <c r="M21" i="4"/>
  <c r="M6" i="4"/>
  <c r="M17" i="4"/>
  <c r="M13" i="4"/>
  <c r="M14" i="4"/>
  <c r="M23" i="4"/>
  <c r="M16" i="4"/>
  <c r="M8" i="4"/>
  <c r="M25" i="4"/>
  <c r="M4" i="4"/>
  <c r="M31" i="4"/>
  <c r="M29" i="4"/>
  <c r="M18" i="4"/>
  <c r="M3" i="4"/>
  <c r="M32" i="4"/>
  <c r="M22" i="4"/>
  <c r="AK27" i="4"/>
  <c r="AC27" i="4"/>
  <c r="U27" i="4"/>
  <c r="M27" i="4"/>
  <c r="AP5" i="4"/>
  <c r="AH5" i="4"/>
  <c r="Z5" i="4"/>
  <c r="R5" i="4"/>
  <c r="J5" i="4"/>
  <c r="AN11" i="4"/>
  <c r="AF11" i="4"/>
  <c r="X11" i="4"/>
  <c r="P11" i="4"/>
  <c r="H11" i="4"/>
  <c r="AM26" i="4"/>
  <c r="W26" i="4"/>
  <c r="O26" i="4"/>
  <c r="AL30" i="4"/>
  <c r="AD30" i="4"/>
  <c r="V30" i="4"/>
  <c r="N30" i="4"/>
  <c r="AP4" i="4"/>
  <c r="Z4" i="4"/>
  <c r="J4" i="4"/>
  <c r="H24" i="4"/>
  <c r="AM15" i="4"/>
  <c r="W15" i="4"/>
  <c r="AL7" i="4"/>
  <c r="V7" i="4"/>
  <c r="AK20" i="4"/>
  <c r="U20" i="4"/>
  <c r="AM18" i="4"/>
  <c r="AN17" i="4"/>
  <c r="AN10" i="4"/>
  <c r="AN32" i="4"/>
  <c r="AN3" i="4"/>
  <c r="AN23" i="4"/>
  <c r="AN2" i="4"/>
  <c r="AN25" i="4"/>
  <c r="AN9" i="4"/>
  <c r="AN28" i="4"/>
  <c r="AN21" i="4"/>
  <c r="AN14" i="4"/>
  <c r="AN7" i="4"/>
  <c r="AN31" i="4"/>
  <c r="AN20" i="4"/>
  <c r="AN22" i="4"/>
  <c r="AN18" i="4"/>
  <c r="AN6" i="4"/>
  <c r="AN13" i="4"/>
  <c r="AN15" i="4"/>
  <c r="X17" i="4"/>
  <c r="X10" i="4"/>
  <c r="X32" i="4"/>
  <c r="X3" i="4"/>
  <c r="X23" i="4"/>
  <c r="X2" i="4"/>
  <c r="X25" i="4"/>
  <c r="X9" i="4"/>
  <c r="X28" i="4"/>
  <c r="X21" i="4"/>
  <c r="X14" i="4"/>
  <c r="X7" i="4"/>
  <c r="X31" i="4"/>
  <c r="X20" i="4"/>
  <c r="X22" i="4"/>
  <c r="X18" i="4"/>
  <c r="X6" i="4"/>
  <c r="X13" i="4"/>
  <c r="X15" i="4"/>
  <c r="AF27" i="4"/>
  <c r="P27" i="4"/>
  <c r="AE10" i="4"/>
  <c r="AE3" i="4"/>
  <c r="AE23" i="4"/>
  <c r="AE2" i="4"/>
  <c r="AE25" i="4"/>
  <c r="AE9" i="4"/>
  <c r="AE28" i="4"/>
  <c r="AE21" i="4"/>
  <c r="AE6" i="4"/>
  <c r="AE17" i="4"/>
  <c r="AE20" i="4"/>
  <c r="AE32" i="4"/>
  <c r="AE22" i="4"/>
  <c r="AE13" i="4"/>
  <c r="AE16" i="4"/>
  <c r="AE14" i="4"/>
  <c r="AE31" i="4"/>
  <c r="AE7" i="4"/>
  <c r="H27" i="4"/>
  <c r="AE27" i="4"/>
  <c r="AN30" i="4"/>
  <c r="P30" i="4"/>
  <c r="AR3" i="4"/>
  <c r="AR9" i="4"/>
  <c r="AR21" i="4"/>
  <c r="AR6" i="4"/>
  <c r="AR17" i="4"/>
  <c r="AR13" i="4"/>
  <c r="AR14" i="4"/>
  <c r="AR31" i="4"/>
  <c r="AR25" i="4"/>
  <c r="AR18" i="4"/>
  <c r="AR4" i="4"/>
  <c r="AR28" i="4"/>
  <c r="AR29" i="4"/>
  <c r="AR10" i="4"/>
  <c r="AR24" i="4"/>
  <c r="AR2" i="4"/>
  <c r="AR32" i="4"/>
  <c r="AR23" i="4"/>
  <c r="AR16" i="4"/>
  <c r="AJ3" i="4"/>
  <c r="AJ9" i="4"/>
  <c r="AJ21" i="4"/>
  <c r="AJ6" i="4"/>
  <c r="AJ17" i="4"/>
  <c r="AJ13" i="4"/>
  <c r="AJ14" i="4"/>
  <c r="AJ31" i="4"/>
  <c r="AJ10" i="4"/>
  <c r="AJ18" i="4"/>
  <c r="AJ4" i="4"/>
  <c r="AJ29" i="4"/>
  <c r="AJ32" i="4"/>
  <c r="AJ24" i="4"/>
  <c r="AJ23" i="4"/>
  <c r="AJ2" i="4"/>
  <c r="AJ25" i="4"/>
  <c r="AJ28" i="4"/>
  <c r="AJ16" i="4"/>
  <c r="AB3" i="4"/>
  <c r="AB9" i="4"/>
  <c r="AB21" i="4"/>
  <c r="AB6" i="4"/>
  <c r="AB17" i="4"/>
  <c r="AB13" i="4"/>
  <c r="AB14" i="4"/>
  <c r="AB31" i="4"/>
  <c r="AB10" i="4"/>
  <c r="AB25" i="4"/>
  <c r="AB18" i="4"/>
  <c r="AB4" i="4"/>
  <c r="AB28" i="4"/>
  <c r="AB29" i="4"/>
  <c r="AB24" i="4"/>
  <c r="AB2" i="4"/>
  <c r="AB32" i="4"/>
  <c r="AB23" i="4"/>
  <c r="AB16" i="4"/>
  <c r="T3" i="4"/>
  <c r="T9" i="4"/>
  <c r="T21" i="4"/>
  <c r="T6" i="4"/>
  <c r="T17" i="4"/>
  <c r="T13" i="4"/>
  <c r="T14" i="4"/>
  <c r="T31" i="4"/>
  <c r="T18" i="4"/>
  <c r="T10" i="4"/>
  <c r="T4" i="4"/>
  <c r="T29" i="4"/>
  <c r="T2" i="4"/>
  <c r="T32" i="4"/>
  <c r="T24" i="4"/>
  <c r="T23" i="4"/>
  <c r="T25" i="4"/>
  <c r="T28" i="4"/>
  <c r="T16" i="4"/>
  <c r="L3" i="4"/>
  <c r="L9" i="4"/>
  <c r="L21" i="4"/>
  <c r="L6" i="4"/>
  <c r="L17" i="4"/>
  <c r="L13" i="4"/>
  <c r="L14" i="4"/>
  <c r="L31" i="4"/>
  <c r="L18" i="4"/>
  <c r="L10" i="4"/>
  <c r="L25" i="4"/>
  <c r="L4" i="4"/>
  <c r="L2" i="4"/>
  <c r="L28" i="4"/>
  <c r="L29" i="4"/>
  <c r="L24" i="4"/>
  <c r="L32" i="4"/>
  <c r="L23" i="4"/>
  <c r="L16" i="4"/>
  <c r="L8" i="4"/>
  <c r="AR27" i="4"/>
  <c r="AJ27" i="4"/>
  <c r="AB27" i="4"/>
  <c r="T27" i="4"/>
  <c r="L27" i="4"/>
  <c r="AP12" i="4"/>
  <c r="AH12" i="4"/>
  <c r="Z12" i="4"/>
  <c r="R12" i="4"/>
  <c r="J12" i="4"/>
  <c r="AN19" i="4"/>
  <c r="AF19" i="4"/>
  <c r="X19" i="4"/>
  <c r="P19" i="4"/>
  <c r="H19" i="4"/>
  <c r="AM11" i="4"/>
  <c r="AE11" i="4"/>
  <c r="W11" i="4"/>
  <c r="O11" i="4"/>
  <c r="AL26" i="4"/>
  <c r="AD26" i="4"/>
  <c r="V26" i="4"/>
  <c r="N26" i="4"/>
  <c r="AK30" i="4"/>
  <c r="AC30" i="4"/>
  <c r="U30" i="4"/>
  <c r="M30" i="4"/>
  <c r="AR8" i="4"/>
  <c r="AH8" i="4"/>
  <c r="X8" i="4"/>
  <c r="J8" i="4"/>
  <c r="AN29" i="4"/>
  <c r="X29" i="4"/>
  <c r="H29" i="4"/>
  <c r="AM24" i="4"/>
  <c r="W24" i="4"/>
  <c r="AL15" i="4"/>
  <c r="V15" i="4"/>
  <c r="AK7" i="4"/>
  <c r="U7" i="4"/>
  <c r="AJ20" i="4"/>
  <c r="T20" i="4"/>
  <c r="AH16" i="4"/>
  <c r="R16" i="4"/>
  <c r="AE18" i="4"/>
  <c r="BC11" i="4" l="1"/>
  <c r="BC26" i="4"/>
  <c r="BF5" i="4"/>
  <c r="BF24" i="4"/>
  <c r="BF29" i="4"/>
  <c r="BF30" i="4"/>
  <c r="BF31" i="4"/>
  <c r="BF23" i="4"/>
  <c r="BF7" i="4"/>
  <c r="BF3" i="4"/>
  <c r="BF15" i="4"/>
  <c r="BF14" i="4"/>
  <c r="BF32" i="4"/>
  <c r="BF11" i="4"/>
  <c r="BF4" i="4"/>
  <c r="BF13" i="4"/>
  <c r="BF21" i="4"/>
  <c r="BF10" i="4"/>
  <c r="BF6" i="4"/>
  <c r="BF28" i="4"/>
  <c r="BF17" i="4"/>
  <c r="BC15" i="4"/>
  <c r="BF18" i="4"/>
  <c r="BF9" i="4"/>
  <c r="BF26" i="4"/>
  <c r="BF19" i="4"/>
  <c r="BF22" i="4"/>
  <c r="BF25" i="4"/>
  <c r="BF8" i="4"/>
  <c r="BF12" i="4"/>
  <c r="BF20" i="4"/>
  <c r="BF2" i="4"/>
  <c r="BF16" i="4"/>
  <c r="BF27" i="4"/>
  <c r="BE27" i="4"/>
  <c r="BE22" i="4"/>
  <c r="BE12" i="4"/>
  <c r="BE29" i="4"/>
  <c r="BE13" i="4"/>
  <c r="BE8" i="4"/>
  <c r="BE4" i="4"/>
  <c r="BE28" i="4"/>
  <c r="BE17" i="4"/>
  <c r="BE20" i="4"/>
  <c r="BE25" i="4"/>
  <c r="BE3" i="4"/>
  <c r="BE21" i="4"/>
  <c r="BE26" i="4"/>
  <c r="BE23" i="4"/>
  <c r="BE32" i="4"/>
  <c r="BE2" i="4"/>
  <c r="BE5" i="4"/>
  <c r="BE9" i="4"/>
  <c r="BE10" i="4"/>
  <c r="BE7" i="4"/>
  <c r="BE15" i="4"/>
  <c r="BE18" i="4"/>
  <c r="BE30" i="4"/>
  <c r="BE11" i="4"/>
  <c r="BE24" i="4"/>
  <c r="BE31" i="4"/>
  <c r="BE16" i="4"/>
  <c r="BE19" i="4"/>
  <c r="BE6" i="4"/>
  <c r="BE14" i="4"/>
  <c r="BC19" i="4"/>
  <c r="BC7" i="4"/>
  <c r="BD12" i="4"/>
  <c r="BD11" i="4"/>
  <c r="BD5" i="4"/>
  <c r="BD24" i="4"/>
  <c r="BC29" i="4"/>
  <c r="BD8" i="4"/>
  <c r="BD21" i="4"/>
  <c r="BD26" i="4"/>
  <c r="BD16" i="4"/>
  <c r="BD28" i="4"/>
  <c r="BD7" i="4"/>
  <c r="BD19" i="4"/>
  <c r="BD20" i="4"/>
  <c r="BD23" i="4"/>
  <c r="BD9" i="4"/>
  <c r="BD18" i="4"/>
  <c r="BD22" i="4"/>
  <c r="BD25" i="4"/>
  <c r="BC5" i="4"/>
  <c r="BD27" i="4"/>
  <c r="BD10" i="4"/>
  <c r="BD32" i="4"/>
  <c r="BD2" i="4"/>
  <c r="BC16" i="4"/>
  <c r="BD29" i="4"/>
  <c r="BD31" i="4"/>
  <c r="BD13" i="4"/>
  <c r="BD3" i="4"/>
  <c r="BD30" i="4"/>
  <c r="BD4" i="4"/>
  <c r="BD17" i="4"/>
  <c r="BD14" i="4"/>
  <c r="BD6" i="4"/>
  <c r="BD15" i="4"/>
  <c r="BC14" i="4"/>
  <c r="BC32" i="4"/>
  <c r="BC13" i="4"/>
  <c r="BG13" i="4" s="1"/>
  <c r="BC21" i="4"/>
  <c r="BC10" i="4"/>
  <c r="BC24" i="4"/>
  <c r="BC30" i="4"/>
  <c r="BC6" i="4"/>
  <c r="BC28" i="4"/>
  <c r="BC17" i="4"/>
  <c r="BC8" i="4"/>
  <c r="BC18" i="4"/>
  <c r="BC9" i="4"/>
  <c r="BC22" i="4"/>
  <c r="BC25" i="4"/>
  <c r="BC20" i="4"/>
  <c r="BC2" i="4"/>
  <c r="BC4" i="4"/>
  <c r="BC27" i="4"/>
  <c r="BC31" i="4"/>
  <c r="BC23" i="4"/>
  <c r="BC12" i="4"/>
  <c r="BC3" i="4"/>
  <c r="BG8" i="4" l="1"/>
  <c r="BG29" i="4"/>
  <c r="BG5" i="4"/>
  <c r="BG12" i="4"/>
  <c r="BH12" i="4" s="1"/>
  <c r="BG22" i="4"/>
  <c r="BH22" i="4" s="1"/>
  <c r="BG24" i="4"/>
  <c r="BH24" i="4" s="1"/>
  <c r="BG16" i="4"/>
  <c r="BH16" i="4" s="1"/>
  <c r="BG10" i="4"/>
  <c r="BH10" i="4" s="1"/>
  <c r="BG7" i="4"/>
  <c r="BH7" i="4" s="1"/>
  <c r="BG23" i="4"/>
  <c r="BG9" i="4"/>
  <c r="BH9" i="4" s="1"/>
  <c r="BG19" i="4"/>
  <c r="BH19" i="4" s="1"/>
  <c r="BG31" i="4"/>
  <c r="BH31" i="4" s="1"/>
  <c r="BG18" i="4"/>
  <c r="BH18" i="4" s="1"/>
  <c r="BG21" i="4"/>
  <c r="BH21" i="4" s="1"/>
  <c r="BG27" i="4"/>
  <c r="BH27" i="4" s="1"/>
  <c r="BG4" i="4"/>
  <c r="BH4" i="4" s="1"/>
  <c r="BG17" i="4"/>
  <c r="BH17" i="4" s="1"/>
  <c r="BG32" i="4"/>
  <c r="BH32" i="4" s="1"/>
  <c r="BG2" i="4"/>
  <c r="BH2" i="4" s="1"/>
  <c r="BG28" i="4"/>
  <c r="BH28" i="4" s="1"/>
  <c r="BG14" i="4"/>
  <c r="BH14" i="4" s="1"/>
  <c r="BG15" i="4"/>
  <c r="BH15" i="4" s="1"/>
  <c r="BG20" i="4"/>
  <c r="BH20" i="4" s="1"/>
  <c r="BG6" i="4"/>
  <c r="BH6" i="4" s="1"/>
  <c r="BG3" i="4"/>
  <c r="BH3" i="4" s="1"/>
  <c r="BG25" i="4"/>
  <c r="BH25" i="4" s="1"/>
  <c r="BG30" i="4"/>
  <c r="BH30" i="4" s="1"/>
  <c r="BG26" i="4"/>
  <c r="BH26" i="4" s="1"/>
  <c r="BG11" i="4"/>
  <c r="BH11" i="4" s="1"/>
  <c r="BH8" i="4"/>
  <c r="BH29" i="4"/>
  <c r="BH13" i="4"/>
  <c r="BH23" i="4"/>
  <c r="BH5" i="4"/>
</calcChain>
</file>

<file path=xl/sharedStrings.xml><?xml version="1.0" encoding="utf-8"?>
<sst xmlns="http://schemas.openxmlformats.org/spreadsheetml/2006/main" count="722" uniqueCount="137">
  <si>
    <t>【爱他美奶粉】爱他美（Aptamil） 卓萃婴儿配方奶粉（0—6月龄，1段） 900g【行情 报价 价格 评测】-京东 (jd.com)</t>
  </si>
  <si>
    <t>爱他美</t>
  </si>
  <si>
    <t>低聚糖</t>
  </si>
  <si>
    <t>是</t>
  </si>
  <si>
    <t>【爱他美奶粉】爱他美（Aptamil）【原卓萃 新国标】卓傲婴儿配方奶粉（0—6月龄，1段）800g【行情 报价 价格 评测】-京东 (jd.com)</t>
  </si>
  <si>
    <t>低聚糖,一次喷雾干燥成粉</t>
  </si>
  <si>
    <t>【爱他美卓徉婴儿配方羊奶粉（0-6月龄，1段）800g】爱他美（Aptamil）卓徉婴儿配方羊奶粉（0-6月龄，1段）800g【行情 报价 价格 评测】-京东 (jd.com)</t>
  </si>
  <si>
    <t>羊奶配方</t>
  </si>
  <si>
    <t>【飞鹤奶粉】飞鹤星飞帆卓睿婴儿配方奶粉1段(0-6个月婴儿适用) 750g克乳铁蛋白【行情 报价 价格 评测】-京东 (jd.com)</t>
  </si>
  <si>
    <t>飞鹤</t>
  </si>
  <si>
    <t>齐齐哈尔牧场,两小时加工</t>
  </si>
  <si>
    <t>【飞鹤奶粉】飞鹤星飞帆卓耀 100%A2奶源 婴儿配方奶粉 1段(0-6个月婴儿适用) 750g【行情 报价 价格 评测】-京东 (jd.com)</t>
  </si>
  <si>
    <t>齐齐哈尔牧场</t>
  </si>
  <si>
    <t>【飞鹤奶粉】飞鹤星飞帆A2 婴儿配方奶粉1段(0-6个月适用708g 北纬47度珍稀A2奶源【行情 报价 价格 评测】-京东 (jd.com)</t>
  </si>
  <si>
    <t>A2蛋白,两小时加工,新国标配方</t>
  </si>
  <si>
    <t>【飞鹤奶粉】飞鹤星飞帆 婴儿配方奶粉 1段(0-6个月婴儿适用) 700 专利OPO【行情 报价 价格 评测】-京东 (jd.com)</t>
  </si>
  <si>
    <t>两小时加工,新国标配方</t>
  </si>
  <si>
    <t>【飞鹤奶粉】飞鹤臻稚有机 婴儿配方奶粉 1段(0-6个月适用) 700克 有机生牛乳【行情 报价 价格 评测】-京东 (jd.com)</t>
  </si>
  <si>
    <t>有机认证,新国标配方</t>
  </si>
  <si>
    <t>【伊利奶粉】伊利金领冠 珍护 婴儿配方奶粉 1段 (0-6个月婴儿适用) 900g 新升级 【行情 报价 价格 评测】-京东 (jd.com)</t>
  </si>
  <si>
    <t>伊利</t>
  </si>
  <si>
    <t>【伊利奶粉】伊利金领冠 珍护A2系列 婴儿配方奶粉 1段 (0-6个月适用) 808g 新国标【行情 报价 价格 评测】-京东 (jd.com)</t>
  </si>
  <si>
    <t>【美素佳儿婴儿奶粉】美素佳儿（Friso）皇家婴儿配方奶粉 1段（0-6个月婴儿适用） 800克【行情 报价 价格 评测】-京东 (jd.com)</t>
  </si>
  <si>
    <t>美素佳儿</t>
  </si>
  <si>
    <t>乳铁蛋白,一次喷雾干燥成粉</t>
  </si>
  <si>
    <t>【雀巢超级能恩1段】雀巢（nestle）超启能恩 婴幼儿乳蛋白部分水解配方奶粉1段0-12个月适用800克 （原超级能恩 1段）【行情 报价 价格 评测】-京东 (jd.com)</t>
  </si>
  <si>
    <t>雀巢</t>
  </si>
  <si>
    <t>【雀巢奶粉】雀巢（Nestle）舒宜能恩1段 900g 婴儿A2奶粉 原雀巢能恩升级舒宜能恩新国标【行情 报价 价格 评测】-京东 (jd.com)</t>
  </si>
  <si>
    <t>【雀巢奶粉】雀巢（Nestle）铂初能恩（0-6个月适用）A2奶源 1段850g婴儿配方奶粉 新国标【行情 报价 价格 评测】-京东 (jd.com)</t>
  </si>
  <si>
    <t>新国标配方</t>
  </si>
  <si>
    <t>【雀巢奶粉】雀巢（nestle）有机奶粉 卓淳能恩1段婴儿配方（0-6个月适用）800克【行情 报价 价格 评测】-京东 (jd.com)</t>
  </si>
  <si>
    <t>有机认证,瑞士进口</t>
  </si>
  <si>
    <t>【君乐宝奶粉】君乐宝(JUNLEBAO)乐铂婴儿配方奶粉808克(0-6个月龄，1段) 【行情 报价 价格 评测】-京东 (jd.com)</t>
  </si>
  <si>
    <t>君乐宝</t>
  </si>
  <si>
    <t>【君乐宝奶粉】君乐宝(JUNLEBAO)至臻 1段婴儿配方奶粉（0-6月龄）800克 【行情 报价 价格 评测】-京东 (jd.com)</t>
  </si>
  <si>
    <t>【君乐宝奶粉】君乐宝(JUNLEBAO)恬适 1段婴儿配方奶粉（0-6月龄）800克 【行情 报价 价格 评测】-京东 (jd.com)</t>
  </si>
  <si>
    <t>【君乐宝奶粉】君乐宝(JUNLEBAO) 乐臻1段婴儿配方奶粉(0-6个月龄)800g【行情 报价 价格 评测】-京东 (jd.com)</t>
  </si>
  <si>
    <t>【君乐宝奶粉】君乐宝(JUNLEBAO) 诠臻爱1段婴儿配方奶粉(0-6月龄)800g 【行情 报价 价格 评测】-京东 (jd.com)</t>
  </si>
  <si>
    <t>低聚糖,乳铁蛋白</t>
  </si>
  <si>
    <t>【美赞臣奶粉】美赞臣蓝臻 1段奶粉 婴儿配方奶粉（0-6月）820克罐装 实证乳铁蛋白【行情 报价 价格 评测】-京东 (jd.com)</t>
  </si>
  <si>
    <t>美赞臣</t>
  </si>
  <si>
    <t>乳铁蛋白</t>
  </si>
  <si>
    <t>【美赞臣奶粉】美赞臣铂睿A2奶源奶粉婴儿配方奶粉 1段（0-6月）850克罐装 荷兰进口【行情 报价 价格 评测】-京东 (jd.com)</t>
  </si>
  <si>
    <t>【美赞臣奶粉】美赞臣纯冠婴儿配方羊奶粉 1段（0-6月龄）300克小罐装 纯羊乳小分子【行情 报价 价格 评测】-京东 (jd.com)</t>
  </si>
  <si>
    <t>羊奶配方,低聚糖</t>
  </si>
  <si>
    <t>【a2奶粉】a2至初 1段奶粉 婴儿配方奶粉（0-6月龄）900g 新西兰进口【行情 报价 价格 评测】-京东 (jd.com)</t>
  </si>
  <si>
    <t>A2</t>
  </si>
  <si>
    <t>A2蛋白,新西兰进口,低聚糖,乳铁蛋白</t>
  </si>
  <si>
    <t>【贝因美婴幼儿奶粉】贝因美（Beingmate）菁爱A2有机奶源1段（0-6月龄）700克含珍稀A2-β酪蛋白+乳铁蛋白【行情 报价 价格 评测】-京东 (jd.com)</t>
  </si>
  <si>
    <t>贝因美</t>
  </si>
  <si>
    <t>A2蛋白,乳铁蛋白,低聚糖</t>
  </si>
  <si>
    <t>【贝因美配方奶粉】贝因美爱加0-6月婴儿奶粉大罐1段800g*2 免疫成长奶粉含乳铁蛋白【行情 报价 价格 评测】-京东 (jd.com)</t>
  </si>
  <si>
    <t>雅培（Abbott）菁智菁挚有机婴儿配方奶粉1段900克（丹麦原罐进口） 900g*1罐【图片 价格 品牌 报价】-京东 (jd.com)</t>
  </si>
  <si>
    <t>雅培</t>
  </si>
  <si>
    <t>雅培（Abbott）亲护乳蛋白部分水解婴儿配方奶粉1段820克（西班牙原罐进口） 820g*1罐【图片 价格 品牌 报价】-京东 (jd.com)</t>
  </si>
  <si>
    <t>【飞鹤奶粉】飞鹤臻爱倍护超级飞帆 婴儿配方奶粉 1段(0-6个月婴儿适用) 900克【行情 报价 价格 评测】-京东 (jd.com)</t>
  </si>
  <si>
    <t>否</t>
  </si>
  <si>
    <t>【飞鹤奶粉】飞鹤星阶优护 婴儿配方奶粉 1段(0-6个月婴儿适用) 900克【A2奶源】【行情 报价 价格 评测】-京东 (jd.com)</t>
  </si>
  <si>
    <t>新国标配方,齐齐哈尔牧场,两小时加工</t>
  </si>
  <si>
    <t>【伊利配方奶粉】伊利金领冠育护 婴儿配方奶粉 1段 (0-6个月婴儿适用) 400g(原金领冠)【行情 报价 价格 评测】-京东 (jd.com)</t>
  </si>
  <si>
    <t>名称</t>
  </si>
  <si>
    <t>品牌</t>
  </si>
  <si>
    <t>克数</t>
  </si>
  <si>
    <t>价格</t>
  </si>
  <si>
    <t>百克重量</t>
  </si>
  <si>
    <t>卖点</t>
  </si>
  <si>
    <t>选择</t>
  </si>
  <si>
    <t>维生素A（ug视黄醇）</t>
  </si>
  <si>
    <t>能量kj</t>
  </si>
  <si>
    <t>蛋白质g</t>
  </si>
  <si>
    <t>脂肪g</t>
  </si>
  <si>
    <t>亚油酸g</t>
  </si>
  <si>
    <t>a-亚麻酸mg</t>
  </si>
  <si>
    <t>碳水化合物g</t>
  </si>
  <si>
    <t>维生素D ug</t>
  </si>
  <si>
    <t>维生素E mg</t>
  </si>
  <si>
    <t>维生素K1 ug</t>
  </si>
  <si>
    <t>维生素B1 ug</t>
  </si>
  <si>
    <t>维生素B2 ug</t>
  </si>
  <si>
    <t>维生素B6 ug</t>
  </si>
  <si>
    <t>维生素B12 ug</t>
  </si>
  <si>
    <t>烟酸 ug</t>
  </si>
  <si>
    <t>叶酸 ug</t>
  </si>
  <si>
    <t>泛酸 ug</t>
  </si>
  <si>
    <t>维生素C mg</t>
  </si>
  <si>
    <t>生物素 ug</t>
  </si>
  <si>
    <t>钠 mg</t>
  </si>
  <si>
    <t>钾 mg</t>
  </si>
  <si>
    <t>铜 ug</t>
  </si>
  <si>
    <t>镁 mg</t>
  </si>
  <si>
    <t xml:space="preserve">铁 mg </t>
  </si>
  <si>
    <t>锌 mg</t>
  </si>
  <si>
    <t>锰 ug</t>
  </si>
  <si>
    <t>钙mg</t>
  </si>
  <si>
    <t>磷 mg</t>
  </si>
  <si>
    <t>碘 ug</t>
  </si>
  <si>
    <t>氯 mg</t>
  </si>
  <si>
    <t>硒 mg</t>
  </si>
  <si>
    <t>胆碱 mg</t>
  </si>
  <si>
    <t>肌醇 mg</t>
  </si>
  <si>
    <t>牛磺酸 mg</t>
  </si>
  <si>
    <t>左旋肉碱 mg</t>
  </si>
  <si>
    <t>低聚半乳糖 g</t>
  </si>
  <si>
    <t>多聚果糖 g</t>
  </si>
  <si>
    <t>核苷酸 mg</t>
  </si>
  <si>
    <t>13二油酸 g</t>
  </si>
  <si>
    <t>叶黄素 ug</t>
  </si>
  <si>
    <t>乳铁蛋白 mg</t>
  </si>
  <si>
    <t>酪蛋白磷酸肽 mg</t>
  </si>
  <si>
    <t>二十二碳六烯酸 mg</t>
    <phoneticPr fontId="4" type="noConversion"/>
  </si>
  <si>
    <t>二十碳四烯酸 mg</t>
    <phoneticPr fontId="4" type="noConversion"/>
  </si>
  <si>
    <t>低聚果糖 g</t>
    <phoneticPr fontId="4" type="noConversion"/>
  </si>
  <si>
    <t>聚葡萄糖 g</t>
    <phoneticPr fontId="4" type="noConversion"/>
  </si>
  <si>
    <t>b胡萝卜素 ug</t>
    <phoneticPr fontId="4" type="noConversion"/>
  </si>
  <si>
    <t>汇总</t>
  </si>
  <si>
    <t>A2</t>
    <phoneticPr fontId="4" type="noConversion"/>
  </si>
  <si>
    <t>爱他美</t>
    <phoneticPr fontId="4" type="noConversion"/>
  </si>
  <si>
    <t>贝因美</t>
    <phoneticPr fontId="4" type="noConversion"/>
  </si>
  <si>
    <t>飞鹤</t>
    <phoneticPr fontId="4" type="noConversion"/>
  </si>
  <si>
    <t>君乐宝</t>
    <phoneticPr fontId="4" type="noConversion"/>
  </si>
  <si>
    <t>美素佳儿</t>
    <phoneticPr fontId="4" type="noConversion"/>
  </si>
  <si>
    <t>美赞臣</t>
    <phoneticPr fontId="4" type="noConversion"/>
  </si>
  <si>
    <t>雀巢</t>
    <phoneticPr fontId="4" type="noConversion"/>
  </si>
  <si>
    <t>雅培</t>
    <phoneticPr fontId="4" type="noConversion"/>
  </si>
  <si>
    <t>伊利</t>
    <phoneticPr fontId="4" type="noConversion"/>
  </si>
  <si>
    <t>品牌</t>
    <phoneticPr fontId="4" type="noConversion"/>
  </si>
  <si>
    <t>0</t>
  </si>
  <si>
    <t>【a2奶粉】a2至初 1段奶粉 婴儿配方奶粉（0-6月龄）900g 新西兰进口【行情 报价 价格 评测】-京东 (jd.com)</t>
    <phoneticPr fontId="4" type="noConversion"/>
  </si>
  <si>
    <t>基础能量</t>
    <phoneticPr fontId="4" type="noConversion"/>
  </si>
  <si>
    <t>微量元素</t>
    <phoneticPr fontId="4" type="noConversion"/>
  </si>
  <si>
    <t>维生素</t>
    <phoneticPr fontId="4" type="noConversion"/>
  </si>
  <si>
    <t>加分项</t>
    <phoneticPr fontId="4" type="noConversion"/>
  </si>
  <si>
    <t>总分</t>
    <phoneticPr fontId="4" type="noConversion"/>
  </si>
  <si>
    <t>分/元/百克</t>
    <phoneticPr fontId="4" type="noConversion"/>
  </si>
  <si>
    <t>A2蛋白,新西兰进口,低聚糖,乳铁蛋白</t>
    <phoneticPr fontId="4" type="noConversion"/>
  </si>
  <si>
    <t>A2蛋白,齐齐哈尔牧场</t>
    <phoneticPr fontId="4" type="noConversion"/>
  </si>
  <si>
    <t>新国标配方,齐齐哈尔牧场,两小时加工,A2蛋白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</si>
</sst>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rgb="FF000000"/>
      <name val="等线"/>
      <family val="2"/>
      <charset val="134"/>
      <scheme val="minor"/>
    </font>
    <font>
      <sz val="6"/>
      <name val="Yu Gothic"/>
      <family val="2"/>
      <charset val="128"/>
    </font>
    <font>
      <sz val="9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vertical="center" wrapText="1"/>
    </xf>
    <xf numFmtId="176" fontId="0" fillId="2" borderId="1" xfId="0" applyNumberFormat="1" applyFont="1" applyFill="1" applyBorder="1">
      <alignment vertical="center"/>
    </xf>
    <xf numFmtId="176" fontId="2" fillId="0" borderId="1" xfId="0" applyNumberFormat="1" applyFont="1" applyBorder="1" applyAlignment="1">
      <alignment vertical="center" wrapText="1"/>
    </xf>
    <xf numFmtId="176" fontId="0" fillId="0" borderId="1" xfId="0" applyNumberFormat="1" applyFont="1" applyBorder="1">
      <alignment vertical="center"/>
    </xf>
    <xf numFmtId="176" fontId="0" fillId="0" borderId="0" xfId="0" applyNumberFormat="1">
      <alignment vertical="center"/>
    </xf>
    <xf numFmtId="0" fontId="2" fillId="2" borderId="1" xfId="0" applyNumberFormat="1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176" fontId="1" fillId="2" borderId="1" xfId="1" applyNumberFormat="1" applyFont="1" applyFill="1" applyBorder="1" applyAlignment="1">
      <alignment vertical="center" wrapText="1"/>
    </xf>
    <xf numFmtId="176" fontId="1" fillId="0" borderId="1" xfId="1" applyNumberFormat="1" applyFont="1" applyBorder="1" applyAlignment="1">
      <alignment vertical="center" wrapText="1"/>
    </xf>
    <xf numFmtId="176" fontId="5" fillId="3" borderId="2" xfId="0" applyNumberFormat="1" applyFont="1" applyFill="1" applyBorder="1">
      <alignment vertical="center"/>
    </xf>
    <xf numFmtId="0" fontId="5" fillId="3" borderId="2" xfId="0" applyNumberFormat="1" applyFont="1" applyFill="1" applyBorder="1">
      <alignment vertical="center"/>
    </xf>
    <xf numFmtId="176" fontId="1" fillId="2" borderId="3" xfId="1" applyNumberFormat="1" applyFont="1" applyFill="1" applyBorder="1" applyAlignment="1">
      <alignment vertical="center" wrapText="1"/>
    </xf>
    <xf numFmtId="176" fontId="2" fillId="2" borderId="3" xfId="0" applyNumberFormat="1" applyFont="1" applyFill="1" applyBorder="1" applyAlignment="1">
      <alignment vertical="center" wrapText="1"/>
    </xf>
    <xf numFmtId="0" fontId="2" fillId="2" borderId="3" xfId="0" applyNumberFormat="1" applyFont="1" applyFill="1" applyBorder="1" applyAlignment="1">
      <alignment vertical="center" wrapText="1"/>
    </xf>
    <xf numFmtId="176" fontId="0" fillId="2" borderId="3" xfId="0" applyNumberFormat="1" applyFont="1" applyFill="1" applyBorder="1">
      <alignment vertical="center"/>
    </xf>
  </cellXfs>
  <cellStyles count="2">
    <cellStyle name="Hyperlink" xfId="1" xr:uid="{00000000-000B-0000-0000-000008000000}"/>
    <cellStyle name="常规" xfId="0" builtinId="0"/>
  </cellStyles>
  <dxfs count="30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numFmt numFmtId="176" formatCode="0.00_ 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6" formatCode="0.00_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6" formatCode="0.00_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6" formatCode="0.00_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6" formatCode="0.00_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6" formatCode="0.00_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6" formatCode="0.00_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numFmt numFmtId="176" formatCode="0.00_ 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numFmt numFmtId="176" formatCode="0.00_ 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numFmt numFmtId="176" formatCode="0.00_ 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等线"/>
        <family val="2"/>
        <charset val="134"/>
        <scheme val="minor"/>
      </font>
      <numFmt numFmtId="176" formatCode="0.00_ 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family val="2"/>
        <charset val="134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484556-7898-4362-BC6B-0351C69DDBF7}" name="表1" displayName="表1" ref="A1:BB33" totalsRowCount="1">
  <autoFilter ref="A1:BB32" xr:uid="{EC484556-7898-4362-BC6B-0351C69DDBF7}"/>
  <tableColumns count="54">
    <tableColumn id="1" xr3:uid="{70733B60-5C4A-4AA3-8B7E-668349AC24F3}" name="名称" totalsRowLabel="汇总" dataDxfId="304" totalsRowDxfId="146" dataCellStyle="Hyperlink"/>
    <tableColumn id="2" xr3:uid="{0F2568CE-1FE2-4828-B8C2-D598D7EB568C}" name="品牌" totalsRowLabel="0" dataDxfId="303" totalsRowDxfId="145"/>
    <tableColumn id="3" xr3:uid="{9A8C4DAF-FE96-4C40-9C96-481C628D7035}" name="克数" totalsRowLabel="0" dataDxfId="302" totalsRowDxfId="144"/>
    <tableColumn id="4" xr3:uid="{0DFF7994-8099-4AE3-99D7-5CA81725D9FC}" name="价格" totalsRowLabel="0" dataDxfId="301" totalsRowDxfId="143"/>
    <tableColumn id="5" xr3:uid="{CF9D24A1-38B7-4F66-9EAF-DF9FFDE449BA}" name="百克重量" totalsRowLabel="0" dataDxfId="300" totalsRowDxfId="142"/>
    <tableColumn id="6" xr3:uid="{0E0A1716-08F2-49C6-9AED-3E06A47A9571}" name="卖点" totalsRowLabel="0" dataDxfId="299" totalsRowDxfId="141"/>
    <tableColumn id="7" xr3:uid="{D2716306-3105-4654-BC4F-747543EB4918}" name="选择" totalsRowLabel="0" dataDxfId="298" totalsRowDxfId="140"/>
    <tableColumn id="8" xr3:uid="{952C34A1-B8E4-432C-BB2E-44EEEF8260EC}" name="能量kj" totalsRowFunction="average" dataDxfId="297" totalsRowDxfId="139"/>
    <tableColumn id="9" xr3:uid="{9B3CCF8B-587D-47EF-9422-1CBE09835E7D}" name="蛋白质g" totalsRowFunction="average" dataDxfId="296" totalsRowDxfId="138"/>
    <tableColumn id="10" xr3:uid="{594E42FA-D753-490E-B9A5-15CC62157D8A}" name="脂肪g" totalsRowFunction="average" dataDxfId="295" totalsRowDxfId="137"/>
    <tableColumn id="11" xr3:uid="{CFA1BA21-4851-4D89-9950-01F54F67874B}" name="亚油酸g" totalsRowFunction="average" dataDxfId="294" totalsRowDxfId="136"/>
    <tableColumn id="12" xr3:uid="{A67D54FB-293E-457E-966B-FD88A0038F99}" name="a-亚麻酸mg" totalsRowFunction="average" dataDxfId="293" totalsRowDxfId="135"/>
    <tableColumn id="13" xr3:uid="{F5E19013-1B23-4B7C-A771-6E4C6387611D}" name="碳水化合物g" totalsRowFunction="average" dataDxfId="292" totalsRowDxfId="134"/>
    <tableColumn id="14" xr3:uid="{10F16636-8278-4B2F-A1FD-17CE9B013ADF}" name="维生素A（ug视黄醇）" totalsRowFunction="average" dataDxfId="291" totalsRowDxfId="133"/>
    <tableColumn id="15" xr3:uid="{34529F09-B031-41A7-B008-B050E85751AF}" name="维生素D ug" totalsRowFunction="average" dataDxfId="290" totalsRowDxfId="132"/>
    <tableColumn id="16" xr3:uid="{8708641A-94C5-49C0-97F1-A9E0B4CDFB46}" name="维生素E mg" totalsRowFunction="average" dataDxfId="289" totalsRowDxfId="131"/>
    <tableColumn id="17" xr3:uid="{C719C5E0-1E18-476A-AE60-B30ED64F14D1}" name="维生素K1 ug" totalsRowFunction="average" dataDxfId="288" totalsRowDxfId="130"/>
    <tableColumn id="18" xr3:uid="{5744FC0D-78E8-4576-AFEA-222AD5080310}" name="维生素B1 ug" totalsRowFunction="average" dataDxfId="287" totalsRowDxfId="129"/>
    <tableColumn id="19" xr3:uid="{AD262BB9-FDA4-4208-85C4-FB6C0222C1BC}" name="维生素B2 ug" totalsRowFunction="average" dataDxfId="286" totalsRowDxfId="128"/>
    <tableColumn id="20" xr3:uid="{2F406245-06E3-4EEF-8171-E85B4468B482}" name="维生素B6 ug" totalsRowFunction="average" dataDxfId="285" totalsRowDxfId="127"/>
    <tableColumn id="21" xr3:uid="{9FED3588-EB1B-4EE1-ABCD-365D026EAA6A}" name="维生素B12 ug" totalsRowFunction="average" dataDxfId="284" totalsRowDxfId="126"/>
    <tableColumn id="22" xr3:uid="{E092BBD3-49D5-4DB0-9920-FF52C47F3A79}" name="烟酸 ug" totalsRowFunction="average" dataDxfId="283" totalsRowDxfId="125"/>
    <tableColumn id="23" xr3:uid="{761F9FF7-969A-4616-AC28-9709D325D985}" name="叶酸 ug" totalsRowFunction="average" dataDxfId="282" totalsRowDxfId="124"/>
    <tableColumn id="24" xr3:uid="{06212D07-B17B-46F4-8D58-32F05C75AA8A}" name="泛酸 ug" totalsRowFunction="average" dataDxfId="281" totalsRowDxfId="123"/>
    <tableColumn id="25" xr3:uid="{02AFCB48-1418-4CEA-946B-ABCC7830B755}" name="维生素C mg" totalsRowFunction="average" dataDxfId="280" totalsRowDxfId="122"/>
    <tableColumn id="26" xr3:uid="{786AA22E-F28A-41A9-91EC-D7846E03292B}" name="生物素 ug" totalsRowFunction="average" dataDxfId="279" totalsRowDxfId="121"/>
    <tableColumn id="27" xr3:uid="{2907F347-3BF8-485C-AA40-E4FA6E7A1123}" name="钠 mg" totalsRowFunction="average" dataDxfId="278" totalsRowDxfId="120"/>
    <tableColumn id="28" xr3:uid="{7AF42341-A3DB-466B-B1BB-2699CB929C4D}" name="钾 mg" totalsRowFunction="average" dataDxfId="277" totalsRowDxfId="119"/>
    <tableColumn id="29" xr3:uid="{EC1508D5-A55E-44EA-82CE-07EA4BD49555}" name="铜 ug" totalsRowFunction="average" dataDxfId="276" totalsRowDxfId="118"/>
    <tableColumn id="30" xr3:uid="{9671CD65-8CAB-4E46-94A6-19D2E4BE0B50}" name="镁 mg" totalsRowFunction="average" dataDxfId="275" totalsRowDxfId="117"/>
    <tableColumn id="31" xr3:uid="{07AF841D-B828-41D6-96F5-768018935C21}" name="铁 mg " totalsRowFunction="average" dataDxfId="274" totalsRowDxfId="116"/>
    <tableColumn id="32" xr3:uid="{C4C4E939-6A6C-4414-AE8D-C06CAFB81F39}" name="锌 mg" totalsRowFunction="average" dataDxfId="273" totalsRowDxfId="115"/>
    <tableColumn id="33" xr3:uid="{A0EE271A-9243-4E8A-8549-39B82103825E}" name="锰 ug" totalsRowFunction="average" dataDxfId="272" totalsRowDxfId="114"/>
    <tableColumn id="34" xr3:uid="{82459CC6-C68E-42B3-B2B7-CCAABB911837}" name="钙mg" totalsRowFunction="average" dataDxfId="271" totalsRowDxfId="113"/>
    <tableColumn id="35" xr3:uid="{63EBEC6F-6551-4034-A2B4-207A2835422A}" name="磷 mg" totalsRowFunction="average" dataDxfId="270" totalsRowDxfId="112"/>
    <tableColumn id="36" xr3:uid="{F8D21C0E-63DC-4D26-904B-69723A58AC2C}" name="碘 ug" totalsRowFunction="average" dataDxfId="269" totalsRowDxfId="111"/>
    <tableColumn id="37" xr3:uid="{3703107B-233B-4ED3-B19B-412DACBCD4ED}" name="氯 mg" totalsRowFunction="average" dataDxfId="268" totalsRowDxfId="110"/>
    <tableColumn id="38" xr3:uid="{AE800071-5E78-41A4-8FEC-4BDD9D65785E}" name="硒 mg" totalsRowFunction="average" dataDxfId="267" totalsRowDxfId="109"/>
    <tableColumn id="39" xr3:uid="{4E4F4354-33D0-4283-8FA3-38D56DB9C79E}" name="胆碱 mg" totalsRowFunction="average" dataDxfId="266" totalsRowDxfId="108"/>
    <tableColumn id="40" xr3:uid="{EFE13ADD-6352-4D55-B88E-29034DDA8AAE}" name="肌醇 mg" totalsRowFunction="average" dataDxfId="265" totalsRowDxfId="107"/>
    <tableColumn id="41" xr3:uid="{3F2057CD-5423-4CFE-A886-320E7BC62C1C}" name="牛磺酸 mg" totalsRowFunction="average" dataDxfId="264" totalsRowDxfId="106"/>
    <tableColumn id="42" xr3:uid="{D97B6A36-347E-4C9E-99BC-022DF2BDEB0A}" name="左旋肉碱 mg" totalsRowFunction="average" dataDxfId="263" totalsRowDxfId="105"/>
    <tableColumn id="43" xr3:uid="{28B50F20-9D9F-4B9B-A036-011F5089DD88}" name="二十二碳六烯酸 mg" totalsRowFunction="average" dataDxfId="262" totalsRowDxfId="104"/>
    <tableColumn id="44" xr3:uid="{028DA095-1D03-4133-A276-5658E0DDB150}" name="二十碳四烯酸 mg" totalsRowFunction="average" dataDxfId="261" totalsRowDxfId="103"/>
    <tableColumn id="45" xr3:uid="{4D2D86B9-A80E-4B27-BD7A-BF6F6E0F51D6}" name="低聚半乳糖 g" totalsRowFunction="custom" dataDxfId="260" totalsRowDxfId="102">
      <totalsRowFormula>IFERROR(AVERAGEIF(表1[低聚半乳糖 g],"&gt;0"),0)</totalsRowFormula>
    </tableColumn>
    <tableColumn id="46" xr3:uid="{4E7BC711-2F78-4528-9202-BC98234178A4}" name="低聚果糖 g" totalsRowFunction="custom" totalsRowDxfId="101">
      <totalsRowFormula>IFERROR(AVERAGEIF(表1[低聚果糖 g],"&gt;0"),0)</totalsRowFormula>
    </tableColumn>
    <tableColumn id="47" xr3:uid="{C1629CAE-A6F7-49DE-AC53-C8A39C950E3B}" name="多聚果糖 g" totalsRowFunction="custom" totalsRowDxfId="100">
      <totalsRowFormula>IFERROR(AVERAGEIF(表1[多聚果糖 g],"&gt;0"),0)</totalsRowFormula>
    </tableColumn>
    <tableColumn id="48" xr3:uid="{41753DAF-D6B7-4B5E-B0E4-F3ADC2774917}" name="聚葡萄糖 g" totalsRowFunction="custom" totalsRowDxfId="99">
      <totalsRowFormula>IFERROR(AVERAGEIF(表1[聚葡萄糖 g],"&gt;0"),0)</totalsRowFormula>
    </tableColumn>
    <tableColumn id="49" xr3:uid="{5EB65EF4-D5AC-433D-927C-C44BB8B41356}" name="核苷酸 mg" totalsRowFunction="custom" dataDxfId="259" totalsRowDxfId="98">
      <totalsRowFormula>IFERROR(AVERAGEIF(表1[核苷酸 mg],"&gt;0"),0)</totalsRowFormula>
    </tableColumn>
    <tableColumn id="50" xr3:uid="{A5CD97F9-489F-49B8-91D4-94AA3FC4D215}" name="13二油酸 g" totalsRowFunction="custom" totalsRowDxfId="97">
      <totalsRowFormula>IFERROR(AVERAGEIF(表1[13二油酸 g],"&gt;0"),0)</totalsRowFormula>
    </tableColumn>
    <tableColumn id="51" xr3:uid="{63D16B27-05ED-4BF8-A612-5C2A3A77E9C7}" name="叶黄素 ug" totalsRowFunction="custom" totalsRowDxfId="96">
      <totalsRowFormula>IFERROR(AVERAGEIF(表1[叶黄素 ug],"&gt;0"),0)</totalsRowFormula>
    </tableColumn>
    <tableColumn id="52" xr3:uid="{0E0C08F7-4B93-4934-B3F5-A01158704FC0}" name="乳铁蛋白 mg" totalsRowFunction="custom" totalsRowDxfId="95">
      <totalsRowFormula>IFERROR(AVERAGEIF(表1[乳铁蛋白 mg],"&gt;0"),0)</totalsRowFormula>
    </tableColumn>
    <tableColumn id="53" xr3:uid="{3229D13C-1F44-44B1-B7C5-911AB9A3D1C4}" name="酪蛋白磷酸肽 mg" totalsRowFunction="custom" totalsRowDxfId="94">
      <totalsRowFormula>IFERROR(AVERAGEIF(表1[酪蛋白磷酸肽 mg],"&gt;0"),0)</totalsRowFormula>
    </tableColumn>
    <tableColumn id="54" xr3:uid="{5EFCC6B7-ADBE-4CC2-A833-012F098EEBD6}" name="b胡萝卜素 ug" totalsRowFunction="custom" totalsRowDxfId="93">
      <totalsRowFormula>IFERROR(AVERAGEIF(表1[b胡萝卜素 ug],"&gt;0"),0)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8F0C7A-37C4-424E-8D9C-A31AA31C8356}" name="品牌均值表" displayName="品牌均值表" ref="A1:AV12" totalsRowCount="1">
  <autoFilter ref="A1:AV11" xr:uid="{E88F0C7A-37C4-424E-8D9C-A31AA31C8356}"/>
  <tableColumns count="48">
    <tableColumn id="1" xr3:uid="{64D82327-D8BC-4B87-8F8D-68C468B1FD6A}" name="品牌"/>
    <tableColumn id="8" xr3:uid="{3D4ECF9A-6B40-4A5F-8A02-AD5184F1A1CD}" name="能量kj" totalsRowFunction="average"/>
    <tableColumn id="9" xr3:uid="{25F604E8-9F31-4080-97F2-48445487DC58}" name="蛋白质g" totalsRowFunction="average"/>
    <tableColumn id="10" xr3:uid="{57516862-12E7-44FD-983E-8929081605A5}" name="脂肪g" totalsRowFunction="average"/>
    <tableColumn id="11" xr3:uid="{8F50D0C0-1312-4099-9194-A548A1AFB221}" name="亚油酸g" totalsRowFunction="average"/>
    <tableColumn id="12" xr3:uid="{D15833A1-E730-4F42-A81A-9A57E3A0E675}" name="a-亚麻酸mg" totalsRowFunction="average"/>
    <tableColumn id="13" xr3:uid="{7F9609D5-97CB-4903-B3D8-9C3DEF8F876F}" name="碳水化合物g" totalsRowFunction="average"/>
    <tableColumn id="14" xr3:uid="{4C084975-D679-410F-9C42-110A8C2CAA4B}" name="维生素A（ug视黄醇）" totalsRowFunction="average"/>
    <tableColumn id="15" xr3:uid="{FA9D5E55-6541-41D2-BB0F-2C85889A655C}" name="维生素D ug" totalsRowFunction="average"/>
    <tableColumn id="16" xr3:uid="{1D608BB1-0861-444D-A71A-2D899354F8F1}" name="维生素E mg" totalsRowFunction="average"/>
    <tableColumn id="17" xr3:uid="{66E3BFF7-E617-4DFF-819F-2C96B8FB217F}" name="维生素K1 ug" totalsRowFunction="average"/>
    <tableColumn id="18" xr3:uid="{C826AAB2-18B2-4684-8ED5-391C7AE96CC7}" name="维生素B1 ug" totalsRowFunction="average"/>
    <tableColumn id="19" xr3:uid="{1673EA21-1DD6-418B-874B-10250DDA6112}" name="维生素B2 ug" totalsRowFunction="average"/>
    <tableColumn id="20" xr3:uid="{13C33C9B-755D-4690-A29D-7CCE8D4A8C13}" name="维生素B6 ug" totalsRowFunction="average"/>
    <tableColumn id="21" xr3:uid="{A37EC2EF-7881-4FEA-A559-DEAB29ABD342}" name="维生素B12 ug" totalsRowFunction="average"/>
    <tableColumn id="22" xr3:uid="{0F5A9581-740B-40BB-B7A3-552B15741CF1}" name="烟酸 ug" totalsRowFunction="average"/>
    <tableColumn id="23" xr3:uid="{5A410D3E-9EC8-45C1-B583-F0E90D1218A8}" name="叶酸 ug" totalsRowFunction="average"/>
    <tableColumn id="24" xr3:uid="{126C3FC9-C169-4C61-8F2A-08A6B20896B7}" name="泛酸 ug" totalsRowFunction="average"/>
    <tableColumn id="25" xr3:uid="{5B9D2EAD-B255-4F89-A60C-6984CDE9C2ED}" name="维生素C mg" totalsRowFunction="average"/>
    <tableColumn id="26" xr3:uid="{BB23B9AE-40EC-44ED-986C-2A904FCD8DA2}" name="生物素 ug" totalsRowFunction="average"/>
    <tableColumn id="27" xr3:uid="{0157FFA6-F68E-4255-85EF-CC868F45A2DE}" name="钠 mg" totalsRowFunction="average"/>
    <tableColumn id="28" xr3:uid="{B341564F-4475-495D-A100-CC258CEC54C0}" name="钾 mg" totalsRowFunction="average"/>
    <tableColumn id="29" xr3:uid="{92289C57-2F2E-42C1-B3C7-6E64F2E24241}" name="铜 ug" totalsRowFunction="average"/>
    <tableColumn id="30" xr3:uid="{CF3C02B2-4D06-41E2-9E39-D265F378D3F0}" name="镁 mg" totalsRowFunction="average"/>
    <tableColumn id="31" xr3:uid="{DA280B67-9CB6-41BD-840E-31819387E083}" name="铁 mg " totalsRowFunction="average"/>
    <tableColumn id="32" xr3:uid="{87BEAD70-7BE5-4DAB-B398-4018BF5879F5}" name="锌 mg" totalsRowFunction="average"/>
    <tableColumn id="33" xr3:uid="{0157CC12-A749-4CA8-8A27-04E87930B9EF}" name="锰 ug" totalsRowFunction="average"/>
    <tableColumn id="34" xr3:uid="{18265CA0-9B72-453D-898A-5607AEECA15D}" name="钙mg" totalsRowFunction="average"/>
    <tableColumn id="35" xr3:uid="{EE2911C9-AAE9-4725-A171-81DB08C7159E}" name="磷 mg" totalsRowFunction="average"/>
    <tableColumn id="36" xr3:uid="{0AFA9D50-7146-4A43-B713-158C32A54CC1}" name="碘 ug" totalsRowFunction="average"/>
    <tableColumn id="37" xr3:uid="{06AB157E-1061-4F2F-B0FB-E71863CCB35A}" name="氯 mg" totalsRowFunction="average"/>
    <tableColumn id="38" xr3:uid="{024692E0-6267-4D6A-A031-678D87CF3E6C}" name="硒 mg" totalsRowFunction="average"/>
    <tableColumn id="39" xr3:uid="{5131F732-3A66-4F91-8F68-04004B6D62AF}" name="胆碱 mg" totalsRowFunction="average"/>
    <tableColumn id="40" xr3:uid="{1EF3AFA3-B646-4828-BEF5-0429597744A3}" name="肌醇 mg" totalsRowFunction="average"/>
    <tableColumn id="41" xr3:uid="{A63E63A6-96A6-4EA2-A2DE-3A33DE927CBA}" name="牛磺酸 mg" totalsRowFunction="average"/>
    <tableColumn id="42" xr3:uid="{068E9F30-D1B0-408D-94F4-E2E4739585DC}" name="左旋肉碱 mg" totalsRowFunction="average"/>
    <tableColumn id="43" xr3:uid="{ABFEFD42-E3C4-4EE7-AA8D-DF0BD3DD2A6B}" name="二十二碳六烯酸 mg" totalsRowFunction="average"/>
    <tableColumn id="44" xr3:uid="{D55BF91F-F6DF-4259-AB7C-D4A3CE2E8CD9}" name="二十碳四烯酸 mg" totalsRowFunction="average"/>
    <tableColumn id="45" xr3:uid="{FC977ADD-6614-4D93-B1D7-24360131AB48}" name="低聚半乳糖 g" totalsRowFunction="average"/>
    <tableColumn id="46" xr3:uid="{2B0677BD-780D-433E-98E2-286E16774CF3}" name="低聚果糖 g" totalsRowFunction="custom">
      <totalsRowFormula>AVERAGEIF(品牌均值表[低聚果糖 g],"&gt;0")</totalsRowFormula>
    </tableColumn>
    <tableColumn id="47" xr3:uid="{AC0776F4-BB0E-4515-915D-49B6D3DAE7E3}" name="多聚果糖 g" totalsRowFunction="custom">
      <totalsRowFormula>AVERAGEIF(品牌均值表[多聚果糖 g],"&gt;0")</totalsRowFormula>
    </tableColumn>
    <tableColumn id="48" xr3:uid="{C876C221-4FEC-40D0-8516-A6CA43BD110C}" name="聚葡萄糖 g" totalsRowFunction="custom">
      <totalsRowFormula>AVERAGEIF(品牌均值表[聚葡萄糖 g],"&gt;0")</totalsRowFormula>
    </tableColumn>
    <tableColumn id="49" xr3:uid="{29C36D2A-2A9D-4127-8BE1-02BE909482EB}" name="核苷酸 mg" totalsRowFunction="custom">
      <totalsRowFormula>AVERAGEIF(品牌均值表[核苷酸 mg],"&gt;0")</totalsRowFormula>
    </tableColumn>
    <tableColumn id="50" xr3:uid="{9DE3993A-14C6-4B84-864E-E6835621899B}" name="13二油酸 g" totalsRowFunction="custom">
      <totalsRowFormula>AVERAGEIF(品牌均值表[13二油酸 g],"&gt;0")</totalsRowFormula>
    </tableColumn>
    <tableColumn id="51" xr3:uid="{6EEC6C02-67EF-4035-91D0-0FDBF8ED0EB5}" name="叶黄素 ug" totalsRowFunction="custom">
      <totalsRowFormula>AVERAGEIF(品牌均值表[叶黄素 ug],"&gt;0")</totalsRowFormula>
    </tableColumn>
    <tableColumn id="52" xr3:uid="{0E7391B3-C9FF-4504-8AB1-1AA47B766CC4}" name="乳铁蛋白 mg" totalsRowFunction="custom">
      <totalsRowFormula>AVERAGEIF(品牌均值表[乳铁蛋白 mg],"&gt;0")</totalsRowFormula>
    </tableColumn>
    <tableColumn id="53" xr3:uid="{24D5880F-AF56-4EC8-B8B1-41CFADE325BF}" name="酪蛋白磷酸肽 mg" totalsRowFunction="custom">
      <totalsRowFormula>AVERAGEIF(品牌均值表[酪蛋白磷酸肽 mg],"&gt;0")</totalsRowFormula>
    </tableColumn>
    <tableColumn id="54" xr3:uid="{F8622AD5-9B4E-4159-BE4B-B14510C45F37}" name="b胡萝卜素 ug" totalsRowFunction="custom">
      <totalsRowFormula>AVERAGEIF(品牌均值表[b胡萝卜素 ug],"&gt;0")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E56B71-99D9-40A5-B5D1-1A363097B95E}" name="表1_4" displayName="表1_4" ref="A1:BH32">
  <autoFilter ref="A1:BH32" xr:uid="{01E56B71-99D9-40A5-B5D1-1A363097B95E}"/>
  <sortState xmlns:xlrd2="http://schemas.microsoft.com/office/spreadsheetml/2017/richdata2" ref="A2:BH32">
    <sortCondition descending="1" ref="BG1:BG32"/>
  </sortState>
  <tableColumns count="60">
    <tableColumn id="1" xr3:uid="{F23C2BC7-860E-4858-B0B0-95CE7A84CC9D}" name="名称" totalsRowLabel="汇总" dataDxfId="258" totalsRowDxfId="257" dataCellStyle="Hyperlink"/>
    <tableColumn id="2" xr3:uid="{4B18DFCF-3882-4C09-9C48-B214C9AB60E7}" name="品牌" totalsRowLabel="0" dataDxfId="256" totalsRowDxfId="255"/>
    <tableColumn id="3" xr3:uid="{421DC364-C8F2-4440-AA6C-D527AE7B9E92}" name="克数" totalsRowLabel="0" dataDxfId="254" totalsRowDxfId="253"/>
    <tableColumn id="4" xr3:uid="{06F84620-1187-4881-862A-ECAD27ED6B16}" name="价格" totalsRowLabel="0" dataDxfId="252" totalsRowDxfId="251"/>
    <tableColumn id="5" xr3:uid="{AD00C7DD-9F4E-426C-9E1D-8AD61585B8CE}" name="百克重量" totalsRowLabel="0" dataDxfId="250" totalsRowDxfId="249"/>
    <tableColumn id="6" xr3:uid="{0BCD9288-E1E5-4F2D-A291-3537C73E7746}" name="卖点" totalsRowLabel="0" dataDxfId="248" totalsRowDxfId="247"/>
    <tableColumn id="7" xr3:uid="{7EE1C985-A835-4E1B-948A-63EC9CBB62AA}" name="选择" totalsRowLabel="0" dataDxfId="246" totalsRowDxfId="245"/>
    <tableColumn id="8" xr3:uid="{C20049CA-4053-4A66-B8AF-BA48EF665AE3}" name="能量kj" totalsRowFunction="average" dataDxfId="244" totalsRowDxfId="243">
      <calculatedColumnFormula>VLOOKUP($A2,表1[#All],MATCH(表1_4[[#Headers],[能量kj]],表1_4[#Headers],0),)/品牌均值表[[#Totals],[能量kj]]*100</calculatedColumnFormula>
    </tableColumn>
    <tableColumn id="9" xr3:uid="{7B972BF7-D345-480B-A157-8767B428B0BC}" name="蛋白质g" totalsRowFunction="average" dataDxfId="242" totalsRowDxfId="241">
      <calculatedColumnFormula>VLOOKUP($A2,表1[#All],MATCH(表1_4[[#Headers],[蛋白质g]],表1_4[#Headers],0),)/品牌均值表[[#Totals],[蛋白质g]]*100</calculatedColumnFormula>
    </tableColumn>
    <tableColumn id="10" xr3:uid="{49E28B8E-43CA-4661-A6B4-1CD21E61E2B3}" name="脂肪g" totalsRowFunction="average" dataDxfId="240" totalsRowDxfId="239">
      <calculatedColumnFormula>VLOOKUP($A2,表1[#All],MATCH(表1_4[[#Headers],[脂肪g]],表1_4[#Headers],0),)/品牌均值表[[#Totals],[脂肪g]]*100</calculatedColumnFormula>
    </tableColumn>
    <tableColumn id="11" xr3:uid="{D04FFB5D-FF5C-413D-9320-5257CF002A5F}" name="亚油酸g" totalsRowFunction="average" dataDxfId="238" totalsRowDxfId="237">
      <calculatedColumnFormula>VLOOKUP($A2,表1[#All],MATCH(表1_4[[#Headers],[亚油酸g]],表1_4[#Headers],0),)/品牌均值表[[#Totals],[亚油酸g]]*100</calculatedColumnFormula>
    </tableColumn>
    <tableColumn id="12" xr3:uid="{F24FD50F-A53F-44FA-8CBC-9A171405D650}" name="a-亚麻酸mg" totalsRowFunction="average" dataDxfId="236" totalsRowDxfId="235">
      <calculatedColumnFormula>VLOOKUP($A2,表1[#All],MATCH(表1_4[[#Headers],[a-亚麻酸mg]],表1_4[#Headers],0),)/品牌均值表[[#Totals],[a-亚麻酸mg]]*100</calculatedColumnFormula>
    </tableColumn>
    <tableColumn id="13" xr3:uid="{289B92DC-4495-4514-B58F-3D69F7E65942}" name="碳水化合物g" totalsRowFunction="average" dataDxfId="234" totalsRowDxfId="233">
      <calculatedColumnFormula>VLOOKUP($A2,表1[#All],MATCH(表1_4[[#Headers],[碳水化合物g]],表1_4[#Headers],0),)/品牌均值表[[#Totals],[碳水化合物g]]*100</calculatedColumnFormula>
    </tableColumn>
    <tableColumn id="14" xr3:uid="{1C39B0B6-9588-4F17-AAE4-2A4797E1DB59}" name="维生素A（ug视黄醇）" totalsRowFunction="average" dataDxfId="232" totalsRowDxfId="231">
      <calculatedColumnFormula>VLOOKUP($A2,表1[#All],MATCH(表1_4[[#Headers],[维生素A（ug视黄醇）]],表1_4[#Headers],0),)/品牌均值表[[#Totals],[维生素A（ug视黄醇）]]*100</calculatedColumnFormula>
    </tableColumn>
    <tableColumn id="15" xr3:uid="{399FE65B-2D55-4267-8263-A5F0FAD8B710}" name="维生素D ug" totalsRowFunction="average" dataDxfId="230" totalsRowDxfId="229">
      <calculatedColumnFormula>VLOOKUP($A2,表1[#All],MATCH(表1_4[[#Headers],[维生素D ug]],表1_4[#Headers],0),)/品牌均值表[[#Totals],[维生素D ug]]*100</calculatedColumnFormula>
    </tableColumn>
    <tableColumn id="16" xr3:uid="{DCE7A7C3-D4A8-4A6B-AB92-E335C093808D}" name="维生素E mg" totalsRowFunction="average" dataDxfId="228" totalsRowDxfId="227">
      <calculatedColumnFormula>VLOOKUP($A2,表1[#All],MATCH(表1_4[[#Headers],[维生素E mg]],表1_4[#Headers],0),)/品牌均值表[[#Totals],[维生素E mg]]*100</calculatedColumnFormula>
    </tableColumn>
    <tableColumn id="17" xr3:uid="{8599FE80-7DC1-426D-B1C6-8AB05AB7D22E}" name="维生素K1 ug" totalsRowFunction="average" dataDxfId="226" totalsRowDxfId="225">
      <calculatedColumnFormula>VLOOKUP($A2,表1[#All],MATCH(表1_4[[#Headers],[维生素K1 ug]],表1_4[#Headers],0),)/品牌均值表[[#Totals],[维生素K1 ug]]*100</calculatedColumnFormula>
    </tableColumn>
    <tableColumn id="18" xr3:uid="{73EA28A9-D408-459D-9336-D9743689591B}" name="维生素B1 ug" totalsRowFunction="average" dataDxfId="224" totalsRowDxfId="223">
      <calculatedColumnFormula>VLOOKUP($A2,表1[#All],MATCH(表1_4[[#Headers],[维生素B1 ug]],表1_4[#Headers],0),)/品牌均值表[[#Totals],[维生素B1 ug]]*100</calculatedColumnFormula>
    </tableColumn>
    <tableColumn id="19" xr3:uid="{29843F44-34C7-4D9F-97EF-2889B65F6578}" name="维生素B2 ug" totalsRowFunction="average" dataDxfId="222" totalsRowDxfId="221">
      <calculatedColumnFormula>VLOOKUP($A2,表1[#All],MATCH(表1_4[[#Headers],[维生素B2 ug]],表1_4[#Headers],0),)/品牌均值表[[#Totals],[维生素B2 ug]]*100</calculatedColumnFormula>
    </tableColumn>
    <tableColumn id="20" xr3:uid="{BDB79F7C-E693-4EED-BD48-210334798933}" name="维生素B6 ug" totalsRowFunction="average" dataDxfId="220" totalsRowDxfId="219">
      <calculatedColumnFormula>VLOOKUP($A2,表1[#All],MATCH(表1_4[[#Headers],[维生素B6 ug]],表1_4[#Headers],0),)/品牌均值表[[#Totals],[维生素B6 ug]]*100</calculatedColumnFormula>
    </tableColumn>
    <tableColumn id="21" xr3:uid="{8F784B17-7EBF-4D6F-A055-48AA93DF97ED}" name="维生素B12 ug" totalsRowFunction="average" dataDxfId="218" totalsRowDxfId="217">
      <calculatedColumnFormula>VLOOKUP($A2,表1[#All],MATCH(表1_4[[#Headers],[维生素B12 ug]],表1_4[#Headers],0),)/品牌均值表[[#Totals],[维生素B12 ug]]*100</calculatedColumnFormula>
    </tableColumn>
    <tableColumn id="22" xr3:uid="{1019F355-C6D3-440B-A82D-103571AB32E6}" name="烟酸 ug" totalsRowFunction="average" dataDxfId="216" totalsRowDxfId="215">
      <calculatedColumnFormula>VLOOKUP($A2,表1[#All],MATCH(表1_4[[#Headers],[烟酸 ug]],表1_4[#Headers],0),)/品牌均值表[[#Totals],[烟酸 ug]]*100</calculatedColumnFormula>
    </tableColumn>
    <tableColumn id="23" xr3:uid="{4C2698AB-4C71-42CD-979E-C38CDE07D813}" name="叶酸 ug" totalsRowFunction="average" dataDxfId="214" totalsRowDxfId="213">
      <calculatedColumnFormula>VLOOKUP($A2,表1[#All],MATCH(表1_4[[#Headers],[叶酸 ug]],表1_4[#Headers],0),)/品牌均值表[[#Totals],[叶酸 ug]]*100</calculatedColumnFormula>
    </tableColumn>
    <tableColumn id="24" xr3:uid="{0C1E90EA-02B0-48B7-A6C2-C11CBFCB6AC4}" name="泛酸 ug" totalsRowFunction="average" dataDxfId="212" totalsRowDxfId="211">
      <calculatedColumnFormula>VLOOKUP($A2,表1[#All],MATCH(表1_4[[#Headers],[泛酸 ug]],表1_4[#Headers],0),)/品牌均值表[[#Totals],[泛酸 ug]]*100</calculatedColumnFormula>
    </tableColumn>
    <tableColumn id="25" xr3:uid="{EA1AECAF-D2E4-4963-BACF-279B53B7BA9C}" name="维生素C mg" totalsRowFunction="average" dataDxfId="210" totalsRowDxfId="209">
      <calculatedColumnFormula>VLOOKUP($A2,表1[#All],MATCH(表1_4[[#Headers],[维生素C mg]],表1_4[#Headers],0),)/品牌均值表[[#Totals],[维生素C mg]]*100</calculatedColumnFormula>
    </tableColumn>
    <tableColumn id="26" xr3:uid="{25B54E37-519E-48FA-AC3F-772B1599D3E4}" name="生物素 ug" totalsRowFunction="average" dataDxfId="208" totalsRowDxfId="207">
      <calculatedColumnFormula>VLOOKUP($A2,表1[#All],MATCH(表1_4[[#Headers],[生物素 ug]],表1_4[#Headers],0),)/品牌均值表[[#Totals],[生物素 ug]]*100</calculatedColumnFormula>
    </tableColumn>
    <tableColumn id="27" xr3:uid="{3830BF59-B068-47A8-AC80-AABA9D104310}" name="钠 mg" totalsRowFunction="average" dataDxfId="206" totalsRowDxfId="205">
      <calculatedColumnFormula>VLOOKUP($A2,表1[#All],MATCH(表1_4[[#Headers],[钠 mg]],表1_4[#Headers],0),)/品牌均值表[[#Totals],[钠 mg]]*100</calculatedColumnFormula>
    </tableColumn>
    <tableColumn id="28" xr3:uid="{3FCE3A5D-3206-4712-B221-24EAFF09B6BD}" name="钾 mg" totalsRowFunction="average" dataDxfId="204" totalsRowDxfId="203">
      <calculatedColumnFormula>VLOOKUP($A2,表1[#All],MATCH(表1_4[[#Headers],[钾 mg]],表1_4[#Headers],0),)/品牌均值表[[#Totals],[钾 mg]]*100</calculatedColumnFormula>
    </tableColumn>
    <tableColumn id="29" xr3:uid="{00C38325-90E6-4733-AC96-F9B5FB71697F}" name="铜 ug" totalsRowFunction="average" dataDxfId="202" totalsRowDxfId="201">
      <calculatedColumnFormula>VLOOKUP($A2,表1[#All],MATCH(表1_4[[#Headers],[铜 ug]],表1_4[#Headers],0),)/品牌均值表[[#Totals],[铜 ug]]*100</calculatedColumnFormula>
    </tableColumn>
    <tableColumn id="30" xr3:uid="{0BBC8A0D-94A5-4152-98DA-EA98F59DF01B}" name="镁 mg" totalsRowFunction="average" dataDxfId="200" totalsRowDxfId="199">
      <calculatedColumnFormula>VLOOKUP($A2,表1[#All],MATCH(表1_4[[#Headers],[镁 mg]],表1_4[#Headers],0),)/品牌均值表[[#Totals],[镁 mg]]*100</calculatedColumnFormula>
    </tableColumn>
    <tableColumn id="31" xr3:uid="{E707D0B8-92A2-46EA-899E-84A1CDC54B43}" name="铁 mg " totalsRowFunction="average" dataDxfId="198" totalsRowDxfId="197">
      <calculatedColumnFormula>VLOOKUP($A2,表1[#All],MATCH(表1_4[[#Headers],[铁 mg ]],表1_4[#Headers],0),)/品牌均值表[[#Totals],[铁 mg ]]*100</calculatedColumnFormula>
    </tableColumn>
    <tableColumn id="32" xr3:uid="{41D6EEC8-ED1E-4754-B59E-930A7E56A2C1}" name="锌 mg" totalsRowFunction="average" dataDxfId="196" totalsRowDxfId="195">
      <calculatedColumnFormula>VLOOKUP($A2,表1[#All],MATCH(表1_4[[#Headers],[锌 mg]],表1_4[#Headers],0),)/品牌均值表[[#Totals],[锌 mg]]*100</calculatedColumnFormula>
    </tableColumn>
    <tableColumn id="33" xr3:uid="{EBB20213-8A41-48A8-995B-BE6865150019}" name="锰 ug" totalsRowFunction="average" dataDxfId="194" totalsRowDxfId="193">
      <calculatedColumnFormula>VLOOKUP($A2,表1[#All],MATCH(表1_4[[#Headers],[锰 ug]],表1_4[#Headers],0),)/品牌均值表[[#Totals],[锰 ug]]*100</calculatedColumnFormula>
    </tableColumn>
    <tableColumn id="34" xr3:uid="{FC2C4679-4A79-431A-B00D-86DF26DB7246}" name="钙mg" totalsRowFunction="average" dataDxfId="192" totalsRowDxfId="191">
      <calculatedColumnFormula>VLOOKUP($A2,表1[#All],MATCH(表1_4[[#Headers],[钙mg]],表1_4[#Headers],0),)/品牌均值表[[#Totals],[钙mg]]*100</calculatedColumnFormula>
    </tableColumn>
    <tableColumn id="35" xr3:uid="{5142695E-04F8-4763-AA0A-72FF4F78C2B2}" name="磷 mg" totalsRowFunction="average" dataDxfId="190" totalsRowDxfId="189">
      <calculatedColumnFormula>VLOOKUP($A2,表1[#All],MATCH(表1_4[[#Headers],[磷 mg]],表1_4[#Headers],0),)/品牌均值表[[#Totals],[磷 mg]]*100</calculatedColumnFormula>
    </tableColumn>
    <tableColumn id="36" xr3:uid="{E2DF7A6B-96C4-4510-97A3-6ED2F8DB4209}" name="碘 ug" totalsRowFunction="average" dataDxfId="188" totalsRowDxfId="187">
      <calculatedColumnFormula>VLOOKUP($A2,表1[#All],MATCH(表1_4[[#Headers],[碘 ug]],表1_4[#Headers],0),)/品牌均值表[[#Totals],[碘 ug]]*100</calculatedColumnFormula>
    </tableColumn>
    <tableColumn id="37" xr3:uid="{23B3CEB5-217A-4B71-92FB-90DF501EBB06}" name="氯 mg" totalsRowFunction="average" dataDxfId="186" totalsRowDxfId="185">
      <calculatedColumnFormula>VLOOKUP($A2,表1[#All],MATCH(表1_4[[#Headers],[氯 mg]],表1_4[#Headers],0),)/品牌均值表[[#Totals],[氯 mg]]*100</calculatedColumnFormula>
    </tableColumn>
    <tableColumn id="38" xr3:uid="{DC188BD3-75F6-478B-9704-1597FC39C6BE}" name="硒 mg" totalsRowFunction="average" dataDxfId="184" totalsRowDxfId="183">
      <calculatedColumnFormula>VLOOKUP($A2,表1[#All],MATCH(表1_4[[#Headers],[硒 mg]],表1_4[#Headers],0),)/品牌均值表[[#Totals],[硒 mg]]*100</calculatedColumnFormula>
    </tableColumn>
    <tableColumn id="39" xr3:uid="{B112CD00-68D6-45E4-AD0D-4B4AB16D13A8}" name="胆碱 mg" totalsRowFunction="average" dataDxfId="182" totalsRowDxfId="181">
      <calculatedColumnFormula>VLOOKUP($A2,表1[#All],MATCH(表1_4[[#Headers],[胆碱 mg]],表1_4[#Headers],0),)/品牌均值表[[#Totals],[胆碱 mg]]*100</calculatedColumnFormula>
    </tableColumn>
    <tableColumn id="40" xr3:uid="{967CBEE4-916B-426E-AC80-EE27F97B6158}" name="肌醇 mg" totalsRowFunction="average" dataDxfId="180" totalsRowDxfId="179">
      <calculatedColumnFormula>VLOOKUP($A2,表1[#All],MATCH(表1_4[[#Headers],[肌醇 mg]],表1_4[#Headers],0),)/品牌均值表[[#Totals],[肌醇 mg]]*100</calculatedColumnFormula>
    </tableColumn>
    <tableColumn id="41" xr3:uid="{8C107567-AED8-4D59-A965-E12D2C5E9E19}" name="牛磺酸 mg" totalsRowFunction="average" dataDxfId="178" totalsRowDxfId="177">
      <calculatedColumnFormula>VLOOKUP($A2,表1[#All],MATCH(表1_4[[#Headers],[牛磺酸 mg]],表1_4[#Headers],0),)/品牌均值表[[#Totals],[牛磺酸 mg]]*100</calculatedColumnFormula>
    </tableColumn>
    <tableColumn id="42" xr3:uid="{0D4DC66F-431C-4BAF-937D-001D956896B2}" name="左旋肉碱 mg" totalsRowFunction="average" dataDxfId="176" totalsRowDxfId="175">
      <calculatedColumnFormula>VLOOKUP($A2,表1[#All],MATCH(表1_4[[#Headers],[左旋肉碱 mg]],表1_4[#Headers],0),)/品牌均值表[[#Totals],[左旋肉碱 mg]]*100</calculatedColumnFormula>
    </tableColumn>
    <tableColumn id="43" xr3:uid="{9CFBBC11-A1E8-4E6E-BAF2-DEE38C221222}" name="二十二碳六烯酸 mg" totalsRowFunction="average" dataDxfId="174" totalsRowDxfId="173">
      <calculatedColumnFormula>VLOOKUP($A2,表1[#All],MATCH(表1_4[[#Headers],[二十二碳六烯酸 mg]],表1_4[#Headers],0),)/品牌均值表[[#Totals],[二十二碳六烯酸 mg]]*100</calculatedColumnFormula>
    </tableColumn>
    <tableColumn id="44" xr3:uid="{EF9F88F1-8AF7-4F65-B88B-D15F224FC433}" name="二十碳四烯酸 mg" totalsRowFunction="average" dataDxfId="172" totalsRowDxfId="171">
      <calculatedColumnFormula>VLOOKUP($A2,表1[#All],MATCH(表1_4[[#Headers],[二十碳四烯酸 mg]],表1_4[#Headers],0),)/品牌均值表[[#Totals],[二十碳四烯酸 mg]]*100</calculatedColumnFormula>
    </tableColumn>
    <tableColumn id="45" xr3:uid="{524C4AAA-A5A2-461D-B5ED-CAADD118CD81}" name="低聚半乳糖 g" totalsRowFunction="average" dataDxfId="148" totalsRowDxfId="170">
      <calculatedColumnFormula>VLOOKUP($A2,表1[#All],MATCH(表1_4[[#Headers],[低聚半乳糖 g]],表1_4[#Headers],0),)/表1[[#Totals],[低聚半乳糖 g]]*100</calculatedColumnFormula>
    </tableColumn>
    <tableColumn id="46" xr3:uid="{CA3D29A5-7D1E-476B-A004-017F4949C9CB}" name="低聚果糖 g" totalsRowFunction="average" dataDxfId="147" totalsRowDxfId="169">
      <calculatedColumnFormula>VLOOKUP($A2,表1[#All],MATCH(表1_4[[#Headers],[低聚果糖 g]],表1_4[#Headers],0),)/表1[[#Totals],[低聚果糖 g]]*50</calculatedColumnFormula>
    </tableColumn>
    <tableColumn id="47" xr3:uid="{B04D8073-798D-4608-880A-E8BF0968B399}" name="多聚果糖 g" totalsRowFunction="average" totalsRowDxfId="168">
      <calculatedColumnFormula>VLOOKUP($A2,表1[#All],MATCH(表1_4[[#Headers],[多聚果糖 g]],表1_4[#Headers],0),)/表1[[#Totals],[多聚果糖 g]]*100</calculatedColumnFormula>
    </tableColumn>
    <tableColumn id="48" xr3:uid="{7C2D74EF-4816-4D40-B819-C5874F67FB62}" name="聚葡萄糖 g" totalsRowFunction="average" totalsRowDxfId="167">
      <calculatedColumnFormula>VLOOKUP($A2,表1[#All],MATCH(表1_4[[#Headers],[聚葡萄糖 g]],表1_4[#Headers],0),)/表1[[#Totals],[聚葡萄糖 g]]*100</calculatedColumnFormula>
    </tableColumn>
    <tableColumn id="49" xr3:uid="{D036E27B-DA6B-4E00-9391-33DBFCBEBE94}" name="核苷酸 mg" totalsRowFunction="average" dataDxfId="166" totalsRowDxfId="165">
      <calculatedColumnFormula>VLOOKUP($A2,表1[#All],MATCH(表1_4[[#Headers],[核苷酸 mg]],表1_4[#Headers],0),)/表1[[#Totals],[核苷酸 mg]]*100</calculatedColumnFormula>
    </tableColumn>
    <tableColumn id="50" xr3:uid="{387E6FB4-0545-4101-A568-771BF21BB980}" name="13二油酸 g" totalsRowFunction="average" totalsRowDxfId="164">
      <calculatedColumnFormula>VLOOKUP($A2,表1[#All],MATCH(表1_4[[#Headers],[13二油酸 g]],表1_4[#Headers],0),)/表1[[#Totals],[13二油酸 g]]*100</calculatedColumnFormula>
    </tableColumn>
    <tableColumn id="51" xr3:uid="{837E079D-3FEC-403D-A76B-9A81990EF133}" name="叶黄素 ug" totalsRowFunction="average" totalsRowDxfId="163">
      <calculatedColumnFormula>VLOOKUP($A2,表1[#All],MATCH(表1_4[[#Headers],[叶黄素 ug]],表1_4[#Headers],0),)/表1[[#Totals],[叶黄素 ug]]*100</calculatedColumnFormula>
    </tableColumn>
    <tableColumn id="52" xr3:uid="{EA2D4CAE-E167-4C7E-8265-683B91CC9805}" name="乳铁蛋白 mg" totalsRowFunction="average" totalsRowDxfId="162">
      <calculatedColumnFormula>VLOOKUP($A2,表1[#All],MATCH(表1_4[[#Headers],[乳铁蛋白 mg]],表1_4[#Headers],0),)/表1[[#Totals],[乳铁蛋白 mg]]*100</calculatedColumnFormula>
    </tableColumn>
    <tableColumn id="53" xr3:uid="{A4712B35-08E5-4E04-BACD-4D3387BC6942}" name="酪蛋白磷酸肽 mg" totalsRowFunction="average" totalsRowDxfId="161">
      <calculatedColumnFormula>VLOOKUP($A2,表1[#All],MATCH(表1_4[[#Headers],[酪蛋白磷酸肽 mg]],表1_4[#Headers],0),)/表1[[#Totals],[酪蛋白磷酸肽 mg]]*100</calculatedColumnFormula>
    </tableColumn>
    <tableColumn id="54" xr3:uid="{CF7F4C15-1E31-445E-989C-DE8A8ECFC8D1}" name="b胡萝卜素 ug" totalsRowFunction="average" totalsRowDxfId="160">
      <calculatedColumnFormula>VLOOKUP($A2,表1[#All],MATCH(表1_4[[#Headers],[b胡萝卜素 ug]],表1_4[#Headers],0),)/表1[[#Totals],[b胡萝卜素 ug]]*100</calculatedColumnFormula>
    </tableColumn>
    <tableColumn id="55" xr3:uid="{FF0C5CB4-2912-A245-8BBE-BD92162D0C60}" name="基础能量" dataDxfId="156" totalsRowDxfId="159">
      <calculatedColumnFormula>AVERAGE(表1_4[[#This Row],[能量kj]:[碳水化合物g]])</calculatedColumnFormula>
    </tableColumn>
    <tableColumn id="56" xr3:uid="{2ECBDB01-0481-5E45-A5D4-976E4A86D499}" name="维生素" dataDxfId="155" totalsRowDxfId="158">
      <calculatedColumnFormula>AVERAGE(N2:Z2,AM2)</calculatedColumnFormula>
    </tableColumn>
    <tableColumn id="57" xr3:uid="{F30D58B0-4120-144C-AEFF-B91E3340E18C}" name="微量元素" dataDxfId="154" totalsRowDxfId="157">
      <calculatedColumnFormula>AVERAGE(表1_4[[#This Row],[钠 mg]:[硒 mg]])</calculatedColumnFormula>
    </tableColumn>
    <tableColumn id="58" xr3:uid="{D0ED5064-C09A-BA47-A5AC-CB51EE8416A5}" name="加分项" dataDxfId="152" totalsRowDxfId="153">
      <calculatedColumnFormula>SUM(表1_4[[#This Row],[肌醇 mg]:[b胡萝卜素 ug]])/SUM(表1_4[[肌醇 mg]:[b胡萝卜素 ug]])*3400</calculatedColumnFormula>
    </tableColumn>
    <tableColumn id="59" xr3:uid="{F990BCA8-7A79-E547-A2B0-1A235F92B5B4}" name="总分" dataDxfId="92" totalsRowDxfId="151">
      <calculatedColumnFormula>0.5*表1_4[[#This Row],[基础能量]]+表1_4[[#This Row],[维生素]]+表1_4[[#This Row],[微量元素]]+表1_4[[#This Row],[加分项]]+IF(COUNTIF(F2,"*A2*"),0.6,0)*表1_4[[#This Row],[基础能量]]</calculatedColumnFormula>
    </tableColumn>
    <tableColumn id="60" xr3:uid="{A3489085-DC89-2D45-9A22-A0C1B8A1340C}" name="分/元/百克" dataDxfId="149" totalsRowDxfId="150">
      <calculatedColumnFormula>表1_4[[#This Row],[总分]]/表1_4[[#This Row],[百克重量]]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AF5BA7-65C7-6B4E-8FBA-2D47BC6F3F40}" name="表4" displayName="表4" ref="A1:M32" totalsRowShown="0" headerRowDxfId="74" dataDxfId="75" headerRowBorderDxfId="90" tableBorderDxfId="91" totalsRowBorderDxfId="89">
  <autoFilter ref="A1:M32" xr:uid="{10AF5BA7-65C7-6B4E-8FBA-2D47BC6F3F40}"/>
  <tableColumns count="13">
    <tableColumn id="1" xr3:uid="{60265811-F13A-0545-AF7E-DE02019F4978}" name="名称" dataDxfId="88" dataCellStyle="Hyperlink"/>
    <tableColumn id="2" xr3:uid="{F2F0C81E-0AF9-DB4A-A6A4-012F44C98087}" name="品牌" dataDxfId="87"/>
    <tableColumn id="3" xr3:uid="{7125A88A-72C1-5843-904D-3E03D7114B79}" name="克数" dataDxfId="86"/>
    <tableColumn id="4" xr3:uid="{7F5614CA-B86A-954F-A974-06AF7EBA623A}" name="价格" dataDxfId="85"/>
    <tableColumn id="5" xr3:uid="{2CE60FB1-1EC9-124B-803D-AD033BD6EC2D}" name="百克重量" dataDxfId="84"/>
    <tableColumn id="6" xr3:uid="{8ADF0F6D-4889-CA44-9505-A4F593363EB1}" name="卖点" dataDxfId="83"/>
    <tableColumn id="7" xr3:uid="{2A8CC1D0-75EA-7040-BDCD-33699E5B14F0}" name="选择" dataDxfId="82"/>
    <tableColumn id="8" xr3:uid="{B40B9169-28B0-044C-AF9A-B6FF74FEAA9F}" name="基础能量" dataDxfId="81"/>
    <tableColumn id="9" xr3:uid="{A325DB10-F41F-7248-A7B0-D40D5008FCD7}" name="维生素" dataDxfId="80"/>
    <tableColumn id="10" xr3:uid="{9AFC11CB-280F-274C-9956-D9D69D32EC3E}" name="微量元素" dataDxfId="79"/>
    <tableColumn id="11" xr3:uid="{DD1764B3-9459-D241-93AB-7DD17B52FBE1}" name="加分项" dataDxfId="78"/>
    <tableColumn id="12" xr3:uid="{1BD99427-BD29-0C44-B7DA-C1865F1EA6AD}" name="总分" dataDxfId="77"/>
    <tableColumn id="13" xr3:uid="{B5B73E09-F7E3-6D46-AC59-EE61551EF5C2}" name="分/元/百克" dataDxfId="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5837095.html" TargetMode="External"/><Relationship Id="rId13" Type="http://schemas.openxmlformats.org/officeDocument/2006/relationships/hyperlink" Target="https://item.jd.com/100052238103.html" TargetMode="External"/><Relationship Id="rId18" Type="http://schemas.openxmlformats.org/officeDocument/2006/relationships/hyperlink" Target="https://item.jd.com/100002715947.html" TargetMode="External"/><Relationship Id="rId26" Type="http://schemas.openxmlformats.org/officeDocument/2006/relationships/hyperlink" Target="https://item.jd.com/100014814568.html" TargetMode="External"/><Relationship Id="rId3" Type="http://schemas.openxmlformats.org/officeDocument/2006/relationships/hyperlink" Target="https://item.jd.com/100054585561.html" TargetMode="External"/><Relationship Id="rId21" Type="http://schemas.openxmlformats.org/officeDocument/2006/relationships/hyperlink" Target="https://item.jd.com/100024247682.html" TargetMode="External"/><Relationship Id="rId7" Type="http://schemas.openxmlformats.org/officeDocument/2006/relationships/hyperlink" Target="https://item.jd.com/1126199.html" TargetMode="External"/><Relationship Id="rId12" Type="http://schemas.openxmlformats.org/officeDocument/2006/relationships/hyperlink" Target="https://item.jd.com/4396232.html" TargetMode="External"/><Relationship Id="rId17" Type="http://schemas.openxmlformats.org/officeDocument/2006/relationships/hyperlink" Target="https://item.jd.com/100009148198.html" TargetMode="External"/><Relationship Id="rId25" Type="http://schemas.openxmlformats.org/officeDocument/2006/relationships/hyperlink" Target="https://item.jd.com/100063835023.html" TargetMode="External"/><Relationship Id="rId2" Type="http://schemas.openxmlformats.org/officeDocument/2006/relationships/hyperlink" Target="https://item.jd.com/100061382731.html" TargetMode="External"/><Relationship Id="rId16" Type="http://schemas.openxmlformats.org/officeDocument/2006/relationships/hyperlink" Target="https://item.jd.com/3708299.html" TargetMode="External"/><Relationship Id="rId20" Type="http://schemas.openxmlformats.org/officeDocument/2006/relationships/hyperlink" Target="https://item.jd.com/100042248012.html" TargetMode="External"/><Relationship Id="rId29" Type="http://schemas.openxmlformats.org/officeDocument/2006/relationships/hyperlink" Target="https://item.jd.com/1165156.html" TargetMode="External"/><Relationship Id="rId1" Type="http://schemas.openxmlformats.org/officeDocument/2006/relationships/hyperlink" Target="https://item.jd.com/4264346.html" TargetMode="External"/><Relationship Id="rId6" Type="http://schemas.openxmlformats.org/officeDocument/2006/relationships/hyperlink" Target="https://item.jd.com/100020400292.html" TargetMode="External"/><Relationship Id="rId11" Type="http://schemas.openxmlformats.org/officeDocument/2006/relationships/hyperlink" Target="https://item.jd.com/8232358.html" TargetMode="External"/><Relationship Id="rId24" Type="http://schemas.openxmlformats.org/officeDocument/2006/relationships/hyperlink" Target="https://item.jd.com/1714157.html" TargetMode="External"/><Relationship Id="rId5" Type="http://schemas.openxmlformats.org/officeDocument/2006/relationships/hyperlink" Target="https://item.jd.com/100043100435.html" TargetMode="External"/><Relationship Id="rId15" Type="http://schemas.openxmlformats.org/officeDocument/2006/relationships/hyperlink" Target="https://item.jd.com/100022835405.html" TargetMode="External"/><Relationship Id="rId23" Type="http://schemas.openxmlformats.org/officeDocument/2006/relationships/hyperlink" Target="https://item.jd.com/100054910089.html" TargetMode="External"/><Relationship Id="rId28" Type="http://schemas.openxmlformats.org/officeDocument/2006/relationships/hyperlink" Target="https://item.jd.com/28285514126.html" TargetMode="External"/><Relationship Id="rId10" Type="http://schemas.openxmlformats.org/officeDocument/2006/relationships/hyperlink" Target="https://item.jd.com/100029628687.html" TargetMode="External"/><Relationship Id="rId19" Type="http://schemas.openxmlformats.org/officeDocument/2006/relationships/hyperlink" Target="https://item.jd.com/100024855542.html" TargetMode="External"/><Relationship Id="rId31" Type="http://schemas.openxmlformats.org/officeDocument/2006/relationships/hyperlink" Target="https://item.jd.com/497495.html" TargetMode="External"/><Relationship Id="rId4" Type="http://schemas.openxmlformats.org/officeDocument/2006/relationships/hyperlink" Target="https://item.jd.com/100017319885.html" TargetMode="External"/><Relationship Id="rId9" Type="http://schemas.openxmlformats.org/officeDocument/2006/relationships/hyperlink" Target="https://item.jd.com/100029628737.html" TargetMode="External"/><Relationship Id="rId14" Type="http://schemas.openxmlformats.org/officeDocument/2006/relationships/hyperlink" Target="https://item.jd.com/100050210466.html" TargetMode="External"/><Relationship Id="rId22" Type="http://schemas.openxmlformats.org/officeDocument/2006/relationships/hyperlink" Target="https://item.jd.com/100009671891.html" TargetMode="External"/><Relationship Id="rId27" Type="http://schemas.openxmlformats.org/officeDocument/2006/relationships/hyperlink" Target="https://item.jd.com/28285511080.html" TargetMode="External"/><Relationship Id="rId30" Type="http://schemas.openxmlformats.org/officeDocument/2006/relationships/hyperlink" Target="https://item.jd.com/1071506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5837095.html" TargetMode="External"/><Relationship Id="rId13" Type="http://schemas.openxmlformats.org/officeDocument/2006/relationships/hyperlink" Target="https://item.jd.com/100052238103.html" TargetMode="External"/><Relationship Id="rId18" Type="http://schemas.openxmlformats.org/officeDocument/2006/relationships/hyperlink" Target="https://item.jd.com/100002715947.html" TargetMode="External"/><Relationship Id="rId26" Type="http://schemas.openxmlformats.org/officeDocument/2006/relationships/hyperlink" Target="https://item.jd.com/28285511080.html" TargetMode="External"/><Relationship Id="rId3" Type="http://schemas.openxmlformats.org/officeDocument/2006/relationships/hyperlink" Target="https://item.jd.com/100054585561.html" TargetMode="External"/><Relationship Id="rId21" Type="http://schemas.openxmlformats.org/officeDocument/2006/relationships/hyperlink" Target="https://item.jd.com/100024247682.html" TargetMode="External"/><Relationship Id="rId7" Type="http://schemas.openxmlformats.org/officeDocument/2006/relationships/hyperlink" Target="https://item.jd.com/1126199.html" TargetMode="External"/><Relationship Id="rId12" Type="http://schemas.openxmlformats.org/officeDocument/2006/relationships/hyperlink" Target="https://item.jd.com/4396232.html" TargetMode="External"/><Relationship Id="rId17" Type="http://schemas.openxmlformats.org/officeDocument/2006/relationships/hyperlink" Target="https://item.jd.com/100009148198.html" TargetMode="External"/><Relationship Id="rId25" Type="http://schemas.openxmlformats.org/officeDocument/2006/relationships/hyperlink" Target="https://item.jd.com/100014814568.html" TargetMode="External"/><Relationship Id="rId2" Type="http://schemas.openxmlformats.org/officeDocument/2006/relationships/hyperlink" Target="https://item.jd.com/100061382731.html" TargetMode="External"/><Relationship Id="rId16" Type="http://schemas.openxmlformats.org/officeDocument/2006/relationships/hyperlink" Target="https://item.jd.com/3708299.html" TargetMode="External"/><Relationship Id="rId20" Type="http://schemas.openxmlformats.org/officeDocument/2006/relationships/hyperlink" Target="https://item.jd.com/100042248012.html" TargetMode="External"/><Relationship Id="rId29" Type="http://schemas.openxmlformats.org/officeDocument/2006/relationships/hyperlink" Target="https://item.jd.com/1071506.html" TargetMode="External"/><Relationship Id="rId1" Type="http://schemas.openxmlformats.org/officeDocument/2006/relationships/hyperlink" Target="https://item.jd.com/4264346.html" TargetMode="External"/><Relationship Id="rId6" Type="http://schemas.openxmlformats.org/officeDocument/2006/relationships/hyperlink" Target="https://item.jd.com/100020400292.html" TargetMode="External"/><Relationship Id="rId11" Type="http://schemas.openxmlformats.org/officeDocument/2006/relationships/hyperlink" Target="https://item.jd.com/8232358.html" TargetMode="External"/><Relationship Id="rId24" Type="http://schemas.openxmlformats.org/officeDocument/2006/relationships/hyperlink" Target="https://item.jd.com/100063835023.html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item.jd.com/100043100435.html" TargetMode="External"/><Relationship Id="rId15" Type="http://schemas.openxmlformats.org/officeDocument/2006/relationships/hyperlink" Target="https://item.jd.com/100022835405.html" TargetMode="External"/><Relationship Id="rId23" Type="http://schemas.openxmlformats.org/officeDocument/2006/relationships/hyperlink" Target="https://item.jd.com/100054910089.html" TargetMode="External"/><Relationship Id="rId28" Type="http://schemas.openxmlformats.org/officeDocument/2006/relationships/hyperlink" Target="https://item.jd.com/1165156.html" TargetMode="External"/><Relationship Id="rId10" Type="http://schemas.openxmlformats.org/officeDocument/2006/relationships/hyperlink" Target="https://item.jd.com/100029628687.html" TargetMode="External"/><Relationship Id="rId19" Type="http://schemas.openxmlformats.org/officeDocument/2006/relationships/hyperlink" Target="https://item.jd.com/100024855542.html" TargetMode="External"/><Relationship Id="rId31" Type="http://schemas.openxmlformats.org/officeDocument/2006/relationships/hyperlink" Target="https://item.jd.com/1714157.html" TargetMode="External"/><Relationship Id="rId4" Type="http://schemas.openxmlformats.org/officeDocument/2006/relationships/hyperlink" Target="https://item.jd.com/100017319885.html" TargetMode="External"/><Relationship Id="rId9" Type="http://schemas.openxmlformats.org/officeDocument/2006/relationships/hyperlink" Target="https://item.jd.com/100029628737.html" TargetMode="External"/><Relationship Id="rId14" Type="http://schemas.openxmlformats.org/officeDocument/2006/relationships/hyperlink" Target="https://item.jd.com/100050210466.html" TargetMode="External"/><Relationship Id="rId22" Type="http://schemas.openxmlformats.org/officeDocument/2006/relationships/hyperlink" Target="https://item.jd.com/100009671891.html" TargetMode="External"/><Relationship Id="rId27" Type="http://schemas.openxmlformats.org/officeDocument/2006/relationships/hyperlink" Target="https://item.jd.com/28285514126.html" TargetMode="External"/><Relationship Id="rId30" Type="http://schemas.openxmlformats.org/officeDocument/2006/relationships/hyperlink" Target="https://item.jd.com/497495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5837095.html" TargetMode="External"/><Relationship Id="rId13" Type="http://schemas.openxmlformats.org/officeDocument/2006/relationships/hyperlink" Target="https://item.jd.com/100052238103.html" TargetMode="External"/><Relationship Id="rId18" Type="http://schemas.openxmlformats.org/officeDocument/2006/relationships/hyperlink" Target="https://item.jd.com/100002715947.html" TargetMode="External"/><Relationship Id="rId26" Type="http://schemas.openxmlformats.org/officeDocument/2006/relationships/hyperlink" Target="https://item.jd.com/100014814568.html" TargetMode="External"/><Relationship Id="rId3" Type="http://schemas.openxmlformats.org/officeDocument/2006/relationships/hyperlink" Target="https://item.jd.com/100054585561.html" TargetMode="External"/><Relationship Id="rId21" Type="http://schemas.openxmlformats.org/officeDocument/2006/relationships/hyperlink" Target="https://item.jd.com/100024247682.html" TargetMode="External"/><Relationship Id="rId7" Type="http://schemas.openxmlformats.org/officeDocument/2006/relationships/hyperlink" Target="https://item.jd.com/1126199.html" TargetMode="External"/><Relationship Id="rId12" Type="http://schemas.openxmlformats.org/officeDocument/2006/relationships/hyperlink" Target="https://item.jd.com/4396232.html" TargetMode="External"/><Relationship Id="rId17" Type="http://schemas.openxmlformats.org/officeDocument/2006/relationships/hyperlink" Target="https://item.jd.com/100009148198.html" TargetMode="External"/><Relationship Id="rId25" Type="http://schemas.openxmlformats.org/officeDocument/2006/relationships/hyperlink" Target="https://item.jd.com/100063835023.html" TargetMode="External"/><Relationship Id="rId2" Type="http://schemas.openxmlformats.org/officeDocument/2006/relationships/hyperlink" Target="https://item.jd.com/100061382731.html" TargetMode="External"/><Relationship Id="rId16" Type="http://schemas.openxmlformats.org/officeDocument/2006/relationships/hyperlink" Target="https://item.jd.com/3708299.html" TargetMode="External"/><Relationship Id="rId20" Type="http://schemas.openxmlformats.org/officeDocument/2006/relationships/hyperlink" Target="https://item.jd.com/100042248012.html" TargetMode="External"/><Relationship Id="rId29" Type="http://schemas.openxmlformats.org/officeDocument/2006/relationships/hyperlink" Target="https://item.jd.com/1165156.html" TargetMode="External"/><Relationship Id="rId1" Type="http://schemas.openxmlformats.org/officeDocument/2006/relationships/hyperlink" Target="https://item.jd.com/4264346.html" TargetMode="External"/><Relationship Id="rId6" Type="http://schemas.openxmlformats.org/officeDocument/2006/relationships/hyperlink" Target="https://item.jd.com/100020400292.html" TargetMode="External"/><Relationship Id="rId11" Type="http://schemas.openxmlformats.org/officeDocument/2006/relationships/hyperlink" Target="https://item.jd.com/8232358.html" TargetMode="External"/><Relationship Id="rId24" Type="http://schemas.openxmlformats.org/officeDocument/2006/relationships/hyperlink" Target="https://item.jd.com/1714157.html" TargetMode="External"/><Relationship Id="rId32" Type="http://schemas.openxmlformats.org/officeDocument/2006/relationships/table" Target="../tables/table3.xml"/><Relationship Id="rId5" Type="http://schemas.openxmlformats.org/officeDocument/2006/relationships/hyperlink" Target="https://item.jd.com/100043100435.html" TargetMode="External"/><Relationship Id="rId15" Type="http://schemas.openxmlformats.org/officeDocument/2006/relationships/hyperlink" Target="https://item.jd.com/100022835405.html" TargetMode="External"/><Relationship Id="rId23" Type="http://schemas.openxmlformats.org/officeDocument/2006/relationships/hyperlink" Target="https://item.jd.com/100054910089.html" TargetMode="External"/><Relationship Id="rId28" Type="http://schemas.openxmlformats.org/officeDocument/2006/relationships/hyperlink" Target="https://item.jd.com/28285514126.html" TargetMode="External"/><Relationship Id="rId10" Type="http://schemas.openxmlformats.org/officeDocument/2006/relationships/hyperlink" Target="https://item.jd.com/100029628687.html" TargetMode="External"/><Relationship Id="rId19" Type="http://schemas.openxmlformats.org/officeDocument/2006/relationships/hyperlink" Target="https://item.jd.com/100024855542.html" TargetMode="External"/><Relationship Id="rId31" Type="http://schemas.openxmlformats.org/officeDocument/2006/relationships/hyperlink" Target="https://item.jd.com/497495.html" TargetMode="External"/><Relationship Id="rId4" Type="http://schemas.openxmlformats.org/officeDocument/2006/relationships/hyperlink" Target="https://item.jd.com/100017319885.html" TargetMode="External"/><Relationship Id="rId9" Type="http://schemas.openxmlformats.org/officeDocument/2006/relationships/hyperlink" Target="https://item.jd.com/100029628737.html" TargetMode="External"/><Relationship Id="rId14" Type="http://schemas.openxmlformats.org/officeDocument/2006/relationships/hyperlink" Target="https://item.jd.com/100050210466.html" TargetMode="External"/><Relationship Id="rId22" Type="http://schemas.openxmlformats.org/officeDocument/2006/relationships/hyperlink" Target="https://item.jd.com/100009671891.html" TargetMode="External"/><Relationship Id="rId27" Type="http://schemas.openxmlformats.org/officeDocument/2006/relationships/hyperlink" Target="https://item.jd.com/28285511080.html" TargetMode="External"/><Relationship Id="rId30" Type="http://schemas.openxmlformats.org/officeDocument/2006/relationships/hyperlink" Target="https://item.jd.com/1071506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5837095.html" TargetMode="External"/><Relationship Id="rId13" Type="http://schemas.openxmlformats.org/officeDocument/2006/relationships/hyperlink" Target="https://item.jd.com/100052238103.html" TargetMode="External"/><Relationship Id="rId18" Type="http://schemas.openxmlformats.org/officeDocument/2006/relationships/hyperlink" Target="https://item.jd.com/100002715947.html" TargetMode="External"/><Relationship Id="rId26" Type="http://schemas.openxmlformats.org/officeDocument/2006/relationships/hyperlink" Target="https://item.jd.com/100014814568.html" TargetMode="External"/><Relationship Id="rId3" Type="http://schemas.openxmlformats.org/officeDocument/2006/relationships/hyperlink" Target="https://item.jd.com/100054585561.html" TargetMode="External"/><Relationship Id="rId21" Type="http://schemas.openxmlformats.org/officeDocument/2006/relationships/hyperlink" Target="https://item.jd.com/100024247682.html" TargetMode="External"/><Relationship Id="rId7" Type="http://schemas.openxmlformats.org/officeDocument/2006/relationships/hyperlink" Target="https://item.jd.com/1126199.html" TargetMode="External"/><Relationship Id="rId12" Type="http://schemas.openxmlformats.org/officeDocument/2006/relationships/hyperlink" Target="https://item.jd.com/4396232.html" TargetMode="External"/><Relationship Id="rId17" Type="http://schemas.openxmlformats.org/officeDocument/2006/relationships/hyperlink" Target="https://item.jd.com/100009148198.html" TargetMode="External"/><Relationship Id="rId25" Type="http://schemas.openxmlformats.org/officeDocument/2006/relationships/hyperlink" Target="https://item.jd.com/100063835023.html" TargetMode="External"/><Relationship Id="rId2" Type="http://schemas.openxmlformats.org/officeDocument/2006/relationships/hyperlink" Target="https://item.jd.com/100061382731.html" TargetMode="External"/><Relationship Id="rId16" Type="http://schemas.openxmlformats.org/officeDocument/2006/relationships/hyperlink" Target="https://item.jd.com/3708299.html" TargetMode="External"/><Relationship Id="rId20" Type="http://schemas.openxmlformats.org/officeDocument/2006/relationships/hyperlink" Target="https://item.jd.com/100042248012.html" TargetMode="External"/><Relationship Id="rId29" Type="http://schemas.openxmlformats.org/officeDocument/2006/relationships/hyperlink" Target="https://item.jd.com/1165156.html" TargetMode="External"/><Relationship Id="rId1" Type="http://schemas.openxmlformats.org/officeDocument/2006/relationships/hyperlink" Target="https://item.jd.com/4264346.html" TargetMode="External"/><Relationship Id="rId6" Type="http://schemas.openxmlformats.org/officeDocument/2006/relationships/hyperlink" Target="https://item.jd.com/100020400292.html" TargetMode="External"/><Relationship Id="rId11" Type="http://schemas.openxmlformats.org/officeDocument/2006/relationships/hyperlink" Target="https://item.jd.com/8232358.html" TargetMode="External"/><Relationship Id="rId24" Type="http://schemas.openxmlformats.org/officeDocument/2006/relationships/hyperlink" Target="https://item.jd.com/1714157.html" TargetMode="External"/><Relationship Id="rId32" Type="http://schemas.openxmlformats.org/officeDocument/2006/relationships/table" Target="../tables/table4.xml"/><Relationship Id="rId5" Type="http://schemas.openxmlformats.org/officeDocument/2006/relationships/hyperlink" Target="https://item.jd.com/100043100435.html" TargetMode="External"/><Relationship Id="rId15" Type="http://schemas.openxmlformats.org/officeDocument/2006/relationships/hyperlink" Target="https://item.jd.com/100022835405.html" TargetMode="External"/><Relationship Id="rId23" Type="http://schemas.openxmlformats.org/officeDocument/2006/relationships/hyperlink" Target="https://item.jd.com/100054910089.html" TargetMode="External"/><Relationship Id="rId28" Type="http://schemas.openxmlformats.org/officeDocument/2006/relationships/hyperlink" Target="https://item.jd.com/28285514126.html" TargetMode="External"/><Relationship Id="rId10" Type="http://schemas.openxmlformats.org/officeDocument/2006/relationships/hyperlink" Target="https://item.jd.com/100029628687.html" TargetMode="External"/><Relationship Id="rId19" Type="http://schemas.openxmlformats.org/officeDocument/2006/relationships/hyperlink" Target="https://item.jd.com/100024855542.html" TargetMode="External"/><Relationship Id="rId31" Type="http://schemas.openxmlformats.org/officeDocument/2006/relationships/hyperlink" Target="https://item.jd.com/497495.html" TargetMode="External"/><Relationship Id="rId4" Type="http://schemas.openxmlformats.org/officeDocument/2006/relationships/hyperlink" Target="https://item.jd.com/100017319885.html" TargetMode="External"/><Relationship Id="rId9" Type="http://schemas.openxmlformats.org/officeDocument/2006/relationships/hyperlink" Target="https://item.jd.com/100029628737.html" TargetMode="External"/><Relationship Id="rId14" Type="http://schemas.openxmlformats.org/officeDocument/2006/relationships/hyperlink" Target="https://item.jd.com/100050210466.html" TargetMode="External"/><Relationship Id="rId22" Type="http://schemas.openxmlformats.org/officeDocument/2006/relationships/hyperlink" Target="https://item.jd.com/100009671891.html" TargetMode="External"/><Relationship Id="rId27" Type="http://schemas.openxmlformats.org/officeDocument/2006/relationships/hyperlink" Target="https://item.jd.com/28285511080.html" TargetMode="External"/><Relationship Id="rId30" Type="http://schemas.openxmlformats.org/officeDocument/2006/relationships/hyperlink" Target="https://item.jd.com/10715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D240-180F-4C48-B3E4-E6EAE34E482F}">
  <dimension ref="A1:AF54"/>
  <sheetViews>
    <sheetView workbookViewId="0">
      <pane xSplit="1" topLeftCell="B1" activePane="topRight" state="frozen"/>
      <selection pane="topRight" activeCell="C82" sqref="C82"/>
    </sheetView>
  </sheetViews>
  <sheetFormatPr baseColWidth="10" defaultColWidth="11" defaultRowHeight="15"/>
  <sheetData>
    <row r="1" spans="1:32" ht="240">
      <c r="A1" t="s">
        <v>60</v>
      </c>
      <c r="B1" s="1" t="s">
        <v>0</v>
      </c>
      <c r="C1" s="1" t="s">
        <v>4</v>
      </c>
      <c r="D1" s="1" t="s">
        <v>6</v>
      </c>
      <c r="E1" s="1" t="s">
        <v>8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19</v>
      </c>
      <c r="K1" s="1" t="s">
        <v>21</v>
      </c>
      <c r="L1" s="1" t="s">
        <v>22</v>
      </c>
      <c r="M1" s="1" t="s">
        <v>25</v>
      </c>
      <c r="N1" s="1" t="s">
        <v>27</v>
      </c>
      <c r="O1" s="1" t="s">
        <v>28</v>
      </c>
      <c r="P1" s="1" t="s">
        <v>30</v>
      </c>
      <c r="Q1" s="1" t="s">
        <v>32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39</v>
      </c>
      <c r="W1" s="1" t="s">
        <v>42</v>
      </c>
      <c r="X1" s="1" t="s">
        <v>43</v>
      </c>
      <c r="Y1" s="1" t="s">
        <v>45</v>
      </c>
      <c r="Z1" s="1" t="s">
        <v>48</v>
      </c>
      <c r="AA1" s="1" t="s">
        <v>51</v>
      </c>
      <c r="AB1" s="1" t="s">
        <v>52</v>
      </c>
      <c r="AC1" s="1" t="s">
        <v>54</v>
      </c>
      <c r="AD1" s="1" t="s">
        <v>55</v>
      </c>
      <c r="AE1" s="1" t="s">
        <v>57</v>
      </c>
      <c r="AF1" s="1" t="s">
        <v>59</v>
      </c>
    </row>
    <row r="2" spans="1:32" ht="16">
      <c r="A2" t="s">
        <v>61</v>
      </c>
      <c r="B2" s="2" t="s">
        <v>1</v>
      </c>
      <c r="C2" s="2" t="s">
        <v>1</v>
      </c>
      <c r="D2" s="2" t="s">
        <v>1</v>
      </c>
      <c r="E2" s="2" t="s">
        <v>9</v>
      </c>
      <c r="F2" s="2" t="s">
        <v>9</v>
      </c>
      <c r="G2" s="2" t="s">
        <v>9</v>
      </c>
      <c r="H2" s="2" t="s">
        <v>9</v>
      </c>
      <c r="I2" s="2" t="s">
        <v>9</v>
      </c>
      <c r="J2" s="2" t="s">
        <v>20</v>
      </c>
      <c r="K2" s="2" t="s">
        <v>20</v>
      </c>
      <c r="L2" s="2" t="s">
        <v>23</v>
      </c>
      <c r="M2" s="2" t="s">
        <v>26</v>
      </c>
      <c r="N2" s="2" t="s">
        <v>26</v>
      </c>
      <c r="O2" s="2" t="s">
        <v>26</v>
      </c>
      <c r="P2" s="2" t="s">
        <v>26</v>
      </c>
      <c r="Q2" s="2" t="s">
        <v>33</v>
      </c>
      <c r="R2" s="2" t="s">
        <v>33</v>
      </c>
      <c r="S2" s="2" t="s">
        <v>33</v>
      </c>
      <c r="T2" s="2" t="s">
        <v>33</v>
      </c>
      <c r="U2" s="2" t="s">
        <v>33</v>
      </c>
      <c r="V2" s="2" t="s">
        <v>40</v>
      </c>
      <c r="W2" s="2" t="s">
        <v>40</v>
      </c>
      <c r="X2" s="2" t="s">
        <v>40</v>
      </c>
      <c r="Y2" s="2" t="s">
        <v>46</v>
      </c>
      <c r="Z2" s="2" t="s">
        <v>49</v>
      </c>
      <c r="AA2" s="2" t="s">
        <v>49</v>
      </c>
      <c r="AB2" s="2" t="s">
        <v>53</v>
      </c>
      <c r="AC2" s="2" t="s">
        <v>53</v>
      </c>
      <c r="AD2" s="2" t="s">
        <v>9</v>
      </c>
      <c r="AE2" s="2" t="s">
        <v>9</v>
      </c>
      <c r="AF2" s="2" t="s">
        <v>20</v>
      </c>
    </row>
    <row r="3" spans="1:32">
      <c r="A3" t="s">
        <v>62</v>
      </c>
      <c r="B3" s="2">
        <v>900</v>
      </c>
      <c r="C3" s="2">
        <v>800</v>
      </c>
      <c r="D3" s="2">
        <v>800</v>
      </c>
      <c r="E3" s="2">
        <v>750</v>
      </c>
      <c r="F3" s="2">
        <v>750</v>
      </c>
      <c r="G3" s="2">
        <v>708</v>
      </c>
      <c r="H3" s="2">
        <v>700</v>
      </c>
      <c r="I3" s="2">
        <v>700</v>
      </c>
      <c r="J3" s="2">
        <v>900</v>
      </c>
      <c r="K3" s="2">
        <v>808</v>
      </c>
      <c r="L3" s="2">
        <v>800</v>
      </c>
      <c r="M3" s="2">
        <v>800</v>
      </c>
      <c r="N3" s="2">
        <v>900</v>
      </c>
      <c r="O3" s="2">
        <v>850</v>
      </c>
      <c r="P3" s="2">
        <v>800</v>
      </c>
      <c r="Q3" s="2">
        <v>808</v>
      </c>
      <c r="R3" s="2">
        <v>800</v>
      </c>
      <c r="S3" s="2">
        <v>800</v>
      </c>
      <c r="T3" s="2">
        <v>800</v>
      </c>
      <c r="U3" s="2">
        <v>800</v>
      </c>
      <c r="V3" s="2">
        <v>820</v>
      </c>
      <c r="W3" s="2">
        <v>850</v>
      </c>
      <c r="X3" s="2">
        <v>300</v>
      </c>
      <c r="Y3" s="2">
        <v>900</v>
      </c>
      <c r="Z3" s="2">
        <v>700</v>
      </c>
      <c r="AA3" s="2">
        <v>1600</v>
      </c>
      <c r="AB3" s="2">
        <v>900</v>
      </c>
      <c r="AC3" s="2">
        <v>820</v>
      </c>
      <c r="AD3" s="2">
        <v>900</v>
      </c>
      <c r="AE3" s="2">
        <v>900</v>
      </c>
      <c r="AF3" s="2">
        <v>400</v>
      </c>
    </row>
    <row r="4" spans="1:32">
      <c r="A4" t="s">
        <v>63</v>
      </c>
      <c r="B4" s="2">
        <v>375</v>
      </c>
      <c r="C4" s="2">
        <v>375</v>
      </c>
      <c r="D4" s="2">
        <v>385</v>
      </c>
      <c r="E4" s="2">
        <v>328</v>
      </c>
      <c r="F4" s="2">
        <v>270</v>
      </c>
      <c r="G4" s="2">
        <v>263</v>
      </c>
      <c r="H4" s="2">
        <v>220</v>
      </c>
      <c r="I4" s="2">
        <v>245</v>
      </c>
      <c r="J4" s="2">
        <v>342</v>
      </c>
      <c r="K4" s="2">
        <v>306</v>
      </c>
      <c r="L4" s="2">
        <v>416</v>
      </c>
      <c r="M4" s="2">
        <v>394</v>
      </c>
      <c r="N4" s="2">
        <v>289</v>
      </c>
      <c r="O4" s="2">
        <v>409</v>
      </c>
      <c r="P4" s="2">
        <v>426</v>
      </c>
      <c r="Q4" s="2">
        <v>182</v>
      </c>
      <c r="R4" s="2">
        <v>180</v>
      </c>
      <c r="S4" s="2">
        <v>255</v>
      </c>
      <c r="T4" s="2">
        <v>276</v>
      </c>
      <c r="U4" s="2">
        <v>459</v>
      </c>
      <c r="V4" s="2">
        <v>323</v>
      </c>
      <c r="W4" s="2">
        <v>263</v>
      </c>
      <c r="X4" s="2">
        <v>171</v>
      </c>
      <c r="Y4" s="2">
        <v>405</v>
      </c>
      <c r="Z4" s="2">
        <v>255</v>
      </c>
      <c r="AA4" s="2">
        <v>480</v>
      </c>
      <c r="AB4" s="2">
        <v>368</v>
      </c>
      <c r="AC4" s="2">
        <v>368</v>
      </c>
      <c r="AD4" s="2">
        <v>228</v>
      </c>
      <c r="AE4" s="2">
        <v>223</v>
      </c>
      <c r="AF4" s="2">
        <v>80</v>
      </c>
    </row>
    <row r="5" spans="1:32">
      <c r="A5" t="s">
        <v>64</v>
      </c>
      <c r="B5" s="2">
        <v>41.67</v>
      </c>
      <c r="C5" s="2">
        <v>46.88</v>
      </c>
      <c r="D5" s="2">
        <v>48.13</v>
      </c>
      <c r="E5" s="2">
        <v>43.73</v>
      </c>
      <c r="F5" s="2">
        <v>36</v>
      </c>
      <c r="G5" s="2">
        <v>37.130000000000003</v>
      </c>
      <c r="H5" s="2">
        <v>31.4</v>
      </c>
      <c r="I5" s="2">
        <v>35</v>
      </c>
      <c r="J5" s="2">
        <v>38</v>
      </c>
      <c r="K5" s="2">
        <v>37.869999999999997</v>
      </c>
      <c r="L5" s="2">
        <v>52</v>
      </c>
      <c r="M5" s="2">
        <v>49.25</v>
      </c>
      <c r="N5" s="2">
        <v>32.11</v>
      </c>
      <c r="O5" s="2">
        <v>48.12</v>
      </c>
      <c r="P5" s="2">
        <v>53.25</v>
      </c>
      <c r="Q5" s="2">
        <v>22.52</v>
      </c>
      <c r="R5" s="2">
        <v>22.5</v>
      </c>
      <c r="S5" s="2">
        <v>31.88</v>
      </c>
      <c r="T5" s="2">
        <v>34.5</v>
      </c>
      <c r="U5" s="2">
        <v>57.38</v>
      </c>
      <c r="V5" s="2">
        <v>39.35</v>
      </c>
      <c r="W5" s="2">
        <v>30.94</v>
      </c>
      <c r="X5" s="2">
        <v>57</v>
      </c>
      <c r="Y5" s="2">
        <v>45</v>
      </c>
      <c r="Z5" s="2">
        <v>36.43</v>
      </c>
      <c r="AA5" s="2">
        <v>30</v>
      </c>
      <c r="AB5" s="2">
        <v>40.89</v>
      </c>
      <c r="AC5" s="2">
        <v>44.88</v>
      </c>
      <c r="AD5" s="2">
        <v>25.33</v>
      </c>
      <c r="AE5" s="2">
        <v>24.78</v>
      </c>
      <c r="AF5" s="2">
        <v>20</v>
      </c>
    </row>
    <row r="6" spans="1:32" ht="64">
      <c r="A6" t="s">
        <v>65</v>
      </c>
      <c r="B6" s="2" t="s">
        <v>2</v>
      </c>
      <c r="C6" s="2" t="s">
        <v>5</v>
      </c>
      <c r="D6" s="2" t="s">
        <v>7</v>
      </c>
      <c r="E6" s="2" t="s">
        <v>10</v>
      </c>
      <c r="F6" s="2" t="s">
        <v>12</v>
      </c>
      <c r="G6" s="2" t="s">
        <v>14</v>
      </c>
      <c r="H6" s="2" t="s">
        <v>16</v>
      </c>
      <c r="I6" s="2" t="s">
        <v>18</v>
      </c>
      <c r="J6" s="2" t="s">
        <v>2</v>
      </c>
      <c r="K6" s="2" t="s">
        <v>2</v>
      </c>
      <c r="L6" s="2" t="s">
        <v>24</v>
      </c>
      <c r="M6" s="2"/>
      <c r="N6" s="2"/>
      <c r="O6" s="2" t="s">
        <v>29</v>
      </c>
      <c r="P6" s="2" t="s">
        <v>31</v>
      </c>
      <c r="Q6" s="2" t="s">
        <v>29</v>
      </c>
      <c r="R6" s="2"/>
      <c r="S6" s="2" t="s">
        <v>29</v>
      </c>
      <c r="T6" s="2" t="s">
        <v>29</v>
      </c>
      <c r="U6" s="2" t="s">
        <v>38</v>
      </c>
      <c r="V6" s="2" t="s">
        <v>41</v>
      </c>
      <c r="W6" s="2" t="s">
        <v>2</v>
      </c>
      <c r="X6" s="2" t="s">
        <v>44</v>
      </c>
      <c r="Y6" s="2" t="s">
        <v>47</v>
      </c>
      <c r="Z6" s="2" t="s">
        <v>50</v>
      </c>
      <c r="AA6" s="2" t="s">
        <v>38</v>
      </c>
      <c r="AB6" s="2"/>
      <c r="AC6" s="2"/>
      <c r="AD6" s="2" t="s">
        <v>29</v>
      </c>
      <c r="AE6" s="2" t="s">
        <v>58</v>
      </c>
      <c r="AF6" s="2" t="s">
        <v>2</v>
      </c>
    </row>
    <row r="7" spans="1:32" ht="16">
      <c r="A7" t="s">
        <v>66</v>
      </c>
      <c r="B7" s="2" t="s">
        <v>3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  <c r="M7" s="2" t="s">
        <v>3</v>
      </c>
      <c r="N7" s="2" t="s">
        <v>3</v>
      </c>
      <c r="O7" s="2" t="s">
        <v>3</v>
      </c>
      <c r="P7" s="2" t="s">
        <v>3</v>
      </c>
      <c r="Q7" s="2" t="s">
        <v>3</v>
      </c>
      <c r="R7" s="2" t="s">
        <v>3</v>
      </c>
      <c r="S7" s="2" t="s">
        <v>3</v>
      </c>
      <c r="T7" s="2" t="s">
        <v>3</v>
      </c>
      <c r="U7" s="2" t="s">
        <v>3</v>
      </c>
      <c r="V7" s="2" t="s">
        <v>3</v>
      </c>
      <c r="W7" s="2" t="s">
        <v>3</v>
      </c>
      <c r="X7" s="2" t="s">
        <v>3</v>
      </c>
      <c r="Y7" s="2" t="s">
        <v>3</v>
      </c>
      <c r="Z7" s="2" t="s">
        <v>3</v>
      </c>
      <c r="AA7" s="2" t="s">
        <v>3</v>
      </c>
      <c r="AB7" s="2" t="s">
        <v>3</v>
      </c>
      <c r="AC7" s="2" t="s">
        <v>3</v>
      </c>
      <c r="AD7" s="2" t="s">
        <v>56</v>
      </c>
      <c r="AE7" s="2" t="s">
        <v>56</v>
      </c>
      <c r="AF7" s="2" t="s">
        <v>56</v>
      </c>
    </row>
    <row r="8" spans="1:32">
      <c r="A8" t="s">
        <v>68</v>
      </c>
      <c r="B8">
        <v>2079</v>
      </c>
      <c r="C8" s="2">
        <v>2083</v>
      </c>
      <c r="D8" s="2">
        <v>2088</v>
      </c>
      <c r="E8">
        <v>2130</v>
      </c>
      <c r="F8" s="2">
        <v>2122</v>
      </c>
      <c r="G8" s="2">
        <v>2122</v>
      </c>
      <c r="H8" s="2">
        <v>2122</v>
      </c>
      <c r="I8" s="2">
        <v>2115</v>
      </c>
      <c r="J8" s="2">
        <v>2163</v>
      </c>
      <c r="K8" s="2">
        <v>2163</v>
      </c>
      <c r="L8" s="2">
        <v>2121</v>
      </c>
      <c r="M8" s="2">
        <v>2146</v>
      </c>
      <c r="N8" s="2">
        <v>2116</v>
      </c>
      <c r="O8" s="2">
        <v>2171</v>
      </c>
      <c r="P8" s="2">
        <v>2179</v>
      </c>
      <c r="Q8" s="2">
        <v>2137</v>
      </c>
      <c r="R8" s="2">
        <v>2132</v>
      </c>
      <c r="S8" s="2">
        <v>2134</v>
      </c>
      <c r="T8" s="2">
        <v>2107</v>
      </c>
      <c r="U8" s="2">
        <v>2120</v>
      </c>
      <c r="V8" s="2">
        <v>2124</v>
      </c>
      <c r="W8" s="2">
        <v>2102</v>
      </c>
      <c r="X8" s="2">
        <v>2121</v>
      </c>
      <c r="Y8" s="2">
        <v>2103</v>
      </c>
      <c r="Z8" s="2">
        <v>2126</v>
      </c>
      <c r="AA8" s="2">
        <v>2126</v>
      </c>
      <c r="AB8" s="2">
        <v>2119</v>
      </c>
      <c r="AC8" s="2">
        <v>2142</v>
      </c>
      <c r="AD8" s="2">
        <v>2147</v>
      </c>
      <c r="AE8" s="2">
        <v>2138</v>
      </c>
      <c r="AF8" s="2">
        <v>2163</v>
      </c>
    </row>
    <row r="9" spans="1:32">
      <c r="A9" t="s">
        <v>69</v>
      </c>
      <c r="B9">
        <v>10.4</v>
      </c>
      <c r="C9" s="2">
        <v>10.4</v>
      </c>
      <c r="D9" s="2">
        <v>10.9</v>
      </c>
      <c r="E9">
        <v>10</v>
      </c>
      <c r="F9" s="2">
        <v>10.5</v>
      </c>
      <c r="G9" s="2">
        <v>10.5</v>
      </c>
      <c r="H9" s="2">
        <v>10.5</v>
      </c>
      <c r="I9" s="2">
        <v>10</v>
      </c>
      <c r="J9" s="2">
        <v>10.5</v>
      </c>
      <c r="K9" s="2">
        <v>10.5</v>
      </c>
      <c r="L9" s="2">
        <v>11</v>
      </c>
      <c r="M9" s="2">
        <v>9.75</v>
      </c>
      <c r="N9" s="2">
        <v>9.5</v>
      </c>
      <c r="O9" s="2">
        <v>9.6</v>
      </c>
      <c r="P9" s="2">
        <v>10.9</v>
      </c>
      <c r="Q9" s="2">
        <v>11.1</v>
      </c>
      <c r="R9" s="2">
        <v>10.9</v>
      </c>
      <c r="S9" s="2">
        <v>10.9</v>
      </c>
      <c r="T9" s="2">
        <v>10.5</v>
      </c>
      <c r="U9" s="2">
        <v>10.9</v>
      </c>
      <c r="V9" s="2">
        <v>10.6</v>
      </c>
      <c r="W9" s="2">
        <v>10.5</v>
      </c>
      <c r="X9" s="2">
        <v>11.36</v>
      </c>
      <c r="Y9" s="2">
        <v>10.7</v>
      </c>
      <c r="Z9" s="2">
        <v>11</v>
      </c>
      <c r="AA9" s="2">
        <v>11.5</v>
      </c>
      <c r="AB9" s="2">
        <v>11.29</v>
      </c>
      <c r="AC9" s="2">
        <v>11.75</v>
      </c>
      <c r="AD9" s="2">
        <v>10.5</v>
      </c>
      <c r="AE9" s="2">
        <v>10.5</v>
      </c>
      <c r="AF9" s="2">
        <v>10.5</v>
      </c>
    </row>
    <row r="10" spans="1:32">
      <c r="A10" t="s">
        <v>70</v>
      </c>
      <c r="B10">
        <v>27.3</v>
      </c>
      <c r="C10" s="2">
        <v>26.5</v>
      </c>
      <c r="D10" s="2">
        <v>26</v>
      </c>
      <c r="E10">
        <v>27.2</v>
      </c>
      <c r="F10" s="2">
        <v>272</v>
      </c>
      <c r="G10" s="2">
        <v>27.2</v>
      </c>
      <c r="H10" s="2">
        <v>27.2</v>
      </c>
      <c r="I10" s="2">
        <v>26.6</v>
      </c>
      <c r="J10" s="2">
        <v>27.9</v>
      </c>
      <c r="K10" s="2">
        <v>27.9</v>
      </c>
      <c r="L10" s="2">
        <v>27</v>
      </c>
      <c r="M10" s="2">
        <v>26</v>
      </c>
      <c r="N10" s="2">
        <v>27.7</v>
      </c>
      <c r="O10" s="2">
        <v>28.3</v>
      </c>
      <c r="P10" s="2">
        <v>27.7</v>
      </c>
      <c r="Q10" s="2">
        <v>27.3</v>
      </c>
      <c r="R10" s="2">
        <v>27</v>
      </c>
      <c r="S10" s="2">
        <v>271</v>
      </c>
      <c r="T10" s="2">
        <v>26</v>
      </c>
      <c r="U10" s="2">
        <v>26.4</v>
      </c>
      <c r="V10" s="2">
        <v>27</v>
      </c>
      <c r="W10" s="2">
        <v>26</v>
      </c>
      <c r="X10" s="2">
        <v>26.9</v>
      </c>
      <c r="Y10" s="2">
        <v>26</v>
      </c>
      <c r="Z10" s="2">
        <v>27.1</v>
      </c>
      <c r="AA10" s="2">
        <v>27</v>
      </c>
      <c r="AB10" s="2">
        <v>27.4</v>
      </c>
      <c r="AC10" s="2">
        <v>27.52</v>
      </c>
      <c r="AD10" s="2">
        <v>26.5</v>
      </c>
      <c r="AE10" s="2">
        <v>27.5</v>
      </c>
      <c r="AF10" s="2">
        <v>27.9</v>
      </c>
    </row>
    <row r="11" spans="1:32">
      <c r="A11" t="s">
        <v>71</v>
      </c>
      <c r="B11">
        <v>3.15</v>
      </c>
      <c r="C11" s="2">
        <v>3.01</v>
      </c>
      <c r="D11" s="2">
        <v>3.62</v>
      </c>
      <c r="E11">
        <v>4.0999999999999996</v>
      </c>
      <c r="F11" s="2">
        <v>4.0999999999999996</v>
      </c>
      <c r="G11" s="2">
        <v>4.0999999999999996</v>
      </c>
      <c r="H11" s="2">
        <v>4.0999999999999996</v>
      </c>
      <c r="I11" s="2">
        <v>4.0999999999999996</v>
      </c>
      <c r="J11" s="2">
        <v>4.3</v>
      </c>
      <c r="K11" s="2">
        <v>4.3</v>
      </c>
      <c r="L11" s="2">
        <v>2.2999999999999998</v>
      </c>
      <c r="M11" s="2">
        <v>3.2</v>
      </c>
      <c r="N11" s="2">
        <v>2.9</v>
      </c>
      <c r="O11" s="2">
        <v>3.2</v>
      </c>
      <c r="P11" s="2">
        <v>3.7</v>
      </c>
      <c r="Q11" s="2">
        <v>3.9</v>
      </c>
      <c r="R11" s="2">
        <v>3</v>
      </c>
      <c r="S11" s="2">
        <v>3.2</v>
      </c>
      <c r="T11" s="2">
        <v>3.6</v>
      </c>
      <c r="U11" s="2">
        <v>3.3</v>
      </c>
      <c r="V11" s="2">
        <v>4.0999999999999996</v>
      </c>
      <c r="W11" s="2">
        <v>4.2</v>
      </c>
      <c r="X11" s="2">
        <v>5.5</v>
      </c>
      <c r="Y11" s="2">
        <v>4.2</v>
      </c>
      <c r="Z11" s="2">
        <v>4.5999999999999996</v>
      </c>
      <c r="AA11" s="2">
        <v>4.5999999999999996</v>
      </c>
      <c r="AB11" s="2">
        <v>5</v>
      </c>
      <c r="AC11" s="2">
        <v>3.99</v>
      </c>
      <c r="AD11" s="2">
        <v>3.8</v>
      </c>
      <c r="AE11" s="2">
        <v>4.0999999999999996</v>
      </c>
      <c r="AF11" s="2">
        <v>4.3</v>
      </c>
    </row>
    <row r="12" spans="1:32">
      <c r="A12" t="s">
        <v>72</v>
      </c>
      <c r="B12">
        <v>519</v>
      </c>
      <c r="C12" s="2">
        <v>353</v>
      </c>
      <c r="D12" s="2">
        <v>380</v>
      </c>
      <c r="E12">
        <v>410</v>
      </c>
      <c r="F12" s="2">
        <v>410</v>
      </c>
      <c r="G12" s="2">
        <v>410</v>
      </c>
      <c r="H12" s="2">
        <v>410</v>
      </c>
      <c r="I12" s="2">
        <v>410</v>
      </c>
      <c r="J12" s="2">
        <v>430</v>
      </c>
      <c r="K12" s="2">
        <v>430</v>
      </c>
      <c r="L12" s="2">
        <v>325</v>
      </c>
      <c r="M12" s="2">
        <v>380</v>
      </c>
      <c r="N12" s="2">
        <v>495</v>
      </c>
      <c r="O12" s="2">
        <v>370</v>
      </c>
      <c r="P12" s="2">
        <v>350</v>
      </c>
      <c r="Q12" s="2">
        <v>490</v>
      </c>
      <c r="R12" s="2">
        <v>434</v>
      </c>
      <c r="S12" s="2">
        <v>445</v>
      </c>
      <c r="T12" s="2">
        <v>390</v>
      </c>
      <c r="U12" s="2">
        <v>330</v>
      </c>
      <c r="V12" s="2">
        <v>360</v>
      </c>
      <c r="W12" s="2">
        <v>350</v>
      </c>
      <c r="X12" s="2">
        <v>581</v>
      </c>
      <c r="Y12" s="2">
        <v>450</v>
      </c>
      <c r="Z12" s="2">
        <v>460</v>
      </c>
      <c r="AA12" s="2">
        <v>460</v>
      </c>
      <c r="AB12" s="2">
        <v>450</v>
      </c>
      <c r="AC12" s="2">
        <v>421</v>
      </c>
      <c r="AD12" s="2">
        <v>423</v>
      </c>
      <c r="AE12" s="2">
        <v>410</v>
      </c>
      <c r="AF12" s="2">
        <v>430</v>
      </c>
    </row>
    <row r="13" spans="1:32">
      <c r="A13" t="s">
        <v>73</v>
      </c>
      <c r="B13">
        <v>49.4</v>
      </c>
      <c r="C13">
        <v>51.7</v>
      </c>
      <c r="D13" s="2">
        <v>54.1</v>
      </c>
      <c r="E13">
        <v>54.7</v>
      </c>
      <c r="F13" s="2">
        <v>53.7</v>
      </c>
      <c r="G13" s="2">
        <v>53.7</v>
      </c>
      <c r="H13" s="2">
        <v>53.7</v>
      </c>
      <c r="I13" s="2">
        <v>55.8</v>
      </c>
      <c r="J13" s="2">
        <v>54.6</v>
      </c>
      <c r="K13" s="2">
        <v>54.6</v>
      </c>
      <c r="L13" s="2">
        <v>53.5</v>
      </c>
      <c r="M13" s="2">
        <v>59.9</v>
      </c>
      <c r="N13" s="2">
        <v>53.26</v>
      </c>
      <c r="O13" s="2">
        <v>56.5</v>
      </c>
      <c r="P13" s="2">
        <v>57</v>
      </c>
      <c r="Q13" s="2">
        <v>54.4</v>
      </c>
      <c r="R13" s="2">
        <v>54.9</v>
      </c>
      <c r="S13" s="2">
        <v>54.8</v>
      </c>
      <c r="T13" s="2">
        <v>56</v>
      </c>
      <c r="U13" s="2">
        <v>55.6</v>
      </c>
      <c r="V13" s="2">
        <v>54</v>
      </c>
      <c r="W13" s="2">
        <v>55</v>
      </c>
      <c r="X13" s="2">
        <v>54</v>
      </c>
      <c r="Y13" s="2">
        <v>54.9</v>
      </c>
      <c r="Z13" s="2">
        <v>54.2</v>
      </c>
      <c r="AA13" s="2">
        <v>54</v>
      </c>
      <c r="AB13" s="2">
        <v>52.2</v>
      </c>
      <c r="AC13" s="2">
        <v>53.8</v>
      </c>
      <c r="AD13" s="2">
        <v>56.7</v>
      </c>
      <c r="AE13" s="2">
        <v>54</v>
      </c>
      <c r="AF13" s="2">
        <v>54.6</v>
      </c>
    </row>
    <row r="14" spans="1:32">
      <c r="A14" t="s">
        <v>67</v>
      </c>
      <c r="B14">
        <v>370</v>
      </c>
      <c r="C14" s="2">
        <v>342</v>
      </c>
      <c r="D14" s="2">
        <v>378</v>
      </c>
      <c r="E14">
        <v>360</v>
      </c>
      <c r="F14" s="2">
        <v>360</v>
      </c>
      <c r="G14" s="2">
        <v>360</v>
      </c>
      <c r="H14" s="2">
        <v>360</v>
      </c>
      <c r="I14" s="2">
        <v>360</v>
      </c>
      <c r="J14" s="2">
        <v>385</v>
      </c>
      <c r="K14" s="2">
        <v>385</v>
      </c>
      <c r="L14" s="2">
        <v>400</v>
      </c>
      <c r="M14" s="2">
        <v>459</v>
      </c>
      <c r="N14" s="2">
        <v>375</v>
      </c>
      <c r="O14" s="2">
        <v>380</v>
      </c>
      <c r="P14" s="2">
        <v>385</v>
      </c>
      <c r="Q14" s="2">
        <v>369</v>
      </c>
      <c r="R14" s="2">
        <v>369</v>
      </c>
      <c r="S14" s="2">
        <v>371</v>
      </c>
      <c r="T14" s="2">
        <v>360</v>
      </c>
      <c r="U14" s="2">
        <v>369</v>
      </c>
      <c r="V14" s="2">
        <v>420</v>
      </c>
      <c r="W14" s="2">
        <v>450</v>
      </c>
      <c r="X14" s="2">
        <v>511</v>
      </c>
      <c r="Y14" s="2">
        <v>510</v>
      </c>
      <c r="Z14" s="2">
        <v>380</v>
      </c>
      <c r="AA14" s="2">
        <v>450</v>
      </c>
      <c r="AB14" s="2">
        <v>541</v>
      </c>
      <c r="AC14" s="2">
        <v>395</v>
      </c>
      <c r="AD14" s="2">
        <v>360</v>
      </c>
      <c r="AE14" s="2">
        <v>360</v>
      </c>
      <c r="AF14" s="2">
        <v>385</v>
      </c>
    </row>
    <row r="15" spans="1:32">
      <c r="A15" t="s">
        <v>74</v>
      </c>
      <c r="B15">
        <v>7.7</v>
      </c>
      <c r="C15" s="2">
        <v>12.8</v>
      </c>
      <c r="D15" s="2">
        <v>12.5</v>
      </c>
      <c r="E15">
        <v>13</v>
      </c>
      <c r="F15" s="2">
        <v>13</v>
      </c>
      <c r="G15" s="2">
        <v>13</v>
      </c>
      <c r="H15" s="2">
        <v>13</v>
      </c>
      <c r="I15" s="2">
        <v>13</v>
      </c>
      <c r="J15" s="2">
        <v>12.9</v>
      </c>
      <c r="K15" s="2">
        <v>12.9</v>
      </c>
      <c r="L15" s="2">
        <v>8.6</v>
      </c>
      <c r="M15" s="2">
        <v>6.8</v>
      </c>
      <c r="N15" s="2">
        <v>12</v>
      </c>
      <c r="O15" s="2">
        <v>12.7</v>
      </c>
      <c r="P15" s="2">
        <v>8.5</v>
      </c>
      <c r="Q15" s="2">
        <v>14.2</v>
      </c>
      <c r="R15" s="2">
        <v>14.3</v>
      </c>
      <c r="S15" s="2">
        <v>14.3</v>
      </c>
      <c r="T15" s="2">
        <v>13</v>
      </c>
      <c r="U15" s="2">
        <v>15.3</v>
      </c>
      <c r="V15" s="2">
        <v>7.8</v>
      </c>
      <c r="W15" s="2">
        <v>7</v>
      </c>
      <c r="X15" s="2">
        <v>8.6</v>
      </c>
      <c r="Y15" s="2">
        <v>6.9</v>
      </c>
      <c r="Z15" s="2">
        <v>12.6</v>
      </c>
      <c r="AA15" s="2">
        <v>7</v>
      </c>
      <c r="AB15" s="2">
        <v>8.8000000000000007</v>
      </c>
      <c r="AC15" s="2">
        <v>6.73</v>
      </c>
      <c r="AD15" s="2">
        <v>13</v>
      </c>
      <c r="AE15" s="2">
        <v>13</v>
      </c>
      <c r="AF15" s="2">
        <v>12.9</v>
      </c>
    </row>
    <row r="16" spans="1:32">
      <c r="A16" t="s">
        <v>75</v>
      </c>
      <c r="B16">
        <v>7.9</v>
      </c>
      <c r="C16" s="2">
        <v>5.6</v>
      </c>
      <c r="D16" s="2">
        <v>6.1</v>
      </c>
      <c r="E16">
        <v>6</v>
      </c>
      <c r="F16" s="2">
        <v>6</v>
      </c>
      <c r="G16" s="2">
        <v>6</v>
      </c>
      <c r="H16" s="2">
        <v>6</v>
      </c>
      <c r="I16" s="2">
        <v>6</v>
      </c>
      <c r="J16" s="2">
        <v>7</v>
      </c>
      <c r="K16" s="2">
        <v>7</v>
      </c>
      <c r="L16" s="2">
        <v>6.2</v>
      </c>
      <c r="M16" s="2">
        <v>10</v>
      </c>
      <c r="N16" s="2">
        <v>6</v>
      </c>
      <c r="O16" s="2">
        <v>6</v>
      </c>
      <c r="P16" s="2">
        <v>12</v>
      </c>
      <c r="Q16" s="2">
        <v>7</v>
      </c>
      <c r="R16" s="2">
        <v>7</v>
      </c>
      <c r="S16" s="2">
        <v>7</v>
      </c>
      <c r="T16" s="2">
        <v>6</v>
      </c>
      <c r="U16" s="2">
        <v>6.5</v>
      </c>
      <c r="V16" s="2">
        <v>6.4</v>
      </c>
      <c r="W16" s="2">
        <v>6.4</v>
      </c>
      <c r="X16" s="2">
        <v>5.0999999999999996</v>
      </c>
      <c r="Y16" s="2">
        <v>7.5</v>
      </c>
      <c r="Z16" s="2">
        <v>4</v>
      </c>
      <c r="AA16" s="2">
        <v>4</v>
      </c>
      <c r="AB16" s="2">
        <v>14</v>
      </c>
      <c r="AC16" s="2">
        <v>12.9</v>
      </c>
      <c r="AD16" s="2">
        <v>6</v>
      </c>
      <c r="AE16" s="2">
        <v>6</v>
      </c>
      <c r="AF16" s="2">
        <v>7</v>
      </c>
    </row>
    <row r="17" spans="1:32">
      <c r="A17" t="s">
        <v>76</v>
      </c>
      <c r="B17">
        <v>27</v>
      </c>
      <c r="C17" s="2">
        <v>32</v>
      </c>
      <c r="D17" s="2">
        <v>55</v>
      </c>
      <c r="E17">
        <v>60</v>
      </c>
      <c r="F17" s="2">
        <v>60</v>
      </c>
      <c r="G17" s="2">
        <v>60</v>
      </c>
      <c r="H17" s="2">
        <v>60</v>
      </c>
      <c r="I17" s="2">
        <v>60</v>
      </c>
      <c r="J17" s="2">
        <v>70</v>
      </c>
      <c r="K17" s="2">
        <v>70</v>
      </c>
      <c r="L17" s="2">
        <v>39</v>
      </c>
      <c r="M17" s="2">
        <v>27</v>
      </c>
      <c r="N17" s="2">
        <v>34</v>
      </c>
      <c r="O17" s="2">
        <v>35</v>
      </c>
      <c r="P17" s="2">
        <v>45</v>
      </c>
      <c r="Q17" s="2">
        <v>26</v>
      </c>
      <c r="R17" s="2">
        <v>25</v>
      </c>
      <c r="S17" s="2">
        <v>29</v>
      </c>
      <c r="T17" s="2">
        <v>45</v>
      </c>
      <c r="U17" s="2">
        <v>39</v>
      </c>
      <c r="V17" s="2">
        <v>36</v>
      </c>
      <c r="W17" s="2">
        <v>43</v>
      </c>
      <c r="X17" s="2">
        <v>36.200000000000003</v>
      </c>
      <c r="Y17" s="2">
        <v>46</v>
      </c>
      <c r="Z17" s="2">
        <v>40</v>
      </c>
      <c r="AA17" s="2">
        <v>40</v>
      </c>
      <c r="AB17" s="2">
        <v>43</v>
      </c>
      <c r="AC17" s="2">
        <v>49.3</v>
      </c>
      <c r="AD17" s="2">
        <v>55</v>
      </c>
      <c r="AE17" s="2">
        <v>60</v>
      </c>
      <c r="AF17" s="2">
        <v>70</v>
      </c>
    </row>
    <row r="18" spans="1:32">
      <c r="A18" t="s">
        <v>77</v>
      </c>
      <c r="B18">
        <v>377</v>
      </c>
      <c r="C18" s="2">
        <v>434</v>
      </c>
      <c r="D18" s="2">
        <v>469</v>
      </c>
      <c r="E18">
        <v>650</v>
      </c>
      <c r="F18" s="2">
        <v>623</v>
      </c>
      <c r="G18" s="2">
        <v>650</v>
      </c>
      <c r="H18" s="2">
        <v>650</v>
      </c>
      <c r="I18" s="2">
        <v>650</v>
      </c>
      <c r="J18" s="2">
        <v>550</v>
      </c>
      <c r="K18" s="2">
        <v>550</v>
      </c>
      <c r="L18" s="2">
        <v>490</v>
      </c>
      <c r="M18" s="2">
        <v>500</v>
      </c>
      <c r="N18" s="2">
        <v>560</v>
      </c>
      <c r="O18" s="2">
        <v>560</v>
      </c>
      <c r="P18" s="2">
        <v>500</v>
      </c>
      <c r="Q18" s="2">
        <v>510</v>
      </c>
      <c r="R18" s="2">
        <v>355</v>
      </c>
      <c r="S18" s="2">
        <v>355</v>
      </c>
      <c r="T18" s="2">
        <v>450</v>
      </c>
      <c r="U18" s="2">
        <v>365</v>
      </c>
      <c r="V18" s="2">
        <v>430</v>
      </c>
      <c r="W18" s="2">
        <v>350</v>
      </c>
      <c r="X18" s="2">
        <v>490</v>
      </c>
      <c r="Y18" s="2">
        <v>550</v>
      </c>
      <c r="Z18" s="2">
        <v>500</v>
      </c>
      <c r="AA18" s="2">
        <v>500</v>
      </c>
      <c r="AB18" s="2">
        <v>590</v>
      </c>
      <c r="AC18" s="2">
        <v>436</v>
      </c>
      <c r="AD18" s="2">
        <v>610</v>
      </c>
      <c r="AE18" s="2">
        <v>650</v>
      </c>
      <c r="AF18" s="2">
        <v>550</v>
      </c>
    </row>
    <row r="19" spans="1:32">
      <c r="A19" t="s">
        <v>78</v>
      </c>
      <c r="B19">
        <v>542</v>
      </c>
      <c r="C19" s="2">
        <v>876</v>
      </c>
      <c r="D19" s="2">
        <v>681</v>
      </c>
      <c r="E19">
        <v>500</v>
      </c>
      <c r="F19" s="2">
        <v>500</v>
      </c>
      <c r="G19" s="2">
        <v>500</v>
      </c>
      <c r="H19" s="2">
        <v>500</v>
      </c>
      <c r="I19" s="2">
        <v>500</v>
      </c>
      <c r="J19" s="2">
        <v>600</v>
      </c>
      <c r="K19" s="2">
        <v>600</v>
      </c>
      <c r="L19" s="2">
        <v>660</v>
      </c>
      <c r="M19" s="2">
        <v>1250</v>
      </c>
      <c r="N19" s="2">
        <v>700</v>
      </c>
      <c r="O19" s="2">
        <v>720</v>
      </c>
      <c r="P19" s="2">
        <v>520</v>
      </c>
      <c r="Q19" s="2">
        <v>1158</v>
      </c>
      <c r="R19" s="2">
        <v>1023</v>
      </c>
      <c r="S19" s="2">
        <v>849</v>
      </c>
      <c r="T19" s="2">
        <v>890</v>
      </c>
      <c r="U19" s="2">
        <v>820</v>
      </c>
      <c r="V19" s="2">
        <v>860</v>
      </c>
      <c r="W19" s="2">
        <v>1000</v>
      </c>
      <c r="X19" s="2">
        <v>810</v>
      </c>
      <c r="Y19" s="2">
        <v>1010</v>
      </c>
      <c r="Z19" s="2">
        <v>630</v>
      </c>
      <c r="AA19" s="2">
        <v>630</v>
      </c>
      <c r="AB19" s="2">
        <v>1100</v>
      </c>
      <c r="AC19" s="2">
        <v>752</v>
      </c>
      <c r="AD19" s="2">
        <v>600</v>
      </c>
      <c r="AE19" s="2">
        <v>500</v>
      </c>
      <c r="AF19" s="2">
        <v>600</v>
      </c>
    </row>
    <row r="20" spans="1:32">
      <c r="A20" t="s">
        <v>79</v>
      </c>
      <c r="B20">
        <v>302</v>
      </c>
      <c r="C20" s="2">
        <v>266</v>
      </c>
      <c r="D20" s="2">
        <v>338</v>
      </c>
      <c r="E20">
        <v>400</v>
      </c>
      <c r="F20" s="2">
        <v>400</v>
      </c>
      <c r="G20" s="2">
        <v>400</v>
      </c>
      <c r="H20" s="2">
        <v>400</v>
      </c>
      <c r="I20" s="2">
        <v>400</v>
      </c>
      <c r="J20" s="2">
        <v>420</v>
      </c>
      <c r="K20" s="2">
        <v>420</v>
      </c>
      <c r="L20" s="2">
        <v>370</v>
      </c>
      <c r="M20" s="2">
        <v>360</v>
      </c>
      <c r="N20" s="2">
        <v>380</v>
      </c>
      <c r="O20" s="2">
        <v>380</v>
      </c>
      <c r="P20" s="2">
        <v>240</v>
      </c>
      <c r="Q20" s="2">
        <v>323</v>
      </c>
      <c r="R20" s="2">
        <v>229</v>
      </c>
      <c r="S20" s="2">
        <v>229</v>
      </c>
      <c r="T20" s="2">
        <v>350</v>
      </c>
      <c r="U20" s="2">
        <v>270</v>
      </c>
      <c r="V20" s="2">
        <v>300</v>
      </c>
      <c r="W20" s="2">
        <v>300</v>
      </c>
      <c r="X20" s="2">
        <v>400.6</v>
      </c>
      <c r="Y20" s="2">
        <v>415</v>
      </c>
      <c r="Z20" s="2">
        <v>224.5</v>
      </c>
      <c r="AA20" s="2">
        <v>286</v>
      </c>
      <c r="AB20" s="2">
        <v>350</v>
      </c>
      <c r="AC20" s="2">
        <v>341</v>
      </c>
      <c r="AD20" s="2">
        <v>4</v>
      </c>
      <c r="AE20" s="2">
        <v>400</v>
      </c>
      <c r="AF20" s="2">
        <v>420</v>
      </c>
    </row>
    <row r="21" spans="1:32">
      <c r="A21" t="s">
        <v>80</v>
      </c>
      <c r="B21">
        <v>0.66</v>
      </c>
      <c r="C21" s="2">
        <v>2.16</v>
      </c>
      <c r="D21" s="2">
        <v>1.3</v>
      </c>
      <c r="E21">
        <v>1.5</v>
      </c>
      <c r="F21" s="2">
        <v>1.5</v>
      </c>
      <c r="G21" s="2">
        <v>1.5</v>
      </c>
      <c r="H21" s="2">
        <v>1.5</v>
      </c>
      <c r="I21" s="2">
        <v>1.5</v>
      </c>
      <c r="J21" s="2">
        <v>2.6</v>
      </c>
      <c r="K21" s="2">
        <v>2.6</v>
      </c>
      <c r="L21" s="2">
        <v>1.7</v>
      </c>
      <c r="M21" s="2">
        <v>0.96</v>
      </c>
      <c r="N21" s="2">
        <v>0.7</v>
      </c>
      <c r="O21" s="2">
        <v>0.7</v>
      </c>
      <c r="P21" s="2">
        <v>1.4</v>
      </c>
      <c r="Q21" s="2">
        <v>0.7</v>
      </c>
      <c r="R21" s="2">
        <v>0.7</v>
      </c>
      <c r="S21" s="2">
        <v>0.7</v>
      </c>
      <c r="T21" s="2">
        <v>2</v>
      </c>
      <c r="U21" s="2">
        <v>1.9</v>
      </c>
      <c r="V21" s="2">
        <v>1.56</v>
      </c>
      <c r="W21" s="2">
        <v>1.5</v>
      </c>
      <c r="X21" s="2">
        <v>3.6</v>
      </c>
      <c r="Y21" s="2">
        <v>2</v>
      </c>
      <c r="Z21" s="2">
        <v>1</v>
      </c>
      <c r="AA21" s="2">
        <v>1</v>
      </c>
      <c r="AB21" s="2">
        <v>1</v>
      </c>
      <c r="AC21" s="2">
        <v>2.2400000000000002</v>
      </c>
      <c r="AD21" s="2">
        <v>1.5</v>
      </c>
      <c r="AE21" s="2">
        <v>1.5</v>
      </c>
      <c r="AF21" s="2">
        <v>2.6</v>
      </c>
    </row>
    <row r="22" spans="1:32">
      <c r="A22" t="s">
        <v>81</v>
      </c>
      <c r="B22">
        <v>2720</v>
      </c>
      <c r="C22" s="2">
        <v>2787</v>
      </c>
      <c r="D22" s="2">
        <v>2967</v>
      </c>
      <c r="E22">
        <v>4100</v>
      </c>
      <c r="F22" s="2">
        <v>4100</v>
      </c>
      <c r="G22" s="2">
        <v>4100</v>
      </c>
      <c r="H22" s="2">
        <v>4100</v>
      </c>
      <c r="I22" s="2">
        <v>4100</v>
      </c>
      <c r="J22" s="2">
        <v>4000</v>
      </c>
      <c r="K22" s="2">
        <v>4000</v>
      </c>
      <c r="L22" s="2">
        <v>3600</v>
      </c>
      <c r="M22" s="2">
        <v>5400</v>
      </c>
      <c r="N22" s="2">
        <v>3500</v>
      </c>
      <c r="O22" s="2">
        <v>3550</v>
      </c>
      <c r="P22" s="2">
        <v>3400</v>
      </c>
      <c r="Q22" s="2">
        <v>3280</v>
      </c>
      <c r="R22" s="2">
        <v>3340</v>
      </c>
      <c r="S22" s="2">
        <v>3340</v>
      </c>
      <c r="T22" s="2">
        <v>3300</v>
      </c>
      <c r="U22" s="2">
        <v>3310</v>
      </c>
      <c r="V22" s="2">
        <v>3300</v>
      </c>
      <c r="W22" s="2">
        <v>3600</v>
      </c>
      <c r="X22" s="2">
        <v>3303</v>
      </c>
      <c r="Y22" s="2">
        <v>3700</v>
      </c>
      <c r="Z22" s="2">
        <v>3000</v>
      </c>
      <c r="AA22" s="2">
        <v>3000</v>
      </c>
      <c r="AB22" s="2">
        <v>4100</v>
      </c>
      <c r="AC22" s="2">
        <v>4891</v>
      </c>
      <c r="AD22" s="2">
        <v>4100</v>
      </c>
      <c r="AE22" s="2">
        <v>4100</v>
      </c>
      <c r="AF22" s="2">
        <v>4000</v>
      </c>
    </row>
    <row r="23" spans="1:32">
      <c r="A23" t="s">
        <v>82</v>
      </c>
      <c r="B23">
        <v>86.4</v>
      </c>
      <c r="C23" s="2">
        <v>80</v>
      </c>
      <c r="D23" s="2">
        <v>105</v>
      </c>
      <c r="E23">
        <v>67</v>
      </c>
      <c r="F23" s="2">
        <v>90</v>
      </c>
      <c r="G23" s="2">
        <v>67</v>
      </c>
      <c r="H23" s="2">
        <v>67</v>
      </c>
      <c r="I23" s="2">
        <v>67</v>
      </c>
      <c r="J23" s="2">
        <v>79</v>
      </c>
      <c r="K23" s="2">
        <v>79</v>
      </c>
      <c r="L23" s="2">
        <v>95</v>
      </c>
      <c r="M23" s="2">
        <v>81</v>
      </c>
      <c r="N23" s="2">
        <v>77</v>
      </c>
      <c r="O23" s="2">
        <v>79</v>
      </c>
      <c r="P23" s="2">
        <v>95</v>
      </c>
      <c r="Q23" s="2">
        <v>135</v>
      </c>
      <c r="R23" s="2">
        <v>141</v>
      </c>
      <c r="S23" s="2">
        <v>146</v>
      </c>
      <c r="T23" s="2">
        <v>90</v>
      </c>
      <c r="U23" s="2">
        <v>132</v>
      </c>
      <c r="V23" s="2">
        <v>91</v>
      </c>
      <c r="W23" s="2">
        <v>80</v>
      </c>
      <c r="X23" s="2">
        <v>70</v>
      </c>
      <c r="Y23" s="2">
        <v>75</v>
      </c>
      <c r="Z23" s="2">
        <v>78.3</v>
      </c>
      <c r="AA23" s="2">
        <v>70</v>
      </c>
      <c r="AB23" s="2">
        <v>90</v>
      </c>
      <c r="AC23" s="2">
        <v>75</v>
      </c>
      <c r="AD23" s="2">
        <v>72</v>
      </c>
      <c r="AE23" s="2">
        <v>67</v>
      </c>
      <c r="AF23" s="2">
        <v>79</v>
      </c>
    </row>
    <row r="24" spans="1:32">
      <c r="A24" t="s">
        <v>83</v>
      </c>
      <c r="B24">
        <v>2274</v>
      </c>
      <c r="C24" s="2">
        <v>3080</v>
      </c>
      <c r="D24" s="2">
        <v>2946</v>
      </c>
      <c r="E24">
        <v>3050</v>
      </c>
      <c r="F24" s="2">
        <v>3000</v>
      </c>
      <c r="G24" s="2">
        <v>3050</v>
      </c>
      <c r="H24" s="2">
        <v>3050</v>
      </c>
      <c r="I24" s="2">
        <v>3050</v>
      </c>
      <c r="J24" s="2">
        <v>2850</v>
      </c>
      <c r="K24" s="2">
        <v>2850</v>
      </c>
      <c r="L24" s="2">
        <v>5000</v>
      </c>
      <c r="M24" s="2">
        <v>4800</v>
      </c>
      <c r="N24" s="2">
        <v>2600</v>
      </c>
      <c r="O24" s="2">
        <v>2650</v>
      </c>
      <c r="P24" s="2">
        <v>3400</v>
      </c>
      <c r="Q24" s="2">
        <v>3380</v>
      </c>
      <c r="R24" s="2">
        <v>3340</v>
      </c>
      <c r="S24" s="2">
        <v>3010</v>
      </c>
      <c r="T24" s="2">
        <v>3400</v>
      </c>
      <c r="U24" s="2">
        <v>3610</v>
      </c>
      <c r="V24" s="2">
        <v>2900</v>
      </c>
      <c r="W24" s="2">
        <v>2400</v>
      </c>
      <c r="X24" s="2">
        <v>2792</v>
      </c>
      <c r="Y24" s="2">
        <v>3500</v>
      </c>
      <c r="Z24" s="2">
        <v>280</v>
      </c>
      <c r="AA24" s="2">
        <v>2800</v>
      </c>
      <c r="AB24" s="2">
        <v>3700</v>
      </c>
      <c r="AC24" s="2">
        <v>3550</v>
      </c>
      <c r="AD24" s="2">
        <v>3022</v>
      </c>
      <c r="AE24" s="2">
        <v>3050</v>
      </c>
      <c r="AF24" s="2">
        <v>2850</v>
      </c>
    </row>
    <row r="25" spans="1:32">
      <c r="A25" t="s">
        <v>84</v>
      </c>
      <c r="B25">
        <v>64</v>
      </c>
      <c r="C25" s="2">
        <v>76</v>
      </c>
      <c r="D25" s="2">
        <v>129</v>
      </c>
      <c r="E25">
        <v>70</v>
      </c>
      <c r="F25" s="2">
        <v>72</v>
      </c>
      <c r="G25" s="2">
        <v>70</v>
      </c>
      <c r="H25" s="2">
        <v>70</v>
      </c>
      <c r="I25" s="2">
        <v>70</v>
      </c>
      <c r="J25" s="2">
        <v>65</v>
      </c>
      <c r="K25" s="2">
        <v>65</v>
      </c>
      <c r="L25" s="2">
        <v>100</v>
      </c>
      <c r="M25" s="2">
        <v>69</v>
      </c>
      <c r="N25" s="2">
        <v>70</v>
      </c>
      <c r="O25" s="2">
        <v>70</v>
      </c>
      <c r="P25" s="2">
        <v>80</v>
      </c>
      <c r="Q25" s="2">
        <v>105</v>
      </c>
      <c r="R25" s="2">
        <v>66</v>
      </c>
      <c r="S25" s="2">
        <v>65</v>
      </c>
      <c r="T25" s="2">
        <v>66</v>
      </c>
      <c r="U25" s="2">
        <v>68</v>
      </c>
      <c r="V25" s="2">
        <v>91</v>
      </c>
      <c r="W25" s="2">
        <v>100</v>
      </c>
      <c r="X25" s="2">
        <v>66.099999999999994</v>
      </c>
      <c r="Y25" s="2">
        <v>145</v>
      </c>
      <c r="Z25" s="2">
        <v>150</v>
      </c>
      <c r="AA25" s="2">
        <v>70</v>
      </c>
      <c r="AB25" s="2">
        <v>85</v>
      </c>
      <c r="AC25" s="2">
        <v>102</v>
      </c>
      <c r="AD25" s="2">
        <v>71</v>
      </c>
      <c r="AE25" s="2">
        <v>70</v>
      </c>
      <c r="AF25" s="2">
        <v>65</v>
      </c>
    </row>
    <row r="26" spans="1:32">
      <c r="A26" t="s">
        <v>85</v>
      </c>
      <c r="B26">
        <v>9.6</v>
      </c>
      <c r="C26" s="2">
        <v>11.3</v>
      </c>
      <c r="D26" s="2">
        <v>15.3</v>
      </c>
      <c r="E26">
        <v>16</v>
      </c>
      <c r="F26" s="2">
        <v>16</v>
      </c>
      <c r="G26" s="2">
        <v>16</v>
      </c>
      <c r="H26" s="2">
        <v>16</v>
      </c>
      <c r="I26" s="2">
        <v>16</v>
      </c>
      <c r="J26" s="2">
        <v>16</v>
      </c>
      <c r="K26" s="2">
        <v>16</v>
      </c>
      <c r="L26" s="2">
        <v>20</v>
      </c>
      <c r="M26" s="2">
        <v>9.6999999999999993</v>
      </c>
      <c r="N26" s="2">
        <v>13</v>
      </c>
      <c r="O26" s="2">
        <v>13</v>
      </c>
      <c r="P26" s="2">
        <v>12</v>
      </c>
      <c r="Q26" s="2">
        <v>10.5</v>
      </c>
      <c r="R26" s="2">
        <v>10.5</v>
      </c>
      <c r="S26" s="2">
        <v>10.3</v>
      </c>
      <c r="T26" s="2">
        <v>20</v>
      </c>
      <c r="U26" s="2">
        <v>16</v>
      </c>
      <c r="V26" s="2">
        <v>13.6</v>
      </c>
      <c r="W26" s="2">
        <v>13.5</v>
      </c>
      <c r="X26" s="2">
        <v>17</v>
      </c>
      <c r="Y26" s="2">
        <v>22.5</v>
      </c>
      <c r="Z26" s="2">
        <v>12</v>
      </c>
      <c r="AA26" s="2">
        <v>12</v>
      </c>
      <c r="AB26" s="2">
        <v>20</v>
      </c>
      <c r="AC26" s="2">
        <v>22.6</v>
      </c>
      <c r="AD26" s="2">
        <v>15</v>
      </c>
      <c r="AE26" s="2">
        <v>16</v>
      </c>
      <c r="AF26" s="2">
        <v>16</v>
      </c>
    </row>
    <row r="27" spans="1:32">
      <c r="A27" t="s">
        <v>86</v>
      </c>
      <c r="B27">
        <v>134.1</v>
      </c>
      <c r="C27" s="2">
        <v>195</v>
      </c>
      <c r="D27" s="2">
        <v>183</v>
      </c>
      <c r="E27">
        <v>175</v>
      </c>
      <c r="F27" s="2">
        <v>175</v>
      </c>
      <c r="G27" s="2">
        <v>175</v>
      </c>
      <c r="H27" s="2">
        <v>175</v>
      </c>
      <c r="I27" s="2">
        <v>175</v>
      </c>
      <c r="J27" s="2">
        <v>189.3</v>
      </c>
      <c r="K27" s="2">
        <v>189.3</v>
      </c>
      <c r="L27" s="2">
        <v>160</v>
      </c>
      <c r="M27" s="2">
        <v>195</v>
      </c>
      <c r="N27" s="2">
        <v>187</v>
      </c>
      <c r="O27" s="2">
        <v>190</v>
      </c>
      <c r="P27" s="2">
        <v>176</v>
      </c>
      <c r="Q27" s="2">
        <v>157</v>
      </c>
      <c r="R27" s="2">
        <v>152</v>
      </c>
      <c r="S27" s="2">
        <v>152</v>
      </c>
      <c r="T27" s="2">
        <v>150</v>
      </c>
      <c r="U27" s="2">
        <v>150</v>
      </c>
      <c r="V27" s="2">
        <v>141</v>
      </c>
      <c r="W27" s="2">
        <v>150</v>
      </c>
      <c r="X27" s="2">
        <v>160</v>
      </c>
      <c r="Y27" s="2">
        <v>165</v>
      </c>
      <c r="Z27" s="2">
        <v>190</v>
      </c>
      <c r="AA27" s="2">
        <v>136</v>
      </c>
      <c r="AB27" s="2">
        <v>158</v>
      </c>
      <c r="AC27" s="2">
        <v>199</v>
      </c>
      <c r="AD27" s="2">
        <v>175</v>
      </c>
      <c r="AE27" s="2">
        <v>175</v>
      </c>
      <c r="AF27" s="2">
        <v>189.3</v>
      </c>
    </row>
    <row r="28" spans="1:32">
      <c r="A28" t="s">
        <v>87</v>
      </c>
      <c r="B28">
        <v>441</v>
      </c>
      <c r="C28" s="2">
        <v>593</v>
      </c>
      <c r="D28" s="2">
        <v>444</v>
      </c>
      <c r="E28">
        <v>385</v>
      </c>
      <c r="F28" s="2">
        <v>400</v>
      </c>
      <c r="G28" s="2">
        <v>385</v>
      </c>
      <c r="H28" s="2">
        <v>385</v>
      </c>
      <c r="I28" s="2">
        <v>385</v>
      </c>
      <c r="J28" s="2">
        <v>466</v>
      </c>
      <c r="K28" s="2">
        <v>466</v>
      </c>
      <c r="L28" s="2">
        <v>550</v>
      </c>
      <c r="M28" s="2">
        <v>570</v>
      </c>
      <c r="N28" s="2">
        <v>555</v>
      </c>
      <c r="O28" s="2">
        <v>500</v>
      </c>
      <c r="P28" s="2">
        <v>575</v>
      </c>
      <c r="Q28" s="2">
        <v>397</v>
      </c>
      <c r="R28" s="2">
        <v>388</v>
      </c>
      <c r="S28" s="2">
        <v>413</v>
      </c>
      <c r="T28" s="2">
        <v>380</v>
      </c>
      <c r="U28" s="2">
        <v>371</v>
      </c>
      <c r="V28" s="2">
        <v>560</v>
      </c>
      <c r="W28" s="2">
        <v>520</v>
      </c>
      <c r="X28" s="2">
        <v>405</v>
      </c>
      <c r="Y28" s="2">
        <v>540</v>
      </c>
      <c r="Z28" s="2">
        <v>465</v>
      </c>
      <c r="AA28" s="2">
        <v>450</v>
      </c>
      <c r="AB28" s="2">
        <v>522</v>
      </c>
      <c r="AC28" s="2">
        <v>677</v>
      </c>
      <c r="AD28" s="2">
        <v>400</v>
      </c>
      <c r="AE28" s="2">
        <v>385</v>
      </c>
      <c r="AF28" s="2">
        <v>466</v>
      </c>
    </row>
    <row r="29" spans="1:32">
      <c r="A29" t="s">
        <v>88</v>
      </c>
      <c r="B29">
        <v>302</v>
      </c>
      <c r="C29" s="2">
        <v>376</v>
      </c>
      <c r="D29" s="2">
        <v>373</v>
      </c>
      <c r="E29">
        <v>350</v>
      </c>
      <c r="F29" s="2">
        <v>350</v>
      </c>
      <c r="G29" s="2">
        <v>350</v>
      </c>
      <c r="H29" s="2">
        <v>350</v>
      </c>
      <c r="I29" s="2">
        <v>350</v>
      </c>
      <c r="J29" s="2">
        <v>386.1</v>
      </c>
      <c r="K29" s="2">
        <v>386.1</v>
      </c>
      <c r="L29" s="2">
        <v>370</v>
      </c>
      <c r="M29" s="2">
        <v>440</v>
      </c>
      <c r="N29" s="2">
        <v>380</v>
      </c>
      <c r="O29" s="2">
        <v>389</v>
      </c>
      <c r="P29" s="2">
        <v>300</v>
      </c>
      <c r="Q29" s="2">
        <v>350</v>
      </c>
      <c r="R29" s="2">
        <v>350</v>
      </c>
      <c r="S29" s="2">
        <v>350</v>
      </c>
      <c r="T29" s="2">
        <v>320</v>
      </c>
      <c r="U29" s="2">
        <v>360</v>
      </c>
      <c r="V29" s="2">
        <v>330</v>
      </c>
      <c r="W29" s="2">
        <v>330</v>
      </c>
      <c r="X29" s="2">
        <v>319.7</v>
      </c>
      <c r="Y29" s="2">
        <v>365</v>
      </c>
      <c r="Z29" s="2">
        <v>381</v>
      </c>
      <c r="AA29" s="2">
        <v>240</v>
      </c>
      <c r="AB29" s="2">
        <v>340</v>
      </c>
      <c r="AC29" s="2">
        <v>384</v>
      </c>
      <c r="AD29" s="2">
        <v>360</v>
      </c>
      <c r="AE29" s="2">
        <v>350</v>
      </c>
      <c r="AF29" s="2">
        <v>386.1</v>
      </c>
    </row>
    <row r="30" spans="1:32">
      <c r="A30" t="s">
        <v>89</v>
      </c>
      <c r="B30">
        <v>36.1</v>
      </c>
      <c r="C30" s="2">
        <v>36</v>
      </c>
      <c r="D30" s="2">
        <v>38</v>
      </c>
      <c r="E30">
        <v>32</v>
      </c>
      <c r="F30" s="2">
        <v>31</v>
      </c>
      <c r="G30" s="2">
        <v>32</v>
      </c>
      <c r="H30" s="2">
        <v>32</v>
      </c>
      <c r="I30" s="2">
        <v>32</v>
      </c>
      <c r="J30" s="2">
        <v>32</v>
      </c>
      <c r="K30" s="2">
        <v>32</v>
      </c>
      <c r="L30" s="2">
        <v>48</v>
      </c>
      <c r="M30" s="2">
        <v>52</v>
      </c>
      <c r="N30" s="2">
        <v>48</v>
      </c>
      <c r="O30" s="2">
        <v>46</v>
      </c>
      <c r="P30" s="2">
        <v>35</v>
      </c>
      <c r="Q30" s="2">
        <v>33</v>
      </c>
      <c r="R30" s="2">
        <v>32</v>
      </c>
      <c r="S30" s="2">
        <v>33</v>
      </c>
      <c r="T30" s="2">
        <v>31</v>
      </c>
      <c r="U30" s="2">
        <v>37</v>
      </c>
      <c r="V30" s="2">
        <v>40</v>
      </c>
      <c r="W30" s="2">
        <v>38</v>
      </c>
      <c r="X30" s="2">
        <v>30.1</v>
      </c>
      <c r="Y30" s="2">
        <v>48</v>
      </c>
      <c r="Z30" s="2">
        <v>30</v>
      </c>
      <c r="AA30" s="2">
        <v>30</v>
      </c>
      <c r="AB30" s="2">
        <v>50</v>
      </c>
      <c r="AC30" s="2">
        <v>38.1</v>
      </c>
      <c r="AD30" s="2">
        <v>30</v>
      </c>
      <c r="AE30" s="2">
        <v>32</v>
      </c>
      <c r="AF30" s="2">
        <v>32</v>
      </c>
    </row>
    <row r="31" spans="1:32">
      <c r="A31" t="s">
        <v>90</v>
      </c>
      <c r="B31">
        <v>4</v>
      </c>
      <c r="C31" s="2">
        <v>3.4</v>
      </c>
      <c r="D31" s="2">
        <v>3.6</v>
      </c>
      <c r="E31">
        <v>5</v>
      </c>
      <c r="F31" s="2">
        <v>5</v>
      </c>
      <c r="G31" s="2">
        <v>5</v>
      </c>
      <c r="H31" s="2">
        <v>5</v>
      </c>
      <c r="I31" s="2">
        <v>5</v>
      </c>
      <c r="J31" s="2">
        <v>4.75</v>
      </c>
      <c r="K31" s="2">
        <v>4.75</v>
      </c>
      <c r="L31" s="2">
        <v>6</v>
      </c>
      <c r="M31" s="2">
        <v>5.3</v>
      </c>
      <c r="N31" s="2">
        <v>5</v>
      </c>
      <c r="O31" s="2">
        <v>5.0999999999999996</v>
      </c>
      <c r="P31" s="2">
        <v>4.5</v>
      </c>
      <c r="Q31" s="2">
        <v>3</v>
      </c>
      <c r="R31" s="2">
        <v>3</v>
      </c>
      <c r="S31" s="2">
        <v>3.5</v>
      </c>
      <c r="T31" s="2">
        <v>4</v>
      </c>
      <c r="U31" s="2">
        <v>3.3</v>
      </c>
      <c r="V31" s="2">
        <v>5</v>
      </c>
      <c r="W31" s="2">
        <v>5</v>
      </c>
      <c r="X31" s="2">
        <v>4.2</v>
      </c>
      <c r="Y31" s="2">
        <v>5.5</v>
      </c>
      <c r="Z31" s="2">
        <v>4</v>
      </c>
      <c r="AA31" s="2">
        <v>4</v>
      </c>
      <c r="AB31" s="2">
        <v>5.5</v>
      </c>
      <c r="AC31" s="2">
        <v>6.25</v>
      </c>
      <c r="AD31" s="2">
        <v>4.5</v>
      </c>
      <c r="AE31" s="2">
        <v>5</v>
      </c>
      <c r="AF31" s="2">
        <v>4.75</v>
      </c>
    </row>
    <row r="32" spans="1:32">
      <c r="A32" t="s">
        <v>91</v>
      </c>
      <c r="B32">
        <v>3.42</v>
      </c>
      <c r="C32">
        <v>3.32</v>
      </c>
      <c r="D32" s="2">
        <v>3.3</v>
      </c>
      <c r="E32">
        <v>4.5</v>
      </c>
      <c r="F32" s="2">
        <v>4.5</v>
      </c>
      <c r="G32" s="2">
        <v>4.5</v>
      </c>
      <c r="H32" s="2">
        <v>4.5</v>
      </c>
      <c r="I32" s="2">
        <v>4.5</v>
      </c>
      <c r="J32" s="2">
        <v>3.77</v>
      </c>
      <c r="K32" s="2">
        <v>3.77</v>
      </c>
      <c r="L32" s="2">
        <v>4.5999999999999996</v>
      </c>
      <c r="M32" s="2">
        <v>5</v>
      </c>
      <c r="N32" s="2">
        <v>3.3</v>
      </c>
      <c r="O32" s="2">
        <v>3.5</v>
      </c>
      <c r="P32" s="2">
        <v>4.9000000000000004</v>
      </c>
      <c r="Q32" s="2">
        <v>3.2</v>
      </c>
      <c r="R32" s="2">
        <v>3.2</v>
      </c>
      <c r="S32" s="2">
        <v>3.2</v>
      </c>
      <c r="T32" s="2">
        <v>3</v>
      </c>
      <c r="U32" s="2">
        <v>3.2</v>
      </c>
      <c r="V32" s="2">
        <v>4</v>
      </c>
      <c r="W32" s="2">
        <v>4.5</v>
      </c>
      <c r="X32" s="2">
        <v>3.8</v>
      </c>
      <c r="Y32" s="2">
        <v>5.0999999999999996</v>
      </c>
      <c r="Z32" s="2">
        <v>4</v>
      </c>
      <c r="AA32" s="2">
        <v>4</v>
      </c>
      <c r="AB32" s="2">
        <v>460</v>
      </c>
      <c r="AC32" s="2">
        <v>4.12</v>
      </c>
      <c r="AD32" s="2">
        <v>4</v>
      </c>
      <c r="AE32" s="2">
        <v>4.5</v>
      </c>
      <c r="AF32" s="2">
        <v>3.77</v>
      </c>
    </row>
    <row r="33" spans="1:32">
      <c r="A33" t="s">
        <v>92</v>
      </c>
      <c r="B33">
        <v>58</v>
      </c>
      <c r="C33" s="2">
        <v>35</v>
      </c>
      <c r="D33" s="2">
        <v>65</v>
      </c>
      <c r="E33">
        <v>40</v>
      </c>
      <c r="F33" s="2">
        <v>43</v>
      </c>
      <c r="G33" s="2">
        <v>40</v>
      </c>
      <c r="H33" s="2">
        <v>40</v>
      </c>
      <c r="I33" s="2">
        <v>40</v>
      </c>
      <c r="J33" s="2">
        <v>50</v>
      </c>
      <c r="K33" s="2">
        <v>50</v>
      </c>
      <c r="L33" s="2">
        <v>115</v>
      </c>
      <c r="M33" s="2">
        <v>95</v>
      </c>
      <c r="N33" s="2">
        <v>110</v>
      </c>
      <c r="O33" s="2">
        <v>115</v>
      </c>
      <c r="P33" s="2">
        <v>130</v>
      </c>
      <c r="Q33" s="2">
        <v>59</v>
      </c>
      <c r="R33" s="2">
        <v>60</v>
      </c>
      <c r="S33" s="2">
        <v>80</v>
      </c>
      <c r="T33" s="2">
        <v>50</v>
      </c>
      <c r="U33" s="2">
        <v>60</v>
      </c>
      <c r="V33" s="2">
        <v>91</v>
      </c>
      <c r="W33" s="2">
        <v>85</v>
      </c>
      <c r="X33" s="2">
        <v>34</v>
      </c>
      <c r="Y33" s="2">
        <v>320</v>
      </c>
      <c r="Z33" s="2">
        <v>36</v>
      </c>
      <c r="AA33" s="2">
        <v>36</v>
      </c>
      <c r="AB33" s="2">
        <v>75</v>
      </c>
      <c r="AC33" s="2">
        <v>98</v>
      </c>
      <c r="AD33" s="2">
        <v>43</v>
      </c>
      <c r="AE33" s="2">
        <v>40</v>
      </c>
      <c r="AF33" s="2">
        <v>50</v>
      </c>
    </row>
    <row r="34" spans="1:32">
      <c r="A34" t="s">
        <v>93</v>
      </c>
      <c r="B34">
        <v>355</v>
      </c>
      <c r="C34" s="2">
        <v>339</v>
      </c>
      <c r="D34" s="2">
        <v>354</v>
      </c>
      <c r="E34">
        <v>350</v>
      </c>
      <c r="F34" s="2">
        <v>360</v>
      </c>
      <c r="G34" s="2">
        <v>350</v>
      </c>
      <c r="H34" s="2">
        <v>350</v>
      </c>
      <c r="I34" s="2">
        <v>350</v>
      </c>
      <c r="J34" s="2">
        <v>350</v>
      </c>
      <c r="K34" s="2">
        <v>350</v>
      </c>
      <c r="L34" s="2">
        <v>400</v>
      </c>
      <c r="M34" s="2">
        <v>345</v>
      </c>
      <c r="N34" s="2">
        <v>500</v>
      </c>
      <c r="O34" s="2">
        <v>500</v>
      </c>
      <c r="P34" s="2">
        <v>330</v>
      </c>
      <c r="Q34" s="2">
        <v>273</v>
      </c>
      <c r="R34" s="2">
        <v>283</v>
      </c>
      <c r="S34" s="2">
        <v>289</v>
      </c>
      <c r="T34" s="2">
        <v>346</v>
      </c>
      <c r="U34" s="2">
        <v>293</v>
      </c>
      <c r="V34" s="2">
        <v>400</v>
      </c>
      <c r="W34" s="2">
        <v>380</v>
      </c>
      <c r="X34" s="2">
        <v>380</v>
      </c>
      <c r="Y34" s="2">
        <v>390</v>
      </c>
      <c r="Z34" s="2">
        <v>300</v>
      </c>
      <c r="AA34" s="2">
        <v>300</v>
      </c>
      <c r="AB34" s="2">
        <v>385</v>
      </c>
      <c r="AC34" s="2">
        <v>414</v>
      </c>
      <c r="AD34" s="2">
        <v>350</v>
      </c>
      <c r="AE34" s="2">
        <v>350</v>
      </c>
      <c r="AF34" s="2">
        <v>350</v>
      </c>
    </row>
    <row r="35" spans="1:32">
      <c r="A35" t="s">
        <v>94</v>
      </c>
      <c r="B35">
        <v>254</v>
      </c>
      <c r="C35" s="2">
        <v>241</v>
      </c>
      <c r="D35" s="2">
        <v>233</v>
      </c>
      <c r="E35">
        <v>200</v>
      </c>
      <c r="F35" s="2">
        <v>210</v>
      </c>
      <c r="G35" s="2">
        <v>200</v>
      </c>
      <c r="H35" s="2">
        <v>200</v>
      </c>
      <c r="I35" s="2">
        <v>200</v>
      </c>
      <c r="J35" s="2">
        <v>220</v>
      </c>
      <c r="K35" s="2">
        <v>220</v>
      </c>
      <c r="L35" s="2">
        <v>230</v>
      </c>
      <c r="M35" s="2">
        <v>192</v>
      </c>
      <c r="N35" s="2">
        <v>320</v>
      </c>
      <c r="O35" s="2">
        <v>320</v>
      </c>
      <c r="P35" s="2">
        <v>195</v>
      </c>
      <c r="Q35" s="2">
        <v>203</v>
      </c>
      <c r="R35" s="2">
        <v>200</v>
      </c>
      <c r="S35" s="2">
        <v>200</v>
      </c>
      <c r="T35" s="2">
        <v>225</v>
      </c>
      <c r="U35" s="2">
        <v>204</v>
      </c>
      <c r="V35" s="2">
        <v>240</v>
      </c>
      <c r="W35" s="2">
        <v>230</v>
      </c>
      <c r="X35" s="2">
        <v>240</v>
      </c>
      <c r="Y35" s="2">
        <v>260</v>
      </c>
      <c r="Z35" s="2">
        <v>200</v>
      </c>
      <c r="AA35" s="2">
        <v>200</v>
      </c>
      <c r="AB35" s="2">
        <v>242</v>
      </c>
      <c r="AC35" s="2">
        <v>331</v>
      </c>
      <c r="AD35" s="2">
        <v>210</v>
      </c>
      <c r="AE35" s="2">
        <v>200</v>
      </c>
      <c r="AF35" s="2">
        <v>220</v>
      </c>
    </row>
    <row r="36" spans="1:32">
      <c r="A36" t="s">
        <v>95</v>
      </c>
      <c r="B36">
        <v>72.8</v>
      </c>
      <c r="C36" s="2">
        <v>94</v>
      </c>
      <c r="D36" s="2">
        <v>145</v>
      </c>
      <c r="E36">
        <v>106</v>
      </c>
      <c r="F36" s="2">
        <v>106</v>
      </c>
      <c r="G36" s="2">
        <v>106</v>
      </c>
      <c r="H36" s="2">
        <v>106</v>
      </c>
      <c r="I36" s="2">
        <v>106</v>
      </c>
      <c r="J36" s="2">
        <v>98</v>
      </c>
      <c r="K36" s="2">
        <v>98</v>
      </c>
      <c r="L36" s="2">
        <v>95</v>
      </c>
      <c r="M36" s="2">
        <v>68</v>
      </c>
      <c r="N36" s="2">
        <v>96</v>
      </c>
      <c r="O36" s="2">
        <v>98</v>
      </c>
      <c r="P36" s="2">
        <v>106</v>
      </c>
      <c r="Q36" s="2">
        <v>105</v>
      </c>
      <c r="R36" s="2">
        <v>105</v>
      </c>
      <c r="S36" s="2">
        <v>105</v>
      </c>
      <c r="T36" s="2">
        <v>90</v>
      </c>
      <c r="U36" s="2">
        <v>94</v>
      </c>
      <c r="V36" s="2">
        <v>86</v>
      </c>
      <c r="W36" s="2">
        <v>85</v>
      </c>
      <c r="X36" s="2">
        <v>75</v>
      </c>
      <c r="Y36" s="2">
        <v>70</v>
      </c>
      <c r="Z36" s="2">
        <v>96.9</v>
      </c>
      <c r="AA36" s="2">
        <v>70</v>
      </c>
      <c r="AB36" s="2">
        <v>90</v>
      </c>
      <c r="AC36" s="2">
        <v>99.3</v>
      </c>
      <c r="AD36" s="2">
        <v>106</v>
      </c>
      <c r="AE36" s="2">
        <v>106</v>
      </c>
      <c r="AF36" s="2">
        <v>98</v>
      </c>
    </row>
    <row r="37" spans="1:32">
      <c r="A37" t="s">
        <v>96</v>
      </c>
      <c r="B37">
        <v>316</v>
      </c>
      <c r="C37" s="2">
        <v>424</v>
      </c>
      <c r="D37" s="2">
        <v>313</v>
      </c>
      <c r="E37">
        <v>280</v>
      </c>
      <c r="F37" s="2">
        <v>297</v>
      </c>
      <c r="G37" s="2">
        <v>280</v>
      </c>
      <c r="H37" s="2">
        <v>280</v>
      </c>
      <c r="I37" s="2">
        <v>280</v>
      </c>
      <c r="J37" s="2">
        <v>325</v>
      </c>
      <c r="K37" s="2">
        <v>325</v>
      </c>
      <c r="L37" s="2">
        <v>320</v>
      </c>
      <c r="M37" s="2">
        <v>380</v>
      </c>
      <c r="N37" s="2">
        <v>320</v>
      </c>
      <c r="O37" s="2">
        <v>326</v>
      </c>
      <c r="P37" s="2">
        <v>345</v>
      </c>
      <c r="Q37" s="2">
        <v>350</v>
      </c>
      <c r="R37" s="2">
        <v>360</v>
      </c>
      <c r="S37" s="2">
        <v>360</v>
      </c>
      <c r="T37" s="2">
        <v>350</v>
      </c>
      <c r="U37" s="2">
        <v>400</v>
      </c>
      <c r="V37" s="2">
        <v>330</v>
      </c>
      <c r="W37" s="2">
        <v>320</v>
      </c>
      <c r="X37" s="2">
        <v>318</v>
      </c>
      <c r="Y37" s="2">
        <v>340</v>
      </c>
      <c r="Z37" s="2">
        <v>330</v>
      </c>
      <c r="AA37" s="2">
        <v>330</v>
      </c>
      <c r="AB37" s="2">
        <v>333</v>
      </c>
      <c r="AC37" s="2">
        <v>331</v>
      </c>
      <c r="AD37" s="2">
        <v>300</v>
      </c>
      <c r="AE37" s="2">
        <v>280</v>
      </c>
      <c r="AF37" s="2">
        <v>325</v>
      </c>
    </row>
    <row r="38" spans="1:32">
      <c r="A38" t="s">
        <v>97</v>
      </c>
      <c r="B38">
        <v>13</v>
      </c>
      <c r="C38" s="2">
        <v>17.100000000000001</v>
      </c>
      <c r="D38" s="2">
        <v>18.8</v>
      </c>
      <c r="E38">
        <v>19</v>
      </c>
      <c r="F38" s="2">
        <v>19</v>
      </c>
      <c r="G38" s="2">
        <v>19</v>
      </c>
      <c r="H38" s="2">
        <v>19</v>
      </c>
      <c r="I38" s="2">
        <v>19</v>
      </c>
      <c r="J38" s="2">
        <v>19.5</v>
      </c>
      <c r="K38" s="2">
        <v>19.5</v>
      </c>
      <c r="L38" s="2">
        <v>19</v>
      </c>
      <c r="M38" s="2">
        <v>16</v>
      </c>
      <c r="N38" s="2">
        <v>20</v>
      </c>
      <c r="O38" s="2">
        <v>19.600000000000001</v>
      </c>
      <c r="P38" s="2">
        <v>15</v>
      </c>
      <c r="Q38" s="2">
        <v>16</v>
      </c>
      <c r="R38" s="2">
        <v>19</v>
      </c>
      <c r="S38" s="2">
        <v>19</v>
      </c>
      <c r="T38" s="2">
        <v>16</v>
      </c>
      <c r="U38" s="2">
        <v>20</v>
      </c>
      <c r="V38" s="2">
        <v>13.6</v>
      </c>
      <c r="W38" s="2">
        <v>14</v>
      </c>
      <c r="X38" s="2">
        <v>12.5</v>
      </c>
      <c r="Y38" s="2">
        <v>18.3</v>
      </c>
      <c r="Z38" s="2">
        <v>19.25</v>
      </c>
      <c r="AA38" s="2">
        <v>13.2</v>
      </c>
      <c r="AB38" s="2">
        <v>14</v>
      </c>
      <c r="AC38" s="2">
        <v>17.8</v>
      </c>
      <c r="AD38" s="2">
        <v>19</v>
      </c>
      <c r="AE38" s="2">
        <v>19</v>
      </c>
      <c r="AF38" s="2">
        <v>19.5</v>
      </c>
    </row>
    <row r="39" spans="1:32">
      <c r="A39" t="s">
        <v>98</v>
      </c>
      <c r="B39">
        <v>67.5</v>
      </c>
      <c r="C39">
        <v>146</v>
      </c>
      <c r="D39">
        <v>125</v>
      </c>
      <c r="E39">
        <v>215</v>
      </c>
      <c r="F39">
        <v>215</v>
      </c>
      <c r="G39" s="2">
        <v>215</v>
      </c>
      <c r="H39" s="2">
        <v>215</v>
      </c>
      <c r="I39" s="2">
        <v>215</v>
      </c>
      <c r="J39" s="2">
        <v>130</v>
      </c>
      <c r="K39" s="2">
        <v>130</v>
      </c>
      <c r="L39" s="2">
        <v>155</v>
      </c>
      <c r="M39" s="2">
        <v>46</v>
      </c>
      <c r="N39" s="2">
        <v>130</v>
      </c>
      <c r="O39" s="2">
        <v>163</v>
      </c>
      <c r="P39" s="2">
        <v>45</v>
      </c>
      <c r="Q39" s="2">
        <v>161</v>
      </c>
      <c r="R39" s="2">
        <v>164</v>
      </c>
      <c r="S39" s="2">
        <v>149</v>
      </c>
      <c r="T39" s="2">
        <v>150</v>
      </c>
      <c r="U39" s="2">
        <v>153</v>
      </c>
      <c r="V39" s="2">
        <v>121</v>
      </c>
      <c r="W39" s="2">
        <v>120</v>
      </c>
      <c r="Y39" s="2">
        <v>94</v>
      </c>
      <c r="Z39" s="2">
        <v>128.80000000000001</v>
      </c>
      <c r="AA39" s="2">
        <v>80</v>
      </c>
      <c r="AB39" s="2">
        <v>102</v>
      </c>
      <c r="AC39" s="2">
        <v>61</v>
      </c>
      <c r="AD39" s="2">
        <v>215</v>
      </c>
      <c r="AE39" s="2">
        <v>215</v>
      </c>
      <c r="AF39" s="2">
        <v>130</v>
      </c>
    </row>
    <row r="40" spans="1:32">
      <c r="A40" t="s">
        <v>99</v>
      </c>
      <c r="B40">
        <v>30</v>
      </c>
      <c r="C40" s="2">
        <v>39</v>
      </c>
      <c r="D40" s="2">
        <v>46</v>
      </c>
      <c r="E40">
        <v>40</v>
      </c>
      <c r="F40" s="2">
        <v>40</v>
      </c>
      <c r="G40" s="2">
        <v>40</v>
      </c>
      <c r="H40" s="2">
        <v>40</v>
      </c>
      <c r="J40" s="2">
        <v>45</v>
      </c>
      <c r="K40" s="2">
        <v>45</v>
      </c>
      <c r="L40" s="2">
        <v>50</v>
      </c>
      <c r="M40" s="2">
        <v>32</v>
      </c>
      <c r="N40" s="2">
        <v>30</v>
      </c>
      <c r="O40" s="2">
        <v>32.6</v>
      </c>
      <c r="P40" s="2">
        <v>60</v>
      </c>
      <c r="Q40" s="2">
        <v>26</v>
      </c>
      <c r="R40" s="2">
        <v>25</v>
      </c>
      <c r="S40" s="2">
        <v>25</v>
      </c>
      <c r="T40" s="2">
        <v>42</v>
      </c>
      <c r="U40" s="2">
        <v>35</v>
      </c>
      <c r="V40" s="2">
        <v>43</v>
      </c>
      <c r="W40" s="2">
        <v>42</v>
      </c>
      <c r="Y40" s="2">
        <v>32.700000000000003</v>
      </c>
      <c r="Z40" s="2">
        <v>27</v>
      </c>
      <c r="AA40" s="2">
        <v>27</v>
      </c>
      <c r="AB40" s="2">
        <v>33</v>
      </c>
      <c r="AC40" s="2">
        <v>37.1</v>
      </c>
      <c r="AD40" s="2">
        <v>40</v>
      </c>
      <c r="AE40" s="2">
        <v>40</v>
      </c>
      <c r="AF40" s="2">
        <v>45</v>
      </c>
    </row>
    <row r="41" spans="1:32">
      <c r="A41" t="s">
        <v>100</v>
      </c>
      <c r="B41">
        <v>36</v>
      </c>
      <c r="C41" s="2">
        <v>34</v>
      </c>
      <c r="D41" s="2">
        <v>21</v>
      </c>
      <c r="E41">
        <v>38</v>
      </c>
      <c r="F41" s="2">
        <v>38</v>
      </c>
      <c r="G41" s="2">
        <v>38</v>
      </c>
      <c r="H41" s="2">
        <v>38</v>
      </c>
      <c r="J41" s="2">
        <v>40</v>
      </c>
      <c r="K41" s="2">
        <v>40</v>
      </c>
      <c r="L41" s="2">
        <v>30</v>
      </c>
      <c r="M41" s="2">
        <v>28</v>
      </c>
      <c r="N41" s="2">
        <v>36</v>
      </c>
      <c r="O41" s="2">
        <v>36</v>
      </c>
      <c r="Q41" s="2">
        <v>27</v>
      </c>
      <c r="R41" s="2">
        <v>25</v>
      </c>
      <c r="S41" s="2">
        <v>24</v>
      </c>
      <c r="T41" s="2">
        <v>21</v>
      </c>
      <c r="U41" s="2">
        <v>24</v>
      </c>
      <c r="V41" s="2">
        <v>30</v>
      </c>
      <c r="W41" s="2">
        <v>29</v>
      </c>
      <c r="Y41" s="2">
        <v>39</v>
      </c>
      <c r="Z41" s="2">
        <v>38</v>
      </c>
      <c r="AA41" s="2">
        <v>38</v>
      </c>
      <c r="AB41" s="2">
        <v>9</v>
      </c>
      <c r="AC41" s="2">
        <v>32.4</v>
      </c>
      <c r="AD41" s="2">
        <v>38</v>
      </c>
      <c r="AE41" s="2">
        <v>38</v>
      </c>
      <c r="AF41" s="2">
        <v>40</v>
      </c>
    </row>
    <row r="42" spans="1:32">
      <c r="A42" t="s">
        <v>101</v>
      </c>
      <c r="B42">
        <v>8.8000000000000007</v>
      </c>
      <c r="C42" s="2">
        <v>14.3</v>
      </c>
      <c r="D42" s="2">
        <v>14</v>
      </c>
      <c r="E42">
        <v>9</v>
      </c>
      <c r="F42" s="2">
        <v>9</v>
      </c>
      <c r="G42" s="2">
        <v>9</v>
      </c>
      <c r="H42" s="2">
        <v>9</v>
      </c>
      <c r="J42" s="2">
        <v>11</v>
      </c>
      <c r="K42" s="2">
        <v>11</v>
      </c>
      <c r="L42" s="2">
        <v>20</v>
      </c>
      <c r="M42" s="2">
        <v>9.6</v>
      </c>
      <c r="N42" s="2">
        <v>9</v>
      </c>
      <c r="O42" s="2">
        <v>10.9</v>
      </c>
      <c r="P42" s="2">
        <v>8</v>
      </c>
      <c r="Q42" s="2">
        <v>10.5</v>
      </c>
      <c r="R42" s="2">
        <v>10.3</v>
      </c>
      <c r="S42" s="2">
        <v>9.6</v>
      </c>
      <c r="T42" s="2">
        <v>10</v>
      </c>
      <c r="U42" s="2">
        <v>11.2</v>
      </c>
      <c r="V42" s="2">
        <v>10.1</v>
      </c>
      <c r="W42" s="2">
        <v>10</v>
      </c>
      <c r="X42" s="2">
        <v>8.5</v>
      </c>
      <c r="Y42" s="2">
        <v>8.5</v>
      </c>
      <c r="Z42" s="2">
        <v>8</v>
      </c>
      <c r="AA42" s="2">
        <v>8</v>
      </c>
      <c r="AB42" s="2"/>
      <c r="AC42" s="2">
        <v>9.8000000000000007</v>
      </c>
      <c r="AD42" s="2">
        <v>9</v>
      </c>
      <c r="AE42" s="2">
        <v>9</v>
      </c>
      <c r="AF42" s="2">
        <v>11</v>
      </c>
    </row>
    <row r="43" spans="1:32">
      <c r="A43" t="s">
        <v>109</v>
      </c>
      <c r="B43">
        <v>90</v>
      </c>
      <c r="C43" s="2">
        <v>93</v>
      </c>
      <c r="D43" s="2">
        <v>94</v>
      </c>
      <c r="E43">
        <v>97</v>
      </c>
      <c r="F43" s="2">
        <v>97</v>
      </c>
      <c r="G43" s="2">
        <v>97</v>
      </c>
      <c r="H43" s="2">
        <v>97</v>
      </c>
      <c r="I43" s="2">
        <v>90</v>
      </c>
      <c r="J43" s="2">
        <v>100</v>
      </c>
      <c r="K43" s="2">
        <v>100</v>
      </c>
      <c r="L43" s="2">
        <v>94.5</v>
      </c>
      <c r="M43" s="2">
        <v>60</v>
      </c>
      <c r="N43" s="2">
        <v>96</v>
      </c>
      <c r="O43" s="2">
        <v>98</v>
      </c>
      <c r="P43" s="2">
        <v>70.2</v>
      </c>
      <c r="Q43" s="2">
        <v>105</v>
      </c>
      <c r="R43" s="2">
        <v>108</v>
      </c>
      <c r="S43" s="2">
        <v>108</v>
      </c>
      <c r="T43" s="2">
        <v>100</v>
      </c>
      <c r="U43" s="2">
        <v>106</v>
      </c>
      <c r="V43" s="2">
        <v>81</v>
      </c>
      <c r="W43" s="2">
        <v>88.4</v>
      </c>
      <c r="X43" s="2">
        <v>37.659999999999997</v>
      </c>
      <c r="Y43" s="2">
        <v>96.2</v>
      </c>
      <c r="Z43" s="2">
        <v>126</v>
      </c>
      <c r="AA43" s="2">
        <v>86.4</v>
      </c>
      <c r="AB43" s="2">
        <v>87.68</v>
      </c>
      <c r="AC43" s="2">
        <v>52</v>
      </c>
      <c r="AD43" s="2">
        <v>97</v>
      </c>
      <c r="AE43" s="2">
        <v>97</v>
      </c>
      <c r="AF43" s="2">
        <v>120</v>
      </c>
    </row>
    <row r="44" spans="1:32">
      <c r="A44" t="s">
        <v>110</v>
      </c>
      <c r="B44">
        <v>90</v>
      </c>
      <c r="C44" s="2">
        <v>124</v>
      </c>
      <c r="D44" s="2">
        <v>94</v>
      </c>
      <c r="E44">
        <v>164.9</v>
      </c>
      <c r="F44" s="2">
        <v>164.9</v>
      </c>
      <c r="G44" s="2">
        <v>164.9</v>
      </c>
      <c r="H44" s="2">
        <v>164.9</v>
      </c>
      <c r="I44" s="2">
        <v>153</v>
      </c>
      <c r="J44" s="2">
        <v>120</v>
      </c>
      <c r="K44" s="2">
        <v>120</v>
      </c>
      <c r="L44" s="2">
        <v>124.2</v>
      </c>
      <c r="M44" s="2">
        <v>60</v>
      </c>
      <c r="N44" s="2">
        <v>96</v>
      </c>
      <c r="O44" s="2">
        <v>98</v>
      </c>
      <c r="P44" s="2">
        <v>70.2</v>
      </c>
      <c r="Q44" s="2">
        <v>124</v>
      </c>
      <c r="R44" s="2">
        <v>115</v>
      </c>
      <c r="S44" s="2">
        <v>115</v>
      </c>
      <c r="T44" s="2">
        <v>110</v>
      </c>
      <c r="U44" s="2">
        <v>128</v>
      </c>
      <c r="V44" s="2">
        <v>162</v>
      </c>
      <c r="W44" s="2">
        <v>176.8</v>
      </c>
      <c r="X44" s="2">
        <v>64.56</v>
      </c>
      <c r="Y44" s="2">
        <v>148.19999999999999</v>
      </c>
      <c r="Z44" s="2">
        <v>189</v>
      </c>
      <c r="AA44" s="2">
        <v>172.8</v>
      </c>
      <c r="AB44" s="2">
        <v>115.08</v>
      </c>
      <c r="AC44" s="2">
        <v>105</v>
      </c>
      <c r="AD44" s="2">
        <v>164.9</v>
      </c>
      <c r="AE44" s="2">
        <v>164.9</v>
      </c>
      <c r="AF44" s="2">
        <v>150</v>
      </c>
    </row>
    <row r="45" spans="1:32">
      <c r="A45" t="s">
        <v>102</v>
      </c>
      <c r="B45">
        <v>5.49</v>
      </c>
      <c r="C45" s="2">
        <v>5.31</v>
      </c>
      <c r="D45" s="2">
        <v>2.6</v>
      </c>
      <c r="E45">
        <v>3</v>
      </c>
      <c r="F45" s="2">
        <v>3</v>
      </c>
      <c r="G45" s="2">
        <v>3</v>
      </c>
      <c r="H45" s="2">
        <v>3</v>
      </c>
      <c r="J45" s="2">
        <v>1.5</v>
      </c>
      <c r="K45" s="2">
        <v>1.5</v>
      </c>
      <c r="L45" s="2">
        <v>3</v>
      </c>
      <c r="M45" s="2"/>
      <c r="N45" s="2">
        <v>3.02</v>
      </c>
      <c r="Q45" s="2">
        <v>0.85</v>
      </c>
      <c r="R45" s="2">
        <v>0.85</v>
      </c>
      <c r="S45" s="2">
        <v>0.85</v>
      </c>
      <c r="T45" s="2">
        <v>1.6</v>
      </c>
      <c r="U45">
        <v>0.8</v>
      </c>
      <c r="V45" s="2">
        <v>1.56</v>
      </c>
      <c r="W45" s="2">
        <v>1.52</v>
      </c>
      <c r="X45" s="2">
        <v>1.3680000000000001</v>
      </c>
      <c r="Y45" s="2">
        <v>3</v>
      </c>
      <c r="Z45" s="2">
        <v>1.5</v>
      </c>
      <c r="AA45" s="2">
        <v>1.5</v>
      </c>
      <c r="AB45" s="2">
        <v>3.1</v>
      </c>
      <c r="AC45" s="2">
        <v>1.1299999999999999</v>
      </c>
      <c r="AD45" s="2">
        <v>2.7</v>
      </c>
      <c r="AE45" s="2">
        <v>3</v>
      </c>
      <c r="AF45" s="2">
        <v>1.5</v>
      </c>
    </row>
    <row r="46" spans="1:32">
      <c r="A46" t="s">
        <v>111</v>
      </c>
      <c r="C46" s="2"/>
      <c r="D46" s="2"/>
      <c r="F46" s="2"/>
      <c r="G46" s="2"/>
      <c r="H46" s="2"/>
      <c r="I46">
        <v>1.5</v>
      </c>
      <c r="J46" s="2">
        <v>1.5</v>
      </c>
      <c r="K46" s="2">
        <v>1.5</v>
      </c>
      <c r="Q46" s="2">
        <v>0.85</v>
      </c>
      <c r="R46" s="2">
        <v>0.4</v>
      </c>
      <c r="S46" s="2">
        <v>0.4</v>
      </c>
      <c r="T46" s="2">
        <v>0.2</v>
      </c>
      <c r="U46" s="2">
        <v>0.8</v>
      </c>
      <c r="X46" s="2">
        <v>0.504</v>
      </c>
      <c r="Z46" s="2">
        <v>0.3</v>
      </c>
      <c r="AA46" s="2">
        <v>0.1</v>
      </c>
      <c r="AD46" s="2">
        <v>0.3</v>
      </c>
      <c r="AF46" s="2">
        <v>1.5</v>
      </c>
    </row>
    <row r="47" spans="1:32">
      <c r="A47" t="s">
        <v>103</v>
      </c>
      <c r="B47">
        <v>0.61</v>
      </c>
      <c r="C47" s="2">
        <v>0.6</v>
      </c>
      <c r="D47" s="2">
        <v>0</v>
      </c>
      <c r="E47">
        <v>0</v>
      </c>
      <c r="F47" s="2">
        <v>0</v>
      </c>
      <c r="G47" s="2">
        <v>0</v>
      </c>
      <c r="H47" s="2">
        <v>0</v>
      </c>
      <c r="R47" s="2">
        <v>0.5</v>
      </c>
      <c r="S47" s="2">
        <v>0.5</v>
      </c>
    </row>
    <row r="48" spans="1:32">
      <c r="A48" t="s">
        <v>112</v>
      </c>
      <c r="C48" s="2"/>
      <c r="D48" s="2"/>
      <c r="F48" s="2"/>
      <c r="G48" s="2"/>
      <c r="H48" s="2"/>
      <c r="R48" s="2"/>
      <c r="S48" s="2"/>
      <c r="V48" s="2">
        <v>1.56</v>
      </c>
      <c r="W48" s="2">
        <v>1.56</v>
      </c>
    </row>
    <row r="49" spans="1:32">
      <c r="A49" t="s">
        <v>104</v>
      </c>
      <c r="B49">
        <v>21.6</v>
      </c>
      <c r="C49" s="2">
        <v>18</v>
      </c>
      <c r="D49" s="2">
        <v>0</v>
      </c>
      <c r="E49">
        <v>30</v>
      </c>
      <c r="F49" s="2">
        <v>30</v>
      </c>
      <c r="G49" s="2">
        <v>30</v>
      </c>
      <c r="H49" s="2">
        <v>30</v>
      </c>
      <c r="J49" s="2">
        <v>35</v>
      </c>
      <c r="K49" s="2">
        <v>35</v>
      </c>
      <c r="L49" s="2">
        <v>24</v>
      </c>
      <c r="M49" s="2">
        <v>15</v>
      </c>
      <c r="O49" s="2">
        <v>25</v>
      </c>
      <c r="Q49" s="2">
        <v>35</v>
      </c>
      <c r="R49" s="2">
        <v>25</v>
      </c>
      <c r="S49" s="2">
        <v>25</v>
      </c>
      <c r="T49" s="2">
        <v>20</v>
      </c>
      <c r="U49" s="2">
        <v>25</v>
      </c>
      <c r="V49" s="2">
        <v>15.4</v>
      </c>
      <c r="W49" s="2">
        <v>15</v>
      </c>
      <c r="X49" s="2">
        <v>23.8</v>
      </c>
      <c r="Y49" s="2">
        <v>25</v>
      </c>
      <c r="Z49" s="2">
        <v>30</v>
      </c>
      <c r="AA49" s="2">
        <v>30</v>
      </c>
      <c r="AC49" s="2">
        <v>54.2</v>
      </c>
      <c r="AD49" s="2">
        <v>30</v>
      </c>
      <c r="AE49" s="2">
        <v>30</v>
      </c>
      <c r="AF49" s="2">
        <v>35</v>
      </c>
    </row>
    <row r="50" spans="1:32">
      <c r="A50" t="s">
        <v>105</v>
      </c>
      <c r="B50">
        <v>0</v>
      </c>
      <c r="C50" s="2">
        <v>0</v>
      </c>
      <c r="D50" s="2">
        <v>3.6</v>
      </c>
      <c r="E50">
        <v>6</v>
      </c>
      <c r="F50" s="2">
        <v>6</v>
      </c>
      <c r="G50" s="2">
        <v>6</v>
      </c>
      <c r="H50" s="2">
        <v>6</v>
      </c>
      <c r="I50" s="2">
        <v>4</v>
      </c>
      <c r="J50" s="2">
        <v>8</v>
      </c>
      <c r="K50" s="2">
        <v>8</v>
      </c>
      <c r="O50">
        <v>4</v>
      </c>
      <c r="Q50" s="2">
        <v>6.5</v>
      </c>
      <c r="R50" s="2">
        <v>4.2</v>
      </c>
      <c r="S50" s="2">
        <v>4.5</v>
      </c>
      <c r="T50" s="2">
        <v>4</v>
      </c>
      <c r="U50" s="2">
        <v>5</v>
      </c>
      <c r="X50" s="2">
        <v>4.8</v>
      </c>
      <c r="AE50">
        <v>3.8</v>
      </c>
      <c r="AF50">
        <v>6</v>
      </c>
    </row>
    <row r="51" spans="1:32">
      <c r="A51" t="s">
        <v>106</v>
      </c>
      <c r="B51">
        <v>0</v>
      </c>
      <c r="C51" s="2">
        <v>0</v>
      </c>
      <c r="D51" s="2">
        <v>81</v>
      </c>
      <c r="E51">
        <v>80</v>
      </c>
      <c r="F51" s="2">
        <v>66</v>
      </c>
      <c r="G51" s="2">
        <v>80</v>
      </c>
      <c r="H51" s="2">
        <v>80</v>
      </c>
      <c r="Q51" s="2">
        <v>82</v>
      </c>
      <c r="R51" s="2">
        <v>82</v>
      </c>
      <c r="S51" s="2">
        <v>82</v>
      </c>
      <c r="T51" s="2">
        <v>110</v>
      </c>
      <c r="U51" s="2">
        <v>92</v>
      </c>
      <c r="X51" s="2">
        <v>70</v>
      </c>
      <c r="AC51">
        <v>86</v>
      </c>
      <c r="AD51">
        <v>66</v>
      </c>
      <c r="AE51">
        <v>80</v>
      </c>
    </row>
    <row r="52" spans="1:32">
      <c r="A52" t="s">
        <v>107</v>
      </c>
      <c r="B52">
        <v>0</v>
      </c>
      <c r="C52" s="2">
        <v>0</v>
      </c>
      <c r="D52" s="2">
        <v>26</v>
      </c>
      <c r="E52">
        <v>45</v>
      </c>
      <c r="F52" s="2">
        <v>0</v>
      </c>
      <c r="G52" s="2">
        <v>0</v>
      </c>
      <c r="H52" s="2">
        <v>0</v>
      </c>
      <c r="L52">
        <v>450</v>
      </c>
      <c r="S52" s="2">
        <v>40</v>
      </c>
      <c r="T52" s="2">
        <v>100</v>
      </c>
      <c r="U52" s="2">
        <v>468</v>
      </c>
      <c r="V52" s="2">
        <v>450</v>
      </c>
      <c r="X52" s="2"/>
      <c r="Y52" s="2">
        <v>30</v>
      </c>
      <c r="Z52" s="2">
        <v>38</v>
      </c>
      <c r="AA52" s="2">
        <v>38</v>
      </c>
      <c r="AD52" s="2">
        <v>45</v>
      </c>
    </row>
    <row r="53" spans="1:32">
      <c r="A53" t="s">
        <v>108</v>
      </c>
      <c r="B53">
        <v>0</v>
      </c>
      <c r="C53" s="2">
        <v>0</v>
      </c>
      <c r="D53" s="2">
        <v>0</v>
      </c>
      <c r="E53">
        <v>40</v>
      </c>
      <c r="F53">
        <v>40</v>
      </c>
      <c r="G53" s="2">
        <v>40</v>
      </c>
      <c r="H53" s="2">
        <v>40</v>
      </c>
      <c r="R53" s="2">
        <v>75</v>
      </c>
      <c r="U53" s="2">
        <v>35</v>
      </c>
    </row>
    <row r="54" spans="1:32">
      <c r="A54" t="s">
        <v>113</v>
      </c>
      <c r="AC54">
        <v>51</v>
      </c>
    </row>
  </sheetData>
  <phoneticPr fontId="4" type="noConversion"/>
  <hyperlinks>
    <hyperlink ref="B1" r:id="rId1" xr:uid="{378B2463-E89D-1440-8EC7-272BE1C12276}"/>
    <hyperlink ref="C1" r:id="rId2" location="crumb-wrap" xr:uid="{3F495B06-4AA7-CD47-BC7D-4F8DA5743010}"/>
    <hyperlink ref="D1" r:id="rId3" location="crumb-wrap" xr:uid="{D9DD3C54-B875-3E40-90F8-C6292AADBE66}"/>
    <hyperlink ref="E1" r:id="rId4" location="crumb-wrap" xr:uid="{95C3E0FF-BE95-E749-B1DD-203D9CD000E1}"/>
    <hyperlink ref="F1" r:id="rId5" xr:uid="{D65A491B-8070-0B4E-A209-5715C4ABED04}"/>
    <hyperlink ref="G1" r:id="rId6" location="crumb-wrap" xr:uid="{48985772-8310-B447-9FCE-23FE3069283E}"/>
    <hyperlink ref="H1" r:id="rId7" xr:uid="{C507E624-6EC6-3540-B2CB-77F0E3F14D61}"/>
    <hyperlink ref="I1" r:id="rId8" xr:uid="{E7504DB1-1277-B54A-87D6-99A0527134B6}"/>
    <hyperlink ref="J1" r:id="rId9" xr:uid="{815E4F15-1945-7147-A20C-C6116760807E}"/>
    <hyperlink ref="K1" r:id="rId10" xr:uid="{24BD3FE2-4F33-E24B-ADE8-E35888F0E2D5}"/>
    <hyperlink ref="L1" r:id="rId11" location="crumb-wrap" xr:uid="{5ED1A853-3D80-8B45-9FC0-BCEBDC17BC84}"/>
    <hyperlink ref="M1" r:id="rId12" xr:uid="{4121373C-3AF8-5649-BFF6-33A3F0FF7718}"/>
    <hyperlink ref="N1" r:id="rId13" xr:uid="{B7005927-FBFB-7340-8B24-71676561A9E2}"/>
    <hyperlink ref="O1" r:id="rId14" xr:uid="{C2520D02-269B-9C4F-AC0A-1996A3ABDCBD}"/>
    <hyperlink ref="P1" r:id="rId15" xr:uid="{42C5E7E9-AF24-7A49-941E-EA8FC344457C}"/>
    <hyperlink ref="Q1" r:id="rId16" xr:uid="{0CE85B19-056A-3647-8167-31242C12739B}"/>
    <hyperlink ref="R1" r:id="rId17" xr:uid="{BC000C4A-DE0E-8F43-9F8D-4922E2BE8832}"/>
    <hyperlink ref="S1" r:id="rId18" xr:uid="{387D6A79-18AA-BC47-A570-D6444242DE84}"/>
    <hyperlink ref="T1" r:id="rId19" xr:uid="{635649EE-52B5-C049-A53B-E1A9C6F95E94}"/>
    <hyperlink ref="U1" r:id="rId20" xr:uid="{2FBABC1C-9F7B-8040-B248-BC32ABEA874B}"/>
    <hyperlink ref="V1" r:id="rId21" xr:uid="{BECF3F28-C8ED-7E47-8382-B540576BEA55}"/>
    <hyperlink ref="W1" r:id="rId22" xr:uid="{C1DA20D0-D304-684D-BDDC-68007F64FBB3}"/>
    <hyperlink ref="X1" r:id="rId23" xr:uid="{B6499DB0-0D2F-3240-A6AD-45C1E90F0B79}"/>
    <hyperlink ref="Y1" r:id="rId24" xr:uid="{A83BE7CF-53F0-1C4B-AB3A-E70D6B44F405}"/>
    <hyperlink ref="Z1" r:id="rId25" xr:uid="{18F718B3-F36E-6D45-87D7-36322D634C08}"/>
    <hyperlink ref="AA1" r:id="rId26" xr:uid="{DFC7214A-51E3-0641-8E58-948A5C1E7341}"/>
    <hyperlink ref="AB1" r:id="rId27" location="crumb-wrap" xr:uid="{220627DF-DAF9-2441-87DE-DEAB45E5307B}"/>
    <hyperlink ref="AC1" r:id="rId28" location="crumb-wrap" xr:uid="{8471D4A7-DD76-9C4E-A9E8-AE9905B302FD}"/>
    <hyperlink ref="AD1" r:id="rId29" xr:uid="{D27B4A0C-0A59-6D43-BC8B-5DE17826BB52}"/>
    <hyperlink ref="AE1" r:id="rId30" xr:uid="{051FF720-D826-114F-8ACD-5DE7764F55ED}"/>
    <hyperlink ref="AF1" r:id="rId31" xr:uid="{0901D51F-23F5-1146-93F5-BD2FF39B2B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027C-7AA7-514B-BC91-159DB6A0297C}">
  <dimension ref="A1:BB33"/>
  <sheetViews>
    <sheetView topLeftCell="AC5" zoomScaleNormal="150" zoomScaleSheetLayoutView="100" workbookViewId="0">
      <selection activeCell="L23" sqref="L23"/>
    </sheetView>
  </sheetViews>
  <sheetFormatPr baseColWidth="10" defaultColWidth="8.83203125" defaultRowHeight="15"/>
  <cols>
    <col min="1" max="1" width="36.33203125" bestFit="1" customWidth="1"/>
    <col min="5" max="5" width="10.1640625" customWidth="1"/>
    <col min="6" max="6" width="29.5" bestFit="1" customWidth="1"/>
    <col min="9" max="9" width="9.5" customWidth="1"/>
    <col min="11" max="11" width="9.5" customWidth="1"/>
    <col min="12" max="13" width="13.1640625" customWidth="1"/>
    <col min="14" max="14" width="21.1640625" customWidth="1"/>
    <col min="15" max="15" width="12.5" customWidth="1"/>
    <col min="16" max="16" width="12.6640625" customWidth="1"/>
    <col min="17" max="20" width="13.1640625" customWidth="1"/>
    <col min="21" max="21" width="14.1640625" customWidth="1"/>
    <col min="22" max="24" width="9.1640625" customWidth="1"/>
    <col min="25" max="25" width="12.6640625" customWidth="1"/>
    <col min="26" max="26" width="11.1640625" customWidth="1"/>
    <col min="39" max="40" width="9.6640625" customWidth="1"/>
    <col min="41" max="41" width="11.6640625" customWidth="1"/>
    <col min="42" max="42" width="13.5" customWidth="1"/>
    <col min="43" max="43" width="19.1640625" customWidth="1"/>
    <col min="44" max="44" width="17.1640625" customWidth="1"/>
    <col min="45" max="45" width="13.6640625" customWidth="1"/>
    <col min="46" max="48" width="11.83203125" customWidth="1"/>
    <col min="49" max="49" width="11.6640625" customWidth="1"/>
    <col min="50" max="50" width="12" customWidth="1"/>
    <col min="51" max="51" width="11.1640625" customWidth="1"/>
    <col min="52" max="52" width="13.5" customWidth="1"/>
    <col min="53" max="53" width="17.1640625" customWidth="1"/>
    <col min="54" max="54" width="14.1640625" customWidth="1"/>
  </cols>
  <sheetData>
    <row r="1" spans="1:54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67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109</v>
      </c>
      <c r="AR1" t="s">
        <v>110</v>
      </c>
      <c r="AS1" t="s">
        <v>102</v>
      </c>
      <c r="AT1" t="s">
        <v>111</v>
      </c>
      <c r="AU1" t="s">
        <v>103</v>
      </c>
      <c r="AV1" t="s">
        <v>112</v>
      </c>
      <c r="AW1" t="s">
        <v>104</v>
      </c>
      <c r="AX1" t="s">
        <v>105</v>
      </c>
      <c r="AY1" t="s">
        <v>106</v>
      </c>
      <c r="AZ1" t="s">
        <v>107</v>
      </c>
      <c r="BA1" t="s">
        <v>108</v>
      </c>
      <c r="BB1" t="s">
        <v>113</v>
      </c>
    </row>
    <row r="2" spans="1:54" ht="48">
      <c r="A2" s="1" t="s">
        <v>0</v>
      </c>
      <c r="B2" s="2" t="s">
        <v>1</v>
      </c>
      <c r="C2" s="2">
        <v>900</v>
      </c>
      <c r="D2" s="2">
        <v>375</v>
      </c>
      <c r="E2" s="2">
        <v>41.67</v>
      </c>
      <c r="F2" s="2" t="s">
        <v>2</v>
      </c>
      <c r="G2" s="2" t="s">
        <v>3</v>
      </c>
      <c r="H2">
        <v>2079</v>
      </c>
      <c r="I2">
        <v>10.4</v>
      </c>
      <c r="J2">
        <v>27.3</v>
      </c>
      <c r="K2">
        <v>3.15</v>
      </c>
      <c r="L2">
        <v>519</v>
      </c>
      <c r="M2">
        <v>49.4</v>
      </c>
      <c r="N2">
        <v>370</v>
      </c>
      <c r="O2">
        <v>7.7</v>
      </c>
      <c r="P2">
        <v>7.9</v>
      </c>
      <c r="Q2">
        <v>27</v>
      </c>
      <c r="R2">
        <v>377</v>
      </c>
      <c r="S2">
        <v>542</v>
      </c>
      <c r="T2">
        <v>302</v>
      </c>
      <c r="U2">
        <v>0.66</v>
      </c>
      <c r="V2">
        <v>2720</v>
      </c>
      <c r="W2">
        <v>86.4</v>
      </c>
      <c r="X2">
        <v>2274</v>
      </c>
      <c r="Y2">
        <v>64</v>
      </c>
      <c r="Z2">
        <v>9.6</v>
      </c>
      <c r="AA2">
        <v>134.1</v>
      </c>
      <c r="AB2">
        <v>441</v>
      </c>
      <c r="AC2">
        <v>302</v>
      </c>
      <c r="AD2">
        <v>36.1</v>
      </c>
      <c r="AE2">
        <v>4</v>
      </c>
      <c r="AF2">
        <v>3.42</v>
      </c>
      <c r="AG2">
        <v>58</v>
      </c>
      <c r="AH2">
        <v>355</v>
      </c>
      <c r="AI2">
        <v>254</v>
      </c>
      <c r="AJ2">
        <v>72.8</v>
      </c>
      <c r="AK2">
        <v>316</v>
      </c>
      <c r="AL2">
        <v>13</v>
      </c>
      <c r="AM2">
        <v>67.5</v>
      </c>
      <c r="AN2">
        <v>30</v>
      </c>
      <c r="AO2">
        <v>36</v>
      </c>
      <c r="AP2">
        <v>8.8000000000000007</v>
      </c>
      <c r="AQ2">
        <v>90</v>
      </c>
      <c r="AR2">
        <v>90</v>
      </c>
      <c r="AS2">
        <v>5.49</v>
      </c>
      <c r="AT2">
        <v>0</v>
      </c>
      <c r="AU2">
        <v>0.61</v>
      </c>
      <c r="AV2">
        <v>0</v>
      </c>
      <c r="AW2">
        <v>21.6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4" ht="64">
      <c r="A3" s="1" t="s">
        <v>4</v>
      </c>
      <c r="B3" s="2" t="s">
        <v>1</v>
      </c>
      <c r="C3" s="2">
        <v>800</v>
      </c>
      <c r="D3" s="2">
        <v>375</v>
      </c>
      <c r="E3" s="2">
        <v>46.88</v>
      </c>
      <c r="F3" s="2" t="s">
        <v>5</v>
      </c>
      <c r="G3" s="2" t="s">
        <v>3</v>
      </c>
      <c r="H3" s="2">
        <v>2083</v>
      </c>
      <c r="I3" s="2">
        <v>10.4</v>
      </c>
      <c r="J3" s="2">
        <v>26.5</v>
      </c>
      <c r="K3" s="2">
        <v>3.01</v>
      </c>
      <c r="L3" s="2">
        <v>353</v>
      </c>
      <c r="M3">
        <v>51.7</v>
      </c>
      <c r="N3" s="2">
        <v>342</v>
      </c>
      <c r="O3" s="2">
        <v>12.8</v>
      </c>
      <c r="P3" s="2">
        <v>5.6</v>
      </c>
      <c r="Q3" s="2">
        <v>32</v>
      </c>
      <c r="R3" s="2">
        <v>434</v>
      </c>
      <c r="S3" s="2">
        <v>876</v>
      </c>
      <c r="T3" s="2">
        <v>266</v>
      </c>
      <c r="U3" s="2">
        <v>2.16</v>
      </c>
      <c r="V3" s="2">
        <v>2787</v>
      </c>
      <c r="W3" s="2">
        <v>80</v>
      </c>
      <c r="X3" s="2">
        <v>3080</v>
      </c>
      <c r="Y3" s="2">
        <v>76</v>
      </c>
      <c r="Z3" s="2">
        <v>11.3</v>
      </c>
      <c r="AA3" s="2">
        <v>195</v>
      </c>
      <c r="AB3" s="2">
        <v>593</v>
      </c>
      <c r="AC3" s="2">
        <v>376</v>
      </c>
      <c r="AD3" s="2">
        <v>36</v>
      </c>
      <c r="AE3" s="2">
        <v>3.4</v>
      </c>
      <c r="AF3">
        <v>3.32</v>
      </c>
      <c r="AG3" s="2">
        <v>35</v>
      </c>
      <c r="AH3" s="2">
        <v>339</v>
      </c>
      <c r="AI3" s="2">
        <v>241</v>
      </c>
      <c r="AJ3" s="2">
        <v>94</v>
      </c>
      <c r="AK3" s="2">
        <v>424</v>
      </c>
      <c r="AL3" s="2">
        <v>17.100000000000001</v>
      </c>
      <c r="AM3">
        <v>146</v>
      </c>
      <c r="AN3" s="2">
        <v>39</v>
      </c>
      <c r="AO3" s="2">
        <v>34</v>
      </c>
      <c r="AP3" s="2">
        <v>14.3</v>
      </c>
      <c r="AQ3" s="2">
        <v>93</v>
      </c>
      <c r="AR3" s="2">
        <v>124</v>
      </c>
      <c r="AS3" s="2">
        <v>5.31</v>
      </c>
      <c r="AT3" s="2">
        <v>0</v>
      </c>
      <c r="AU3" s="2">
        <v>0.6</v>
      </c>
      <c r="AV3" s="2">
        <v>0</v>
      </c>
      <c r="AW3" s="2">
        <v>18</v>
      </c>
      <c r="AX3" s="2">
        <v>0</v>
      </c>
      <c r="AY3" s="2">
        <v>0</v>
      </c>
      <c r="AZ3" s="2">
        <v>0</v>
      </c>
      <c r="BA3" s="2">
        <v>0</v>
      </c>
      <c r="BB3">
        <v>0</v>
      </c>
    </row>
    <row r="4" spans="1:54" ht="64">
      <c r="A4" s="1" t="s">
        <v>6</v>
      </c>
      <c r="B4" s="2" t="s">
        <v>1</v>
      </c>
      <c r="C4" s="2">
        <v>800</v>
      </c>
      <c r="D4" s="2">
        <v>385</v>
      </c>
      <c r="E4" s="2">
        <v>48.13</v>
      </c>
      <c r="F4" s="2" t="s">
        <v>7</v>
      </c>
      <c r="G4" s="2" t="s">
        <v>3</v>
      </c>
      <c r="H4" s="2">
        <v>2088</v>
      </c>
      <c r="I4" s="2">
        <v>10.9</v>
      </c>
      <c r="J4" s="2">
        <v>26</v>
      </c>
      <c r="K4" s="2">
        <v>3.62</v>
      </c>
      <c r="L4" s="2">
        <v>380</v>
      </c>
      <c r="M4" s="2">
        <v>54.1</v>
      </c>
      <c r="N4" s="2">
        <v>378</v>
      </c>
      <c r="O4" s="2">
        <v>12.5</v>
      </c>
      <c r="P4" s="2">
        <v>6.1</v>
      </c>
      <c r="Q4" s="2">
        <v>55</v>
      </c>
      <c r="R4" s="2">
        <v>469</v>
      </c>
      <c r="S4" s="2">
        <v>681</v>
      </c>
      <c r="T4" s="2">
        <v>338</v>
      </c>
      <c r="U4" s="2">
        <v>1.3</v>
      </c>
      <c r="V4" s="2">
        <v>2967</v>
      </c>
      <c r="W4" s="2">
        <v>105</v>
      </c>
      <c r="X4" s="2">
        <v>2946</v>
      </c>
      <c r="Y4" s="2">
        <v>129</v>
      </c>
      <c r="Z4" s="2">
        <v>15.3</v>
      </c>
      <c r="AA4" s="2">
        <v>183</v>
      </c>
      <c r="AB4" s="2">
        <v>444</v>
      </c>
      <c r="AC4" s="2">
        <v>373</v>
      </c>
      <c r="AD4" s="2">
        <v>38</v>
      </c>
      <c r="AE4" s="2">
        <v>3.6</v>
      </c>
      <c r="AF4" s="2">
        <v>3.3</v>
      </c>
      <c r="AG4" s="2">
        <v>65</v>
      </c>
      <c r="AH4" s="2">
        <v>354</v>
      </c>
      <c r="AI4" s="2">
        <v>233</v>
      </c>
      <c r="AJ4" s="2">
        <v>145</v>
      </c>
      <c r="AK4" s="2">
        <v>313</v>
      </c>
      <c r="AL4" s="2">
        <v>18.8</v>
      </c>
      <c r="AM4">
        <v>125</v>
      </c>
      <c r="AN4" s="2">
        <v>46</v>
      </c>
      <c r="AO4" s="2">
        <v>21</v>
      </c>
      <c r="AP4" s="2">
        <v>14</v>
      </c>
      <c r="AQ4" s="2">
        <v>94</v>
      </c>
      <c r="AR4" s="2">
        <v>94</v>
      </c>
      <c r="AS4" s="2">
        <v>2.6</v>
      </c>
      <c r="AT4" s="2">
        <v>0</v>
      </c>
      <c r="AU4" s="2">
        <v>0</v>
      </c>
      <c r="AV4" s="2">
        <v>0</v>
      </c>
      <c r="AW4" s="2">
        <v>0</v>
      </c>
      <c r="AX4" s="2">
        <v>3.6</v>
      </c>
      <c r="AY4" s="2">
        <v>81</v>
      </c>
      <c r="AZ4" s="2">
        <v>26</v>
      </c>
      <c r="BA4" s="2">
        <v>0</v>
      </c>
      <c r="BB4">
        <v>0</v>
      </c>
    </row>
    <row r="5" spans="1:54" ht="48">
      <c r="A5" s="1" t="s">
        <v>8</v>
      </c>
      <c r="B5" s="2" t="s">
        <v>9</v>
      </c>
      <c r="C5" s="2">
        <v>750</v>
      </c>
      <c r="D5" s="2">
        <v>328</v>
      </c>
      <c r="E5" s="2">
        <v>43.73</v>
      </c>
      <c r="F5" s="2" t="s">
        <v>10</v>
      </c>
      <c r="G5" s="2" t="s">
        <v>3</v>
      </c>
      <c r="H5">
        <v>2130</v>
      </c>
      <c r="I5">
        <v>10</v>
      </c>
      <c r="J5">
        <v>27.2</v>
      </c>
      <c r="K5">
        <v>4.0999999999999996</v>
      </c>
      <c r="L5">
        <v>410</v>
      </c>
      <c r="M5">
        <v>54.7</v>
      </c>
      <c r="N5">
        <v>360</v>
      </c>
      <c r="O5">
        <v>13</v>
      </c>
      <c r="P5">
        <v>6</v>
      </c>
      <c r="Q5">
        <v>60</v>
      </c>
      <c r="R5">
        <v>650</v>
      </c>
      <c r="S5">
        <v>500</v>
      </c>
      <c r="T5">
        <v>400</v>
      </c>
      <c r="U5">
        <v>1.5</v>
      </c>
      <c r="V5">
        <v>4100</v>
      </c>
      <c r="W5">
        <v>67</v>
      </c>
      <c r="X5">
        <v>3050</v>
      </c>
      <c r="Y5">
        <v>70</v>
      </c>
      <c r="Z5">
        <v>16</v>
      </c>
      <c r="AA5">
        <v>175</v>
      </c>
      <c r="AB5">
        <v>385</v>
      </c>
      <c r="AC5">
        <v>350</v>
      </c>
      <c r="AD5">
        <v>32</v>
      </c>
      <c r="AE5">
        <v>5</v>
      </c>
      <c r="AF5">
        <v>4.5</v>
      </c>
      <c r="AG5">
        <v>40</v>
      </c>
      <c r="AH5">
        <v>350</v>
      </c>
      <c r="AI5">
        <v>200</v>
      </c>
      <c r="AJ5">
        <v>106</v>
      </c>
      <c r="AK5">
        <v>280</v>
      </c>
      <c r="AL5">
        <v>19</v>
      </c>
      <c r="AM5">
        <v>215</v>
      </c>
      <c r="AN5">
        <v>40</v>
      </c>
      <c r="AO5">
        <v>38</v>
      </c>
      <c r="AP5">
        <v>9</v>
      </c>
      <c r="AQ5">
        <v>97</v>
      </c>
      <c r="AR5">
        <v>164.9</v>
      </c>
      <c r="AS5">
        <v>3</v>
      </c>
      <c r="AT5">
        <v>0</v>
      </c>
      <c r="AU5">
        <v>0</v>
      </c>
      <c r="AV5">
        <v>0</v>
      </c>
      <c r="AW5">
        <v>30</v>
      </c>
      <c r="AX5">
        <v>6</v>
      </c>
      <c r="AY5">
        <v>80</v>
      </c>
      <c r="AZ5">
        <v>45</v>
      </c>
      <c r="BA5">
        <v>40</v>
      </c>
      <c r="BB5">
        <v>0</v>
      </c>
    </row>
    <row r="6" spans="1:54" ht="48">
      <c r="A6" s="1" t="s">
        <v>11</v>
      </c>
      <c r="B6" s="2" t="s">
        <v>9</v>
      </c>
      <c r="C6" s="2">
        <v>750</v>
      </c>
      <c r="D6" s="2">
        <v>270</v>
      </c>
      <c r="E6" s="2">
        <v>36</v>
      </c>
      <c r="F6" s="2" t="s">
        <v>12</v>
      </c>
      <c r="G6" s="2" t="s">
        <v>3</v>
      </c>
      <c r="H6" s="2">
        <v>2122</v>
      </c>
      <c r="I6" s="2">
        <v>10.5</v>
      </c>
      <c r="J6" s="2">
        <v>27.2</v>
      </c>
      <c r="K6" s="2">
        <v>4.0999999999999996</v>
      </c>
      <c r="L6" s="2">
        <v>410</v>
      </c>
      <c r="M6" s="2">
        <v>53.7</v>
      </c>
      <c r="N6" s="2">
        <v>360</v>
      </c>
      <c r="O6" s="2">
        <v>13</v>
      </c>
      <c r="P6" s="2">
        <v>6</v>
      </c>
      <c r="Q6" s="2">
        <v>60</v>
      </c>
      <c r="R6" s="2">
        <v>623</v>
      </c>
      <c r="S6" s="2">
        <v>500</v>
      </c>
      <c r="T6" s="2">
        <v>400</v>
      </c>
      <c r="U6" s="2">
        <v>1.5</v>
      </c>
      <c r="V6" s="2">
        <v>4100</v>
      </c>
      <c r="W6" s="2">
        <v>90</v>
      </c>
      <c r="X6" s="2">
        <v>3000</v>
      </c>
      <c r="Y6" s="2">
        <v>72</v>
      </c>
      <c r="Z6" s="2">
        <v>16</v>
      </c>
      <c r="AA6" s="2">
        <v>175</v>
      </c>
      <c r="AB6" s="2">
        <v>400</v>
      </c>
      <c r="AC6" s="2">
        <v>350</v>
      </c>
      <c r="AD6" s="2">
        <v>31</v>
      </c>
      <c r="AE6" s="2">
        <v>5</v>
      </c>
      <c r="AF6" s="2">
        <v>4.5</v>
      </c>
      <c r="AG6" s="2">
        <v>43</v>
      </c>
      <c r="AH6" s="2">
        <v>360</v>
      </c>
      <c r="AI6" s="2">
        <v>210</v>
      </c>
      <c r="AJ6" s="2">
        <v>106</v>
      </c>
      <c r="AK6" s="2">
        <v>297</v>
      </c>
      <c r="AL6" s="2">
        <v>19</v>
      </c>
      <c r="AM6">
        <v>215</v>
      </c>
      <c r="AN6" s="2">
        <v>40</v>
      </c>
      <c r="AO6" s="2">
        <v>38</v>
      </c>
      <c r="AP6" s="2">
        <v>9</v>
      </c>
      <c r="AQ6" s="2">
        <v>97</v>
      </c>
      <c r="AR6" s="2">
        <v>164.9</v>
      </c>
      <c r="AS6" s="2">
        <v>3</v>
      </c>
      <c r="AT6" s="2">
        <v>0</v>
      </c>
      <c r="AU6" s="2">
        <v>0</v>
      </c>
      <c r="AV6" s="2">
        <v>0</v>
      </c>
      <c r="AW6" s="2">
        <v>30</v>
      </c>
      <c r="AX6" s="2">
        <v>6</v>
      </c>
      <c r="AY6" s="2">
        <v>66</v>
      </c>
      <c r="AZ6" s="2">
        <v>0</v>
      </c>
      <c r="BA6">
        <v>40</v>
      </c>
      <c r="BB6">
        <v>0</v>
      </c>
    </row>
    <row r="7" spans="1:54" ht="48">
      <c r="A7" s="1" t="s">
        <v>13</v>
      </c>
      <c r="B7" s="2" t="s">
        <v>9</v>
      </c>
      <c r="C7" s="2">
        <v>708</v>
      </c>
      <c r="D7" s="2">
        <v>263</v>
      </c>
      <c r="E7" s="2">
        <v>37.130000000000003</v>
      </c>
      <c r="F7" s="2" t="s">
        <v>14</v>
      </c>
      <c r="G7" s="2" t="s">
        <v>3</v>
      </c>
      <c r="H7" s="2">
        <v>2122</v>
      </c>
      <c r="I7" s="2">
        <v>10.5</v>
      </c>
      <c r="J7" s="2">
        <v>27.2</v>
      </c>
      <c r="K7" s="2">
        <v>4.0999999999999996</v>
      </c>
      <c r="L7" s="2">
        <v>410</v>
      </c>
      <c r="M7" s="2">
        <v>53.7</v>
      </c>
      <c r="N7" s="2">
        <v>360</v>
      </c>
      <c r="O7" s="2">
        <v>13</v>
      </c>
      <c r="P7" s="2">
        <v>6</v>
      </c>
      <c r="Q7" s="2">
        <v>60</v>
      </c>
      <c r="R7" s="2">
        <v>650</v>
      </c>
      <c r="S7" s="2">
        <v>500</v>
      </c>
      <c r="T7" s="2">
        <v>400</v>
      </c>
      <c r="U7" s="2">
        <v>1.5</v>
      </c>
      <c r="V7" s="2">
        <v>4100</v>
      </c>
      <c r="W7" s="2">
        <v>67</v>
      </c>
      <c r="X7" s="2">
        <v>3050</v>
      </c>
      <c r="Y7" s="2">
        <v>70</v>
      </c>
      <c r="Z7" s="2">
        <v>16</v>
      </c>
      <c r="AA7" s="2">
        <v>175</v>
      </c>
      <c r="AB7" s="2">
        <v>385</v>
      </c>
      <c r="AC7" s="2">
        <v>350</v>
      </c>
      <c r="AD7" s="2">
        <v>32</v>
      </c>
      <c r="AE7" s="2">
        <v>5</v>
      </c>
      <c r="AF7" s="2">
        <v>4.5</v>
      </c>
      <c r="AG7" s="2">
        <v>40</v>
      </c>
      <c r="AH7" s="2">
        <v>350</v>
      </c>
      <c r="AI7" s="2">
        <v>200</v>
      </c>
      <c r="AJ7" s="2">
        <v>106</v>
      </c>
      <c r="AK7" s="2">
        <v>280</v>
      </c>
      <c r="AL7" s="2">
        <v>19</v>
      </c>
      <c r="AM7" s="2">
        <v>215</v>
      </c>
      <c r="AN7" s="2">
        <v>40</v>
      </c>
      <c r="AO7" s="2">
        <v>38</v>
      </c>
      <c r="AP7" s="2">
        <v>9</v>
      </c>
      <c r="AQ7" s="2">
        <v>97</v>
      </c>
      <c r="AR7" s="2">
        <v>164.9</v>
      </c>
      <c r="AS7" s="2">
        <v>3</v>
      </c>
      <c r="AT7" s="2">
        <v>0</v>
      </c>
      <c r="AU7" s="2">
        <v>0</v>
      </c>
      <c r="AV7" s="2">
        <v>0</v>
      </c>
      <c r="AW7" s="2">
        <v>30</v>
      </c>
      <c r="AX7" s="2">
        <v>6</v>
      </c>
      <c r="AY7" s="2">
        <v>80</v>
      </c>
      <c r="AZ7" s="2">
        <v>0</v>
      </c>
      <c r="BA7" s="2">
        <v>40</v>
      </c>
      <c r="BB7">
        <v>0</v>
      </c>
    </row>
    <row r="8" spans="1:54" ht="48">
      <c r="A8" s="1" t="s">
        <v>15</v>
      </c>
      <c r="B8" s="2" t="s">
        <v>9</v>
      </c>
      <c r="C8" s="2">
        <v>700</v>
      </c>
      <c r="D8" s="2">
        <v>220</v>
      </c>
      <c r="E8" s="2">
        <v>31.4</v>
      </c>
      <c r="F8" s="2" t="s">
        <v>16</v>
      </c>
      <c r="G8" s="2" t="s">
        <v>3</v>
      </c>
      <c r="H8" s="2">
        <v>2122</v>
      </c>
      <c r="I8" s="2">
        <v>10.5</v>
      </c>
      <c r="J8" s="2">
        <v>27.2</v>
      </c>
      <c r="K8" s="2">
        <v>4.0999999999999996</v>
      </c>
      <c r="L8" s="2">
        <v>410</v>
      </c>
      <c r="M8" s="2">
        <v>53.7</v>
      </c>
      <c r="N8" s="2">
        <v>360</v>
      </c>
      <c r="O8" s="2">
        <v>13</v>
      </c>
      <c r="P8" s="2">
        <v>6</v>
      </c>
      <c r="Q8" s="2">
        <v>60</v>
      </c>
      <c r="R8" s="2">
        <v>650</v>
      </c>
      <c r="S8" s="2">
        <v>500</v>
      </c>
      <c r="T8" s="2">
        <v>400</v>
      </c>
      <c r="U8" s="2">
        <v>1.5</v>
      </c>
      <c r="V8" s="2">
        <v>4100</v>
      </c>
      <c r="W8" s="2">
        <v>67</v>
      </c>
      <c r="X8" s="2">
        <v>3050</v>
      </c>
      <c r="Y8" s="2">
        <v>70</v>
      </c>
      <c r="Z8" s="2">
        <v>16</v>
      </c>
      <c r="AA8" s="2">
        <v>175</v>
      </c>
      <c r="AB8" s="2">
        <v>385</v>
      </c>
      <c r="AC8" s="2">
        <v>350</v>
      </c>
      <c r="AD8" s="2">
        <v>32</v>
      </c>
      <c r="AE8" s="2">
        <v>5</v>
      </c>
      <c r="AF8" s="2">
        <v>4.5</v>
      </c>
      <c r="AG8" s="2">
        <v>40</v>
      </c>
      <c r="AH8" s="2">
        <v>350</v>
      </c>
      <c r="AI8" s="2">
        <v>200</v>
      </c>
      <c r="AJ8" s="2">
        <v>106</v>
      </c>
      <c r="AK8" s="2">
        <v>280</v>
      </c>
      <c r="AL8" s="2">
        <v>19</v>
      </c>
      <c r="AM8" s="2">
        <v>215</v>
      </c>
      <c r="AN8" s="2">
        <v>40</v>
      </c>
      <c r="AO8" s="2">
        <v>38</v>
      </c>
      <c r="AP8" s="2">
        <v>9</v>
      </c>
      <c r="AQ8" s="2">
        <v>97</v>
      </c>
      <c r="AR8" s="2">
        <v>164.9</v>
      </c>
      <c r="AS8" s="2">
        <v>3</v>
      </c>
      <c r="AT8" s="2">
        <v>0</v>
      </c>
      <c r="AU8" s="2">
        <v>0</v>
      </c>
      <c r="AV8" s="2">
        <v>0</v>
      </c>
      <c r="AW8" s="2">
        <v>30</v>
      </c>
      <c r="AX8" s="2">
        <v>6</v>
      </c>
      <c r="AY8" s="2">
        <v>80</v>
      </c>
      <c r="AZ8" s="2">
        <v>0</v>
      </c>
      <c r="BA8" s="2">
        <v>40</v>
      </c>
      <c r="BB8">
        <v>0</v>
      </c>
    </row>
    <row r="9" spans="1:54" ht="48">
      <c r="A9" s="1" t="s">
        <v>17</v>
      </c>
      <c r="B9" s="2" t="s">
        <v>9</v>
      </c>
      <c r="C9" s="2">
        <v>700</v>
      </c>
      <c r="D9" s="2">
        <v>245</v>
      </c>
      <c r="E9" s="2">
        <v>35</v>
      </c>
      <c r="F9" s="2" t="s">
        <v>18</v>
      </c>
      <c r="G9" s="2" t="s">
        <v>3</v>
      </c>
      <c r="H9" s="2">
        <v>2115</v>
      </c>
      <c r="I9" s="2">
        <v>10</v>
      </c>
      <c r="J9" s="2">
        <v>26.6</v>
      </c>
      <c r="K9" s="2">
        <v>4.0999999999999996</v>
      </c>
      <c r="L9" s="2">
        <v>410</v>
      </c>
      <c r="M9" s="2">
        <v>55.8</v>
      </c>
      <c r="N9" s="2">
        <v>360</v>
      </c>
      <c r="O9" s="2">
        <v>13</v>
      </c>
      <c r="P9" s="2">
        <v>6</v>
      </c>
      <c r="Q9" s="2">
        <v>60</v>
      </c>
      <c r="R9" s="2">
        <v>650</v>
      </c>
      <c r="S9" s="2">
        <v>500</v>
      </c>
      <c r="T9" s="2">
        <v>400</v>
      </c>
      <c r="U9" s="2">
        <v>1.5</v>
      </c>
      <c r="V9" s="2">
        <v>4100</v>
      </c>
      <c r="W9" s="2">
        <v>67</v>
      </c>
      <c r="X9" s="2">
        <v>3050</v>
      </c>
      <c r="Y9" s="2">
        <v>70</v>
      </c>
      <c r="Z9" s="2">
        <v>16</v>
      </c>
      <c r="AA9" s="2">
        <v>175</v>
      </c>
      <c r="AB9" s="2">
        <v>385</v>
      </c>
      <c r="AC9" s="2">
        <v>350</v>
      </c>
      <c r="AD9" s="2">
        <v>32</v>
      </c>
      <c r="AE9" s="2">
        <v>5</v>
      </c>
      <c r="AF9" s="2">
        <v>4.5</v>
      </c>
      <c r="AG9" s="2">
        <v>40</v>
      </c>
      <c r="AH9" s="2">
        <v>350</v>
      </c>
      <c r="AI9" s="2">
        <v>200</v>
      </c>
      <c r="AJ9" s="2">
        <v>106</v>
      </c>
      <c r="AK9" s="2">
        <v>280</v>
      </c>
      <c r="AL9" s="2">
        <v>19</v>
      </c>
      <c r="AM9" s="2">
        <v>215</v>
      </c>
      <c r="AN9">
        <v>0</v>
      </c>
      <c r="AO9">
        <v>0</v>
      </c>
      <c r="AP9">
        <v>0</v>
      </c>
      <c r="AQ9" s="2">
        <v>90</v>
      </c>
      <c r="AR9" s="2">
        <v>153</v>
      </c>
      <c r="AS9">
        <v>0</v>
      </c>
      <c r="AT9">
        <v>1.5</v>
      </c>
      <c r="AU9">
        <v>0</v>
      </c>
      <c r="AV9">
        <v>0</v>
      </c>
      <c r="AW9">
        <v>0</v>
      </c>
      <c r="AX9" s="2">
        <v>4</v>
      </c>
      <c r="AY9">
        <v>0</v>
      </c>
      <c r="AZ9">
        <v>0</v>
      </c>
      <c r="BA9">
        <v>0</v>
      </c>
      <c r="BB9">
        <v>0</v>
      </c>
    </row>
    <row r="10" spans="1:54" ht="48">
      <c r="A10" s="1" t="s">
        <v>19</v>
      </c>
      <c r="B10" s="2" t="s">
        <v>20</v>
      </c>
      <c r="C10" s="2">
        <v>900</v>
      </c>
      <c r="D10" s="2">
        <v>342</v>
      </c>
      <c r="E10" s="2">
        <v>38</v>
      </c>
      <c r="F10" s="2" t="s">
        <v>2</v>
      </c>
      <c r="G10" s="2" t="s">
        <v>3</v>
      </c>
      <c r="H10" s="2">
        <v>2163</v>
      </c>
      <c r="I10" s="2">
        <v>10.5</v>
      </c>
      <c r="J10" s="2">
        <v>27.9</v>
      </c>
      <c r="K10" s="2">
        <v>4.3</v>
      </c>
      <c r="L10" s="2">
        <v>430</v>
      </c>
      <c r="M10" s="2">
        <v>54.6</v>
      </c>
      <c r="N10" s="2">
        <v>385</v>
      </c>
      <c r="O10" s="2">
        <v>12.9</v>
      </c>
      <c r="P10" s="2">
        <v>7</v>
      </c>
      <c r="Q10" s="2">
        <v>70</v>
      </c>
      <c r="R10" s="2">
        <v>550</v>
      </c>
      <c r="S10" s="2">
        <v>600</v>
      </c>
      <c r="T10" s="2">
        <v>420</v>
      </c>
      <c r="U10" s="2">
        <v>2.6</v>
      </c>
      <c r="V10" s="2">
        <v>4000</v>
      </c>
      <c r="W10" s="2">
        <v>79</v>
      </c>
      <c r="X10" s="2">
        <v>2850</v>
      </c>
      <c r="Y10" s="2">
        <v>65</v>
      </c>
      <c r="Z10" s="2">
        <v>16</v>
      </c>
      <c r="AA10" s="2">
        <v>189.3</v>
      </c>
      <c r="AB10" s="2">
        <v>466</v>
      </c>
      <c r="AC10" s="2">
        <v>386.1</v>
      </c>
      <c r="AD10" s="2">
        <v>32</v>
      </c>
      <c r="AE10" s="2">
        <v>4.75</v>
      </c>
      <c r="AF10" s="2">
        <v>3.77</v>
      </c>
      <c r="AG10" s="2">
        <v>50</v>
      </c>
      <c r="AH10" s="2">
        <v>350</v>
      </c>
      <c r="AI10" s="2">
        <v>220</v>
      </c>
      <c r="AJ10" s="2">
        <v>98</v>
      </c>
      <c r="AK10" s="2">
        <v>325</v>
      </c>
      <c r="AL10" s="2">
        <v>19.5</v>
      </c>
      <c r="AM10" s="2">
        <v>130</v>
      </c>
      <c r="AN10" s="2">
        <v>45</v>
      </c>
      <c r="AO10" s="2">
        <v>40</v>
      </c>
      <c r="AP10" s="2">
        <v>11</v>
      </c>
      <c r="AQ10" s="2">
        <v>100</v>
      </c>
      <c r="AR10" s="2">
        <v>120</v>
      </c>
      <c r="AS10" s="2">
        <v>1.5</v>
      </c>
      <c r="AT10" s="2">
        <v>1.5</v>
      </c>
      <c r="AU10">
        <v>0</v>
      </c>
      <c r="AV10">
        <v>0</v>
      </c>
      <c r="AW10" s="2">
        <v>35</v>
      </c>
      <c r="AX10" s="2">
        <v>8</v>
      </c>
      <c r="AY10">
        <v>0</v>
      </c>
      <c r="AZ10">
        <v>0</v>
      </c>
      <c r="BA10">
        <v>0</v>
      </c>
      <c r="BB10">
        <v>0</v>
      </c>
    </row>
    <row r="11" spans="1:54" ht="48">
      <c r="A11" s="1" t="s">
        <v>21</v>
      </c>
      <c r="B11" s="2" t="s">
        <v>20</v>
      </c>
      <c r="C11" s="2">
        <v>808</v>
      </c>
      <c r="D11" s="2">
        <v>306</v>
      </c>
      <c r="E11" s="2">
        <v>37.869999999999997</v>
      </c>
      <c r="F11" s="2" t="s">
        <v>2</v>
      </c>
      <c r="G11" s="2" t="s">
        <v>3</v>
      </c>
      <c r="H11" s="2">
        <v>2163</v>
      </c>
      <c r="I11" s="2">
        <v>10.5</v>
      </c>
      <c r="J11" s="2">
        <v>27.9</v>
      </c>
      <c r="K11" s="2">
        <v>4.3</v>
      </c>
      <c r="L11" s="2">
        <v>430</v>
      </c>
      <c r="M11" s="2">
        <v>54.6</v>
      </c>
      <c r="N11" s="2">
        <v>385</v>
      </c>
      <c r="O11" s="2">
        <v>12.9</v>
      </c>
      <c r="P11" s="2">
        <v>7</v>
      </c>
      <c r="Q11" s="2">
        <v>70</v>
      </c>
      <c r="R11" s="2">
        <v>550</v>
      </c>
      <c r="S11" s="2">
        <v>600</v>
      </c>
      <c r="T11" s="2">
        <v>420</v>
      </c>
      <c r="U11" s="2">
        <v>2.6</v>
      </c>
      <c r="V11" s="2">
        <v>4000</v>
      </c>
      <c r="W11" s="2">
        <v>79</v>
      </c>
      <c r="X11" s="2">
        <v>2850</v>
      </c>
      <c r="Y11" s="2">
        <v>65</v>
      </c>
      <c r="Z11" s="2">
        <v>16</v>
      </c>
      <c r="AA11" s="2">
        <v>189.3</v>
      </c>
      <c r="AB11" s="2">
        <v>466</v>
      </c>
      <c r="AC11" s="2">
        <v>386.1</v>
      </c>
      <c r="AD11" s="2">
        <v>32</v>
      </c>
      <c r="AE11" s="2">
        <v>4.75</v>
      </c>
      <c r="AF11" s="2">
        <v>3.77</v>
      </c>
      <c r="AG11" s="2">
        <v>50</v>
      </c>
      <c r="AH11" s="2">
        <v>350</v>
      </c>
      <c r="AI11" s="2">
        <v>220</v>
      </c>
      <c r="AJ11" s="2">
        <v>98</v>
      </c>
      <c r="AK11" s="2">
        <v>325</v>
      </c>
      <c r="AL11" s="2">
        <v>19.5</v>
      </c>
      <c r="AM11" s="2">
        <v>130</v>
      </c>
      <c r="AN11" s="2">
        <v>45</v>
      </c>
      <c r="AO11" s="2">
        <v>40</v>
      </c>
      <c r="AP11" s="2">
        <v>11</v>
      </c>
      <c r="AQ11" s="2">
        <v>100</v>
      </c>
      <c r="AR11" s="2">
        <v>120</v>
      </c>
      <c r="AS11" s="2">
        <v>1.5</v>
      </c>
      <c r="AT11" s="2">
        <v>1.5</v>
      </c>
      <c r="AU11">
        <v>0</v>
      </c>
      <c r="AV11">
        <v>0</v>
      </c>
      <c r="AW11" s="2">
        <v>35</v>
      </c>
      <c r="AX11" s="2">
        <v>8</v>
      </c>
      <c r="AY11">
        <v>0</v>
      </c>
      <c r="AZ11">
        <v>0</v>
      </c>
      <c r="BA11">
        <v>0</v>
      </c>
      <c r="BB11">
        <v>0</v>
      </c>
    </row>
    <row r="12" spans="1:54" ht="64">
      <c r="A12" s="1" t="s">
        <v>22</v>
      </c>
      <c r="B12" s="2" t="s">
        <v>23</v>
      </c>
      <c r="C12" s="2">
        <v>800</v>
      </c>
      <c r="D12" s="2">
        <v>416</v>
      </c>
      <c r="E12" s="2">
        <v>52</v>
      </c>
      <c r="F12" s="2" t="s">
        <v>24</v>
      </c>
      <c r="G12" s="2" t="s">
        <v>3</v>
      </c>
      <c r="H12" s="2">
        <v>2121</v>
      </c>
      <c r="I12" s="2">
        <v>11</v>
      </c>
      <c r="J12" s="2">
        <v>27</v>
      </c>
      <c r="K12" s="2">
        <v>2.2999999999999998</v>
      </c>
      <c r="L12" s="2">
        <v>325</v>
      </c>
      <c r="M12" s="2">
        <v>53.5</v>
      </c>
      <c r="N12" s="2">
        <v>400</v>
      </c>
      <c r="O12" s="2">
        <v>8.6</v>
      </c>
      <c r="P12" s="2">
        <v>6.2</v>
      </c>
      <c r="Q12" s="2">
        <v>39</v>
      </c>
      <c r="R12" s="2">
        <v>490</v>
      </c>
      <c r="S12" s="2">
        <v>660</v>
      </c>
      <c r="T12" s="2">
        <v>370</v>
      </c>
      <c r="U12" s="2">
        <v>1.7</v>
      </c>
      <c r="V12" s="2">
        <v>3600</v>
      </c>
      <c r="W12" s="2">
        <v>95</v>
      </c>
      <c r="X12" s="2">
        <v>5000</v>
      </c>
      <c r="Y12" s="2">
        <v>100</v>
      </c>
      <c r="Z12" s="2">
        <v>20</v>
      </c>
      <c r="AA12" s="2">
        <v>160</v>
      </c>
      <c r="AB12" s="2">
        <v>550</v>
      </c>
      <c r="AC12" s="2">
        <v>370</v>
      </c>
      <c r="AD12" s="2">
        <v>48</v>
      </c>
      <c r="AE12" s="2">
        <v>6</v>
      </c>
      <c r="AF12" s="2">
        <v>4.5999999999999996</v>
      </c>
      <c r="AG12" s="2">
        <v>115</v>
      </c>
      <c r="AH12" s="2">
        <v>400</v>
      </c>
      <c r="AI12" s="2">
        <v>230</v>
      </c>
      <c r="AJ12" s="2">
        <v>95</v>
      </c>
      <c r="AK12" s="2">
        <v>320</v>
      </c>
      <c r="AL12" s="2">
        <v>19</v>
      </c>
      <c r="AM12" s="2">
        <v>155</v>
      </c>
      <c r="AN12" s="2">
        <v>50</v>
      </c>
      <c r="AO12" s="2">
        <v>30</v>
      </c>
      <c r="AP12" s="2">
        <v>20</v>
      </c>
      <c r="AQ12" s="2">
        <v>94.5</v>
      </c>
      <c r="AR12" s="2">
        <v>124.2</v>
      </c>
      <c r="AS12" s="2">
        <v>3</v>
      </c>
      <c r="AT12">
        <v>0</v>
      </c>
      <c r="AU12">
        <v>0</v>
      </c>
      <c r="AV12">
        <v>0</v>
      </c>
      <c r="AW12" s="2">
        <v>24</v>
      </c>
      <c r="AX12">
        <v>0</v>
      </c>
      <c r="AY12">
        <v>0</v>
      </c>
      <c r="AZ12">
        <v>450</v>
      </c>
      <c r="BA12">
        <v>0</v>
      </c>
      <c r="BB12">
        <v>0</v>
      </c>
    </row>
    <row r="13" spans="1:54" ht="64">
      <c r="A13" s="1" t="s">
        <v>25</v>
      </c>
      <c r="B13" s="2" t="s">
        <v>26</v>
      </c>
      <c r="C13" s="2">
        <v>800</v>
      </c>
      <c r="D13" s="2">
        <v>394</v>
      </c>
      <c r="E13" s="2">
        <v>49.25</v>
      </c>
      <c r="F13" s="2">
        <v>0</v>
      </c>
      <c r="G13" s="2" t="s">
        <v>3</v>
      </c>
      <c r="H13" s="2">
        <v>2146</v>
      </c>
      <c r="I13" s="2">
        <v>9.75</v>
      </c>
      <c r="J13" s="2">
        <v>26</v>
      </c>
      <c r="K13" s="2">
        <v>3.2</v>
      </c>
      <c r="L13" s="2">
        <v>380</v>
      </c>
      <c r="M13" s="2">
        <v>59.9</v>
      </c>
      <c r="N13" s="2">
        <v>459</v>
      </c>
      <c r="O13" s="2">
        <v>6.8</v>
      </c>
      <c r="P13" s="2">
        <v>10</v>
      </c>
      <c r="Q13" s="2">
        <v>27</v>
      </c>
      <c r="R13" s="2">
        <v>500</v>
      </c>
      <c r="S13" s="2">
        <v>1250</v>
      </c>
      <c r="T13" s="2">
        <v>360</v>
      </c>
      <c r="U13" s="2">
        <v>0.96</v>
      </c>
      <c r="V13" s="2">
        <v>5400</v>
      </c>
      <c r="W13" s="2">
        <v>81</v>
      </c>
      <c r="X13" s="2">
        <v>4800</v>
      </c>
      <c r="Y13" s="2">
        <v>69</v>
      </c>
      <c r="Z13" s="2">
        <v>9.6999999999999993</v>
      </c>
      <c r="AA13" s="2">
        <v>195</v>
      </c>
      <c r="AB13" s="2">
        <v>570</v>
      </c>
      <c r="AC13" s="2">
        <v>440</v>
      </c>
      <c r="AD13" s="2">
        <v>52</v>
      </c>
      <c r="AE13" s="2">
        <v>5.3</v>
      </c>
      <c r="AF13" s="2">
        <v>5</v>
      </c>
      <c r="AG13" s="2">
        <v>95</v>
      </c>
      <c r="AH13" s="2">
        <v>345</v>
      </c>
      <c r="AI13" s="2">
        <v>192</v>
      </c>
      <c r="AJ13" s="2">
        <v>68</v>
      </c>
      <c r="AK13" s="2">
        <v>380</v>
      </c>
      <c r="AL13" s="2">
        <v>16</v>
      </c>
      <c r="AM13" s="2">
        <v>46</v>
      </c>
      <c r="AN13" s="2">
        <v>32</v>
      </c>
      <c r="AO13" s="2">
        <v>28</v>
      </c>
      <c r="AP13" s="2">
        <v>9.6</v>
      </c>
      <c r="AQ13" s="2">
        <v>60</v>
      </c>
      <c r="AR13" s="2">
        <v>60</v>
      </c>
      <c r="AS13" s="2">
        <v>0</v>
      </c>
      <c r="AT13">
        <v>0</v>
      </c>
      <c r="AU13">
        <v>0</v>
      </c>
      <c r="AV13">
        <v>0</v>
      </c>
      <c r="AW13" s="2">
        <v>15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 ht="64">
      <c r="A14" s="1" t="s">
        <v>27</v>
      </c>
      <c r="B14" s="2" t="s">
        <v>26</v>
      </c>
      <c r="C14" s="2">
        <v>900</v>
      </c>
      <c r="D14" s="2">
        <v>289</v>
      </c>
      <c r="E14" s="2">
        <v>32.11</v>
      </c>
      <c r="F14" s="2">
        <v>0</v>
      </c>
      <c r="G14" s="2" t="s">
        <v>3</v>
      </c>
      <c r="H14" s="2">
        <v>2116</v>
      </c>
      <c r="I14" s="2">
        <v>9.5</v>
      </c>
      <c r="J14" s="2">
        <v>27.7</v>
      </c>
      <c r="K14" s="2">
        <v>2.9</v>
      </c>
      <c r="L14" s="2">
        <v>495</v>
      </c>
      <c r="M14" s="2">
        <v>53.26</v>
      </c>
      <c r="N14" s="2">
        <v>375</v>
      </c>
      <c r="O14" s="2">
        <v>12</v>
      </c>
      <c r="P14" s="2">
        <v>6</v>
      </c>
      <c r="Q14" s="2">
        <v>34</v>
      </c>
      <c r="R14" s="2">
        <v>560</v>
      </c>
      <c r="S14" s="2">
        <v>700</v>
      </c>
      <c r="T14" s="2">
        <v>380</v>
      </c>
      <c r="U14" s="2">
        <v>0.7</v>
      </c>
      <c r="V14" s="2">
        <v>3500</v>
      </c>
      <c r="W14" s="2">
        <v>77</v>
      </c>
      <c r="X14" s="2">
        <v>2600</v>
      </c>
      <c r="Y14" s="2">
        <v>70</v>
      </c>
      <c r="Z14" s="2">
        <v>13</v>
      </c>
      <c r="AA14" s="2">
        <v>187</v>
      </c>
      <c r="AB14" s="2">
        <v>555</v>
      </c>
      <c r="AC14" s="2">
        <v>380</v>
      </c>
      <c r="AD14" s="2">
        <v>48</v>
      </c>
      <c r="AE14" s="2">
        <v>5</v>
      </c>
      <c r="AF14" s="2">
        <v>3.3</v>
      </c>
      <c r="AG14" s="2">
        <v>110</v>
      </c>
      <c r="AH14" s="2">
        <v>500</v>
      </c>
      <c r="AI14" s="2">
        <v>320</v>
      </c>
      <c r="AJ14" s="2">
        <v>96</v>
      </c>
      <c r="AK14" s="2">
        <v>320</v>
      </c>
      <c r="AL14" s="2">
        <v>20</v>
      </c>
      <c r="AM14" s="2">
        <v>130</v>
      </c>
      <c r="AN14" s="2">
        <v>30</v>
      </c>
      <c r="AO14" s="2">
        <v>36</v>
      </c>
      <c r="AP14" s="2">
        <v>9</v>
      </c>
      <c r="AQ14" s="2">
        <v>96</v>
      </c>
      <c r="AR14" s="2">
        <v>96</v>
      </c>
      <c r="AS14" s="2">
        <v>3.02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 ht="64">
      <c r="A15" s="1" t="s">
        <v>28</v>
      </c>
      <c r="B15" s="2" t="s">
        <v>26</v>
      </c>
      <c r="C15" s="2">
        <v>850</v>
      </c>
      <c r="D15" s="2">
        <v>409</v>
      </c>
      <c r="E15" s="2">
        <v>48.12</v>
      </c>
      <c r="F15" s="2" t="s">
        <v>29</v>
      </c>
      <c r="G15" s="2" t="s">
        <v>3</v>
      </c>
      <c r="H15" s="2">
        <v>2171</v>
      </c>
      <c r="I15" s="2">
        <v>9.6</v>
      </c>
      <c r="J15" s="2">
        <v>28.3</v>
      </c>
      <c r="K15" s="2">
        <v>3.2</v>
      </c>
      <c r="L15" s="2">
        <v>370</v>
      </c>
      <c r="M15" s="2">
        <v>56.5</v>
      </c>
      <c r="N15" s="2">
        <v>380</v>
      </c>
      <c r="O15" s="2">
        <v>12.7</v>
      </c>
      <c r="P15" s="2">
        <v>6</v>
      </c>
      <c r="Q15" s="2">
        <v>35</v>
      </c>
      <c r="R15" s="2">
        <v>560</v>
      </c>
      <c r="S15" s="2">
        <v>720</v>
      </c>
      <c r="T15" s="2">
        <v>380</v>
      </c>
      <c r="U15" s="2">
        <v>0.7</v>
      </c>
      <c r="V15" s="2">
        <v>3550</v>
      </c>
      <c r="W15" s="2">
        <v>79</v>
      </c>
      <c r="X15" s="2">
        <v>2650</v>
      </c>
      <c r="Y15" s="2">
        <v>70</v>
      </c>
      <c r="Z15" s="2">
        <v>13</v>
      </c>
      <c r="AA15" s="2">
        <v>190</v>
      </c>
      <c r="AB15" s="2">
        <v>500</v>
      </c>
      <c r="AC15" s="2">
        <v>389</v>
      </c>
      <c r="AD15" s="2">
        <v>46</v>
      </c>
      <c r="AE15" s="2">
        <v>5.0999999999999996</v>
      </c>
      <c r="AF15" s="2">
        <v>3.5</v>
      </c>
      <c r="AG15" s="2">
        <v>115</v>
      </c>
      <c r="AH15" s="2">
        <v>500</v>
      </c>
      <c r="AI15" s="2">
        <v>320</v>
      </c>
      <c r="AJ15" s="2">
        <v>98</v>
      </c>
      <c r="AK15" s="2">
        <v>326</v>
      </c>
      <c r="AL15" s="2">
        <v>19.600000000000001</v>
      </c>
      <c r="AM15" s="2">
        <v>163</v>
      </c>
      <c r="AN15" s="2">
        <v>32.6</v>
      </c>
      <c r="AO15" s="2">
        <v>36</v>
      </c>
      <c r="AP15" s="2">
        <v>10.9</v>
      </c>
      <c r="AQ15" s="2">
        <v>98</v>
      </c>
      <c r="AR15" s="2">
        <v>98</v>
      </c>
      <c r="AS15">
        <v>0</v>
      </c>
      <c r="AT15">
        <v>0</v>
      </c>
      <c r="AU15">
        <v>0</v>
      </c>
      <c r="AV15">
        <v>0</v>
      </c>
      <c r="AW15" s="2">
        <v>25</v>
      </c>
      <c r="AX15">
        <v>4</v>
      </c>
      <c r="AY15">
        <v>0</v>
      </c>
      <c r="AZ15">
        <v>0</v>
      </c>
      <c r="BA15">
        <v>0</v>
      </c>
      <c r="BB15">
        <v>0</v>
      </c>
    </row>
    <row r="16" spans="1:54" ht="48">
      <c r="A16" s="1" t="s">
        <v>30</v>
      </c>
      <c r="B16" s="2" t="s">
        <v>26</v>
      </c>
      <c r="C16" s="2">
        <v>800</v>
      </c>
      <c r="D16" s="2">
        <v>426</v>
      </c>
      <c r="E16" s="2">
        <v>53.25</v>
      </c>
      <c r="F16" s="2" t="s">
        <v>31</v>
      </c>
      <c r="G16" s="2" t="s">
        <v>3</v>
      </c>
      <c r="H16" s="2">
        <v>2179</v>
      </c>
      <c r="I16" s="2">
        <v>10.9</v>
      </c>
      <c r="J16" s="2">
        <v>27.7</v>
      </c>
      <c r="K16" s="2">
        <v>3.7</v>
      </c>
      <c r="L16" s="2">
        <v>350</v>
      </c>
      <c r="M16" s="2">
        <v>57</v>
      </c>
      <c r="N16" s="2">
        <v>385</v>
      </c>
      <c r="O16" s="2">
        <v>8.5</v>
      </c>
      <c r="P16" s="2">
        <v>12</v>
      </c>
      <c r="Q16" s="2">
        <v>45</v>
      </c>
      <c r="R16" s="2">
        <v>500</v>
      </c>
      <c r="S16" s="2">
        <v>520</v>
      </c>
      <c r="T16" s="2">
        <v>240</v>
      </c>
      <c r="U16" s="2">
        <v>1.4</v>
      </c>
      <c r="V16" s="2">
        <v>3400</v>
      </c>
      <c r="W16" s="2">
        <v>95</v>
      </c>
      <c r="X16" s="2">
        <v>3400</v>
      </c>
      <c r="Y16" s="2">
        <v>80</v>
      </c>
      <c r="Z16" s="2">
        <v>12</v>
      </c>
      <c r="AA16" s="2">
        <v>176</v>
      </c>
      <c r="AB16" s="2">
        <v>575</v>
      </c>
      <c r="AC16" s="2">
        <v>300</v>
      </c>
      <c r="AD16" s="2">
        <v>35</v>
      </c>
      <c r="AE16" s="2">
        <v>4.5</v>
      </c>
      <c r="AF16" s="2">
        <v>4.9000000000000004</v>
      </c>
      <c r="AG16" s="2">
        <v>130</v>
      </c>
      <c r="AH16" s="2">
        <v>330</v>
      </c>
      <c r="AI16" s="2">
        <v>195</v>
      </c>
      <c r="AJ16" s="2">
        <v>106</v>
      </c>
      <c r="AK16" s="2">
        <v>345</v>
      </c>
      <c r="AL16" s="2">
        <v>15</v>
      </c>
      <c r="AM16" s="2">
        <v>45</v>
      </c>
      <c r="AN16" s="2">
        <v>60</v>
      </c>
      <c r="AO16">
        <v>0</v>
      </c>
      <c r="AP16" s="2">
        <v>8</v>
      </c>
      <c r="AQ16" s="2">
        <v>70.2</v>
      </c>
      <c r="AR16" s="2">
        <v>70.2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 ht="48">
      <c r="A17" s="1" t="s">
        <v>32</v>
      </c>
      <c r="B17" s="2" t="s">
        <v>33</v>
      </c>
      <c r="C17" s="2">
        <v>808</v>
      </c>
      <c r="D17" s="2">
        <v>182</v>
      </c>
      <c r="E17" s="2">
        <v>22.52</v>
      </c>
      <c r="F17" s="2" t="s">
        <v>29</v>
      </c>
      <c r="G17" s="2" t="s">
        <v>3</v>
      </c>
      <c r="H17" s="2">
        <v>2137</v>
      </c>
      <c r="I17" s="2">
        <v>11.1</v>
      </c>
      <c r="J17" s="2">
        <v>27.3</v>
      </c>
      <c r="K17" s="2">
        <v>3.9</v>
      </c>
      <c r="L17" s="2">
        <v>490</v>
      </c>
      <c r="M17" s="2">
        <v>54.4</v>
      </c>
      <c r="N17" s="2">
        <v>369</v>
      </c>
      <c r="O17" s="2">
        <v>14.2</v>
      </c>
      <c r="P17" s="2">
        <v>7</v>
      </c>
      <c r="Q17" s="2">
        <v>26</v>
      </c>
      <c r="R17" s="2">
        <v>510</v>
      </c>
      <c r="S17" s="2">
        <v>1158</v>
      </c>
      <c r="T17" s="2">
        <v>323</v>
      </c>
      <c r="U17" s="2">
        <v>0.7</v>
      </c>
      <c r="V17" s="2">
        <v>3280</v>
      </c>
      <c r="W17" s="2">
        <v>135</v>
      </c>
      <c r="X17" s="2">
        <v>3380</v>
      </c>
      <c r="Y17" s="2">
        <v>105</v>
      </c>
      <c r="Z17" s="2">
        <v>10.5</v>
      </c>
      <c r="AA17" s="2">
        <v>157</v>
      </c>
      <c r="AB17" s="2">
        <v>397</v>
      </c>
      <c r="AC17" s="2">
        <v>350</v>
      </c>
      <c r="AD17" s="2">
        <v>33</v>
      </c>
      <c r="AE17" s="2">
        <v>3</v>
      </c>
      <c r="AF17" s="2">
        <v>3.2</v>
      </c>
      <c r="AG17" s="2">
        <v>59</v>
      </c>
      <c r="AH17" s="2">
        <v>273</v>
      </c>
      <c r="AI17" s="2">
        <v>203</v>
      </c>
      <c r="AJ17" s="2">
        <v>105</v>
      </c>
      <c r="AK17" s="2">
        <v>350</v>
      </c>
      <c r="AL17" s="2">
        <v>16</v>
      </c>
      <c r="AM17" s="2">
        <v>161</v>
      </c>
      <c r="AN17" s="2">
        <v>26</v>
      </c>
      <c r="AO17" s="2">
        <v>27</v>
      </c>
      <c r="AP17" s="2">
        <v>10.5</v>
      </c>
      <c r="AQ17" s="2">
        <v>105</v>
      </c>
      <c r="AR17" s="2">
        <v>124</v>
      </c>
      <c r="AS17" s="2">
        <v>0.85</v>
      </c>
      <c r="AT17" s="2">
        <v>0.85</v>
      </c>
      <c r="AU17">
        <v>0</v>
      </c>
      <c r="AV17">
        <v>0</v>
      </c>
      <c r="AW17" s="2">
        <v>35</v>
      </c>
      <c r="AX17" s="2">
        <v>6.5</v>
      </c>
      <c r="AY17" s="2">
        <v>82</v>
      </c>
      <c r="AZ17">
        <v>0</v>
      </c>
      <c r="BA17">
        <v>0</v>
      </c>
      <c r="BB17">
        <v>0</v>
      </c>
    </row>
    <row r="18" spans="1:54" ht="48">
      <c r="A18" s="1" t="s">
        <v>34</v>
      </c>
      <c r="B18" s="2" t="s">
        <v>33</v>
      </c>
      <c r="C18" s="2">
        <v>800</v>
      </c>
      <c r="D18" s="2">
        <v>180</v>
      </c>
      <c r="E18" s="2">
        <v>22.5</v>
      </c>
      <c r="F18" s="2">
        <v>0</v>
      </c>
      <c r="G18" s="2" t="s">
        <v>3</v>
      </c>
      <c r="H18" s="2">
        <v>2132</v>
      </c>
      <c r="I18" s="2">
        <v>10.9</v>
      </c>
      <c r="J18" s="2">
        <v>27</v>
      </c>
      <c r="K18" s="2">
        <v>3</v>
      </c>
      <c r="L18" s="2">
        <v>434</v>
      </c>
      <c r="M18" s="2">
        <v>54.9</v>
      </c>
      <c r="N18" s="2">
        <v>369</v>
      </c>
      <c r="O18" s="2">
        <v>14.3</v>
      </c>
      <c r="P18" s="2">
        <v>7</v>
      </c>
      <c r="Q18" s="2">
        <v>25</v>
      </c>
      <c r="R18" s="2">
        <v>355</v>
      </c>
      <c r="S18" s="2">
        <v>1023</v>
      </c>
      <c r="T18" s="2">
        <v>229</v>
      </c>
      <c r="U18" s="2">
        <v>0.7</v>
      </c>
      <c r="V18" s="2">
        <v>3340</v>
      </c>
      <c r="W18" s="2">
        <v>141</v>
      </c>
      <c r="X18" s="2">
        <v>3340</v>
      </c>
      <c r="Y18" s="2">
        <v>66</v>
      </c>
      <c r="Z18" s="2">
        <v>10.5</v>
      </c>
      <c r="AA18" s="2">
        <v>152</v>
      </c>
      <c r="AB18" s="2">
        <v>388</v>
      </c>
      <c r="AC18" s="2">
        <v>350</v>
      </c>
      <c r="AD18" s="2">
        <v>32</v>
      </c>
      <c r="AE18" s="2">
        <v>3</v>
      </c>
      <c r="AF18" s="2">
        <v>3.2</v>
      </c>
      <c r="AG18" s="2">
        <v>60</v>
      </c>
      <c r="AH18" s="2">
        <v>283</v>
      </c>
      <c r="AI18" s="2">
        <v>200</v>
      </c>
      <c r="AJ18" s="2">
        <v>105</v>
      </c>
      <c r="AK18" s="2">
        <v>360</v>
      </c>
      <c r="AL18" s="2">
        <v>19</v>
      </c>
      <c r="AM18" s="2">
        <v>164</v>
      </c>
      <c r="AN18" s="2">
        <v>25</v>
      </c>
      <c r="AO18" s="2">
        <v>25</v>
      </c>
      <c r="AP18" s="2">
        <v>10.3</v>
      </c>
      <c r="AQ18" s="2">
        <v>108</v>
      </c>
      <c r="AR18" s="2">
        <v>115</v>
      </c>
      <c r="AS18" s="2">
        <v>0.85</v>
      </c>
      <c r="AT18" s="2">
        <v>0.4</v>
      </c>
      <c r="AU18" s="2">
        <v>0.5</v>
      </c>
      <c r="AV18" s="2">
        <v>0</v>
      </c>
      <c r="AW18" s="2">
        <v>25</v>
      </c>
      <c r="AX18" s="2">
        <v>4.2</v>
      </c>
      <c r="AY18" s="2">
        <v>82</v>
      </c>
      <c r="AZ18">
        <v>0</v>
      </c>
      <c r="BA18" s="2">
        <v>75</v>
      </c>
      <c r="BB18">
        <v>0</v>
      </c>
    </row>
    <row r="19" spans="1:54" ht="48">
      <c r="A19" s="1" t="s">
        <v>35</v>
      </c>
      <c r="B19" s="2" t="s">
        <v>33</v>
      </c>
      <c r="C19" s="2">
        <v>800</v>
      </c>
      <c r="D19" s="2">
        <v>255</v>
      </c>
      <c r="E19" s="2">
        <v>31.88</v>
      </c>
      <c r="F19" s="2" t="s">
        <v>29</v>
      </c>
      <c r="G19" s="2" t="s">
        <v>3</v>
      </c>
      <c r="H19" s="2">
        <v>2134</v>
      </c>
      <c r="I19" s="2">
        <v>10.9</v>
      </c>
      <c r="J19" s="2">
        <v>27.1</v>
      </c>
      <c r="K19" s="2">
        <v>3.2</v>
      </c>
      <c r="L19" s="2">
        <v>445</v>
      </c>
      <c r="M19" s="2">
        <v>54.8</v>
      </c>
      <c r="N19" s="2">
        <v>371</v>
      </c>
      <c r="O19" s="2">
        <v>14.3</v>
      </c>
      <c r="P19" s="2">
        <v>7</v>
      </c>
      <c r="Q19" s="2">
        <v>29</v>
      </c>
      <c r="R19" s="2">
        <v>355</v>
      </c>
      <c r="S19" s="2">
        <v>849</v>
      </c>
      <c r="T19" s="2">
        <v>229</v>
      </c>
      <c r="U19" s="2">
        <v>0.7</v>
      </c>
      <c r="V19" s="2">
        <v>3340</v>
      </c>
      <c r="W19" s="2">
        <v>146</v>
      </c>
      <c r="X19" s="2">
        <v>3010</v>
      </c>
      <c r="Y19" s="2">
        <v>65</v>
      </c>
      <c r="Z19" s="2">
        <v>10.3</v>
      </c>
      <c r="AA19" s="2">
        <v>152</v>
      </c>
      <c r="AB19" s="2">
        <v>413</v>
      </c>
      <c r="AC19" s="2">
        <v>350</v>
      </c>
      <c r="AD19" s="2">
        <v>33</v>
      </c>
      <c r="AE19" s="2">
        <v>3.5</v>
      </c>
      <c r="AF19" s="2">
        <v>3.2</v>
      </c>
      <c r="AG19" s="2">
        <v>80</v>
      </c>
      <c r="AH19" s="2">
        <v>289</v>
      </c>
      <c r="AI19" s="2">
        <v>200</v>
      </c>
      <c r="AJ19" s="2">
        <v>105</v>
      </c>
      <c r="AK19" s="2">
        <v>360</v>
      </c>
      <c r="AL19" s="2">
        <v>19</v>
      </c>
      <c r="AM19" s="2">
        <v>149</v>
      </c>
      <c r="AN19" s="2">
        <v>25</v>
      </c>
      <c r="AO19" s="2">
        <v>24</v>
      </c>
      <c r="AP19" s="2">
        <v>9.6</v>
      </c>
      <c r="AQ19" s="2">
        <v>108</v>
      </c>
      <c r="AR19" s="2">
        <v>115</v>
      </c>
      <c r="AS19" s="2">
        <v>0.85</v>
      </c>
      <c r="AT19" s="2">
        <v>0.4</v>
      </c>
      <c r="AU19" s="2">
        <v>0.5</v>
      </c>
      <c r="AV19" s="2">
        <v>0</v>
      </c>
      <c r="AW19" s="2">
        <v>25</v>
      </c>
      <c r="AX19" s="2">
        <v>4.5</v>
      </c>
      <c r="AY19" s="2">
        <v>82</v>
      </c>
      <c r="AZ19" s="2">
        <v>40</v>
      </c>
      <c r="BA19">
        <v>0</v>
      </c>
      <c r="BB19">
        <v>0</v>
      </c>
    </row>
    <row r="20" spans="1:54" ht="48">
      <c r="A20" s="1" t="s">
        <v>36</v>
      </c>
      <c r="B20" s="2" t="s">
        <v>33</v>
      </c>
      <c r="C20" s="2">
        <v>800</v>
      </c>
      <c r="D20" s="2">
        <v>276</v>
      </c>
      <c r="E20" s="2">
        <v>34.5</v>
      </c>
      <c r="F20" s="2" t="s">
        <v>29</v>
      </c>
      <c r="G20" s="2" t="s">
        <v>3</v>
      </c>
      <c r="H20" s="2">
        <v>2107</v>
      </c>
      <c r="I20" s="2">
        <v>10.5</v>
      </c>
      <c r="J20" s="2">
        <v>26</v>
      </c>
      <c r="K20" s="2">
        <v>3.6</v>
      </c>
      <c r="L20" s="2">
        <v>390</v>
      </c>
      <c r="M20" s="2">
        <v>56</v>
      </c>
      <c r="N20" s="2">
        <v>360</v>
      </c>
      <c r="O20" s="2">
        <v>13</v>
      </c>
      <c r="P20" s="2">
        <v>6</v>
      </c>
      <c r="Q20" s="2">
        <v>45</v>
      </c>
      <c r="R20" s="2">
        <v>450</v>
      </c>
      <c r="S20" s="2">
        <v>890</v>
      </c>
      <c r="T20" s="2">
        <v>350</v>
      </c>
      <c r="U20" s="2">
        <v>2</v>
      </c>
      <c r="V20" s="2">
        <v>3300</v>
      </c>
      <c r="W20" s="2">
        <v>90</v>
      </c>
      <c r="X20" s="2">
        <v>3400</v>
      </c>
      <c r="Y20" s="2">
        <v>66</v>
      </c>
      <c r="Z20" s="2">
        <v>20</v>
      </c>
      <c r="AA20" s="2">
        <v>150</v>
      </c>
      <c r="AB20" s="2">
        <v>380</v>
      </c>
      <c r="AC20" s="2">
        <v>320</v>
      </c>
      <c r="AD20" s="2">
        <v>31</v>
      </c>
      <c r="AE20" s="2">
        <v>4</v>
      </c>
      <c r="AF20" s="2">
        <v>3</v>
      </c>
      <c r="AG20" s="2">
        <v>50</v>
      </c>
      <c r="AH20" s="2">
        <v>346</v>
      </c>
      <c r="AI20" s="2">
        <v>225</v>
      </c>
      <c r="AJ20" s="2">
        <v>90</v>
      </c>
      <c r="AK20" s="2">
        <v>350</v>
      </c>
      <c r="AL20" s="2">
        <v>16</v>
      </c>
      <c r="AM20" s="2">
        <v>150</v>
      </c>
      <c r="AN20" s="2">
        <v>42</v>
      </c>
      <c r="AO20" s="2">
        <v>21</v>
      </c>
      <c r="AP20" s="2">
        <v>10</v>
      </c>
      <c r="AQ20" s="2">
        <v>100</v>
      </c>
      <c r="AR20" s="2">
        <v>110</v>
      </c>
      <c r="AS20" s="2">
        <v>1.6</v>
      </c>
      <c r="AT20" s="2">
        <v>0.2</v>
      </c>
      <c r="AU20">
        <v>0</v>
      </c>
      <c r="AV20">
        <v>0</v>
      </c>
      <c r="AW20" s="2">
        <v>20</v>
      </c>
      <c r="AX20" s="2">
        <v>4</v>
      </c>
      <c r="AY20" s="2">
        <v>110</v>
      </c>
      <c r="AZ20" s="2">
        <v>100</v>
      </c>
      <c r="BA20">
        <v>0</v>
      </c>
      <c r="BB20">
        <v>0</v>
      </c>
    </row>
    <row r="21" spans="1:54" ht="48">
      <c r="A21" s="1" t="s">
        <v>37</v>
      </c>
      <c r="B21" s="2" t="s">
        <v>33</v>
      </c>
      <c r="C21" s="2">
        <v>800</v>
      </c>
      <c r="D21" s="2">
        <v>459</v>
      </c>
      <c r="E21" s="2">
        <v>57.38</v>
      </c>
      <c r="F21" s="2" t="s">
        <v>38</v>
      </c>
      <c r="G21" s="2" t="s">
        <v>3</v>
      </c>
      <c r="H21" s="2">
        <v>2120</v>
      </c>
      <c r="I21" s="2">
        <v>10.9</v>
      </c>
      <c r="J21" s="2">
        <v>26.4</v>
      </c>
      <c r="K21" s="2">
        <v>3.3</v>
      </c>
      <c r="L21" s="2">
        <v>330</v>
      </c>
      <c r="M21" s="2">
        <v>55.6</v>
      </c>
      <c r="N21" s="2">
        <v>369</v>
      </c>
      <c r="O21" s="2">
        <v>15.3</v>
      </c>
      <c r="P21" s="2">
        <v>6.5</v>
      </c>
      <c r="Q21" s="2">
        <v>39</v>
      </c>
      <c r="R21" s="2">
        <v>365</v>
      </c>
      <c r="S21" s="2">
        <v>820</v>
      </c>
      <c r="T21" s="2">
        <v>270</v>
      </c>
      <c r="U21" s="2">
        <v>1.9</v>
      </c>
      <c r="V21" s="2">
        <v>3310</v>
      </c>
      <c r="W21" s="2">
        <v>132</v>
      </c>
      <c r="X21" s="2">
        <v>3610</v>
      </c>
      <c r="Y21" s="2">
        <v>68</v>
      </c>
      <c r="Z21" s="2">
        <v>16</v>
      </c>
      <c r="AA21" s="2">
        <v>150</v>
      </c>
      <c r="AB21" s="2">
        <v>371</v>
      </c>
      <c r="AC21" s="2">
        <v>360</v>
      </c>
      <c r="AD21" s="2">
        <v>37</v>
      </c>
      <c r="AE21" s="2">
        <v>3.3</v>
      </c>
      <c r="AF21" s="2">
        <v>3.2</v>
      </c>
      <c r="AG21" s="2">
        <v>60</v>
      </c>
      <c r="AH21" s="2">
        <v>293</v>
      </c>
      <c r="AI21" s="2">
        <v>204</v>
      </c>
      <c r="AJ21" s="2">
        <v>94</v>
      </c>
      <c r="AK21" s="2">
        <v>400</v>
      </c>
      <c r="AL21" s="2">
        <v>20</v>
      </c>
      <c r="AM21" s="2">
        <v>153</v>
      </c>
      <c r="AN21" s="2">
        <v>35</v>
      </c>
      <c r="AO21" s="2">
        <v>24</v>
      </c>
      <c r="AP21" s="2">
        <v>11.2</v>
      </c>
      <c r="AQ21" s="2">
        <v>106</v>
      </c>
      <c r="AR21" s="2">
        <v>128</v>
      </c>
      <c r="AS21">
        <v>0.8</v>
      </c>
      <c r="AT21" s="2">
        <v>0.8</v>
      </c>
      <c r="AU21">
        <v>0</v>
      </c>
      <c r="AV21">
        <v>0</v>
      </c>
      <c r="AW21" s="2">
        <v>25</v>
      </c>
      <c r="AX21" s="2">
        <v>5</v>
      </c>
      <c r="AY21" s="2">
        <v>92</v>
      </c>
      <c r="AZ21" s="2">
        <v>468</v>
      </c>
      <c r="BA21" s="2">
        <v>35</v>
      </c>
      <c r="BB21">
        <v>0</v>
      </c>
    </row>
    <row r="22" spans="1:54" ht="48">
      <c r="A22" s="1" t="s">
        <v>39</v>
      </c>
      <c r="B22" s="2" t="s">
        <v>40</v>
      </c>
      <c r="C22" s="2">
        <v>820</v>
      </c>
      <c r="D22" s="2">
        <v>323</v>
      </c>
      <c r="E22" s="2">
        <v>39.35</v>
      </c>
      <c r="F22" s="2" t="s">
        <v>41</v>
      </c>
      <c r="G22" s="2" t="s">
        <v>3</v>
      </c>
      <c r="H22" s="2">
        <v>2124</v>
      </c>
      <c r="I22" s="2">
        <v>10.6</v>
      </c>
      <c r="J22" s="2">
        <v>27</v>
      </c>
      <c r="K22" s="2">
        <v>4.0999999999999996</v>
      </c>
      <c r="L22" s="2">
        <v>360</v>
      </c>
      <c r="M22" s="2">
        <v>54</v>
      </c>
      <c r="N22" s="2">
        <v>420</v>
      </c>
      <c r="O22" s="2">
        <v>7.8</v>
      </c>
      <c r="P22" s="2">
        <v>6.4</v>
      </c>
      <c r="Q22" s="2">
        <v>36</v>
      </c>
      <c r="R22" s="2">
        <v>430</v>
      </c>
      <c r="S22" s="2">
        <v>860</v>
      </c>
      <c r="T22" s="2">
        <v>300</v>
      </c>
      <c r="U22" s="2">
        <v>1.56</v>
      </c>
      <c r="V22" s="2">
        <v>3300</v>
      </c>
      <c r="W22" s="2">
        <v>91</v>
      </c>
      <c r="X22" s="2">
        <v>2900</v>
      </c>
      <c r="Y22" s="2">
        <v>91</v>
      </c>
      <c r="Z22" s="2">
        <v>13.6</v>
      </c>
      <c r="AA22" s="2">
        <v>141</v>
      </c>
      <c r="AB22" s="2">
        <v>560</v>
      </c>
      <c r="AC22" s="2">
        <v>330</v>
      </c>
      <c r="AD22" s="2">
        <v>40</v>
      </c>
      <c r="AE22" s="2">
        <v>5</v>
      </c>
      <c r="AF22" s="2">
        <v>4</v>
      </c>
      <c r="AG22" s="2">
        <v>91</v>
      </c>
      <c r="AH22" s="2">
        <v>400</v>
      </c>
      <c r="AI22" s="2">
        <v>240</v>
      </c>
      <c r="AJ22" s="2">
        <v>86</v>
      </c>
      <c r="AK22" s="2">
        <v>330</v>
      </c>
      <c r="AL22" s="2">
        <v>13.6</v>
      </c>
      <c r="AM22" s="2">
        <v>121</v>
      </c>
      <c r="AN22" s="2">
        <v>43</v>
      </c>
      <c r="AO22" s="2">
        <v>30</v>
      </c>
      <c r="AP22" s="2">
        <v>10.1</v>
      </c>
      <c r="AQ22" s="2">
        <v>81</v>
      </c>
      <c r="AR22" s="2">
        <v>162</v>
      </c>
      <c r="AS22" s="2">
        <v>1.56</v>
      </c>
      <c r="AT22">
        <v>0</v>
      </c>
      <c r="AU22">
        <v>0</v>
      </c>
      <c r="AV22" s="2">
        <v>1.56</v>
      </c>
      <c r="AW22" s="2">
        <v>15.4</v>
      </c>
      <c r="AX22">
        <v>0</v>
      </c>
      <c r="AY22">
        <v>0</v>
      </c>
      <c r="AZ22" s="2">
        <v>450</v>
      </c>
      <c r="BA22">
        <v>0</v>
      </c>
      <c r="BB22">
        <v>0</v>
      </c>
    </row>
    <row r="23" spans="1:54" ht="48">
      <c r="A23" s="1" t="s">
        <v>42</v>
      </c>
      <c r="B23" s="2" t="s">
        <v>40</v>
      </c>
      <c r="C23" s="2">
        <v>850</v>
      </c>
      <c r="D23" s="2">
        <v>263</v>
      </c>
      <c r="E23" s="2">
        <v>30.94</v>
      </c>
      <c r="F23" s="2" t="s">
        <v>2</v>
      </c>
      <c r="G23" s="2" t="s">
        <v>3</v>
      </c>
      <c r="H23" s="2">
        <v>2102</v>
      </c>
      <c r="I23" s="2">
        <v>10.5</v>
      </c>
      <c r="J23" s="2">
        <v>26</v>
      </c>
      <c r="K23" s="2">
        <v>4.2</v>
      </c>
      <c r="L23" s="2">
        <v>350</v>
      </c>
      <c r="M23" s="2">
        <v>55</v>
      </c>
      <c r="N23" s="2">
        <v>450</v>
      </c>
      <c r="O23" s="2">
        <v>7</v>
      </c>
      <c r="P23" s="2">
        <v>6.4</v>
      </c>
      <c r="Q23" s="2">
        <v>43</v>
      </c>
      <c r="R23" s="2">
        <v>350</v>
      </c>
      <c r="S23" s="2">
        <v>1000</v>
      </c>
      <c r="T23" s="2">
        <v>300</v>
      </c>
      <c r="U23" s="2">
        <v>1.5</v>
      </c>
      <c r="V23" s="2">
        <v>3600</v>
      </c>
      <c r="W23" s="2">
        <v>80</v>
      </c>
      <c r="X23" s="2">
        <v>2400</v>
      </c>
      <c r="Y23" s="2">
        <v>100</v>
      </c>
      <c r="Z23" s="2">
        <v>13.5</v>
      </c>
      <c r="AA23" s="2">
        <v>150</v>
      </c>
      <c r="AB23" s="2">
        <v>520</v>
      </c>
      <c r="AC23" s="2">
        <v>330</v>
      </c>
      <c r="AD23" s="2">
        <v>38</v>
      </c>
      <c r="AE23" s="2">
        <v>5</v>
      </c>
      <c r="AF23" s="2">
        <v>4.5</v>
      </c>
      <c r="AG23" s="2">
        <v>85</v>
      </c>
      <c r="AH23" s="2">
        <v>380</v>
      </c>
      <c r="AI23" s="2">
        <v>230</v>
      </c>
      <c r="AJ23" s="2">
        <v>85</v>
      </c>
      <c r="AK23" s="2">
        <v>320</v>
      </c>
      <c r="AL23" s="2">
        <v>14</v>
      </c>
      <c r="AM23" s="2">
        <v>120</v>
      </c>
      <c r="AN23" s="2">
        <v>42</v>
      </c>
      <c r="AO23" s="2">
        <v>29</v>
      </c>
      <c r="AP23" s="2">
        <v>10</v>
      </c>
      <c r="AQ23" s="2">
        <v>88.4</v>
      </c>
      <c r="AR23" s="2">
        <v>176.8</v>
      </c>
      <c r="AS23" s="2">
        <v>1.52</v>
      </c>
      <c r="AT23">
        <v>0</v>
      </c>
      <c r="AU23">
        <v>0</v>
      </c>
      <c r="AV23" s="2">
        <v>1.56</v>
      </c>
      <c r="AW23" s="2">
        <v>15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 ht="48">
      <c r="A24" s="1" t="s">
        <v>43</v>
      </c>
      <c r="B24" s="2" t="s">
        <v>40</v>
      </c>
      <c r="C24" s="2">
        <v>300</v>
      </c>
      <c r="D24" s="2">
        <v>171</v>
      </c>
      <c r="E24" s="2">
        <v>57</v>
      </c>
      <c r="F24" s="2" t="s">
        <v>44</v>
      </c>
      <c r="G24" s="2" t="s">
        <v>3</v>
      </c>
      <c r="H24" s="2">
        <v>2121</v>
      </c>
      <c r="I24" s="2">
        <v>11.36</v>
      </c>
      <c r="J24" s="2">
        <v>26.9</v>
      </c>
      <c r="K24" s="2">
        <v>5.5</v>
      </c>
      <c r="L24" s="2">
        <v>581</v>
      </c>
      <c r="M24" s="2">
        <v>54</v>
      </c>
      <c r="N24" s="2">
        <v>511</v>
      </c>
      <c r="O24" s="2">
        <v>8.6</v>
      </c>
      <c r="P24" s="2">
        <v>5.0999999999999996</v>
      </c>
      <c r="Q24" s="2">
        <v>36.200000000000003</v>
      </c>
      <c r="R24" s="2">
        <v>490</v>
      </c>
      <c r="S24" s="2">
        <v>810</v>
      </c>
      <c r="T24" s="2">
        <v>400.6</v>
      </c>
      <c r="U24" s="2">
        <v>3.6</v>
      </c>
      <c r="V24" s="2">
        <v>3303</v>
      </c>
      <c r="W24" s="2">
        <v>70</v>
      </c>
      <c r="X24" s="2">
        <v>2792</v>
      </c>
      <c r="Y24" s="2">
        <v>66.099999999999994</v>
      </c>
      <c r="Z24" s="2">
        <v>17</v>
      </c>
      <c r="AA24" s="2">
        <v>160</v>
      </c>
      <c r="AB24" s="2">
        <v>405</v>
      </c>
      <c r="AC24" s="2">
        <v>319.7</v>
      </c>
      <c r="AD24" s="2">
        <v>30.1</v>
      </c>
      <c r="AE24" s="2">
        <v>4.2</v>
      </c>
      <c r="AF24" s="2">
        <v>3.8</v>
      </c>
      <c r="AG24" s="2">
        <v>34</v>
      </c>
      <c r="AH24" s="2">
        <v>380</v>
      </c>
      <c r="AI24" s="2">
        <v>240</v>
      </c>
      <c r="AJ24" s="2">
        <v>75</v>
      </c>
      <c r="AK24" s="2">
        <v>318</v>
      </c>
      <c r="AL24" s="2">
        <v>12.5</v>
      </c>
      <c r="AM24">
        <v>0</v>
      </c>
      <c r="AN24">
        <v>0</v>
      </c>
      <c r="AO24">
        <v>0</v>
      </c>
      <c r="AP24" s="2">
        <v>8.5</v>
      </c>
      <c r="AQ24" s="2">
        <v>37.659999999999997</v>
      </c>
      <c r="AR24" s="2">
        <v>64.56</v>
      </c>
      <c r="AS24" s="2">
        <v>1.3680000000000001</v>
      </c>
      <c r="AT24" s="2">
        <v>0.504</v>
      </c>
      <c r="AU24">
        <v>0</v>
      </c>
      <c r="AV24">
        <v>0</v>
      </c>
      <c r="AW24" s="2">
        <v>23.8</v>
      </c>
      <c r="AX24" s="2">
        <v>4.8</v>
      </c>
      <c r="AY24" s="2">
        <v>70</v>
      </c>
      <c r="AZ24" s="2">
        <v>0</v>
      </c>
      <c r="BA24">
        <v>0</v>
      </c>
      <c r="BB24">
        <v>0</v>
      </c>
    </row>
    <row r="25" spans="1:54" ht="48">
      <c r="A25" s="1" t="s">
        <v>127</v>
      </c>
      <c r="B25" s="2" t="s">
        <v>46</v>
      </c>
      <c r="C25" s="2">
        <v>900</v>
      </c>
      <c r="D25" s="2">
        <v>405</v>
      </c>
      <c r="E25" s="2">
        <v>45</v>
      </c>
      <c r="F25" s="2" t="s">
        <v>47</v>
      </c>
      <c r="G25" s="2" t="s">
        <v>3</v>
      </c>
      <c r="H25" s="2">
        <v>2103</v>
      </c>
      <c r="I25" s="2">
        <v>10.7</v>
      </c>
      <c r="J25" s="2">
        <v>26</v>
      </c>
      <c r="K25" s="2">
        <v>4.2</v>
      </c>
      <c r="L25" s="2">
        <v>450</v>
      </c>
      <c r="M25" s="2">
        <v>54.9</v>
      </c>
      <c r="N25" s="2">
        <v>510</v>
      </c>
      <c r="O25" s="2">
        <v>6.9</v>
      </c>
      <c r="P25" s="2">
        <v>7.5</v>
      </c>
      <c r="Q25" s="2">
        <v>46</v>
      </c>
      <c r="R25" s="2">
        <v>550</v>
      </c>
      <c r="S25" s="2">
        <v>1010</v>
      </c>
      <c r="T25" s="2">
        <v>415</v>
      </c>
      <c r="U25" s="2">
        <v>2</v>
      </c>
      <c r="V25" s="2">
        <v>3700</v>
      </c>
      <c r="W25" s="2">
        <v>75</v>
      </c>
      <c r="X25" s="2">
        <v>3500</v>
      </c>
      <c r="Y25" s="2">
        <v>145</v>
      </c>
      <c r="Z25" s="2">
        <v>22.5</v>
      </c>
      <c r="AA25" s="2">
        <v>165</v>
      </c>
      <c r="AB25" s="2">
        <v>540</v>
      </c>
      <c r="AC25" s="2">
        <v>365</v>
      </c>
      <c r="AD25" s="2">
        <v>48</v>
      </c>
      <c r="AE25" s="2">
        <v>5.5</v>
      </c>
      <c r="AF25" s="2">
        <v>5.0999999999999996</v>
      </c>
      <c r="AG25" s="2">
        <v>320</v>
      </c>
      <c r="AH25" s="2">
        <v>390</v>
      </c>
      <c r="AI25" s="2">
        <v>260</v>
      </c>
      <c r="AJ25" s="2">
        <v>70</v>
      </c>
      <c r="AK25" s="2">
        <v>340</v>
      </c>
      <c r="AL25" s="2">
        <v>18.3</v>
      </c>
      <c r="AM25" s="2">
        <v>94</v>
      </c>
      <c r="AN25" s="2">
        <v>32.700000000000003</v>
      </c>
      <c r="AO25" s="2">
        <v>39</v>
      </c>
      <c r="AP25" s="2">
        <v>8.5</v>
      </c>
      <c r="AQ25" s="2">
        <v>96.2</v>
      </c>
      <c r="AR25" s="2">
        <v>148.19999999999999</v>
      </c>
      <c r="AS25" s="2">
        <v>3</v>
      </c>
      <c r="AT25">
        <v>0</v>
      </c>
      <c r="AU25">
        <v>0</v>
      </c>
      <c r="AV25">
        <v>0</v>
      </c>
      <c r="AW25" s="2">
        <v>25</v>
      </c>
      <c r="AX25">
        <v>0</v>
      </c>
      <c r="AY25">
        <v>0</v>
      </c>
      <c r="AZ25" s="2">
        <v>30</v>
      </c>
      <c r="BA25">
        <v>0</v>
      </c>
      <c r="BB25">
        <v>0</v>
      </c>
    </row>
    <row r="26" spans="1:54" ht="64">
      <c r="A26" s="1" t="s">
        <v>48</v>
      </c>
      <c r="B26" s="2" t="s">
        <v>49</v>
      </c>
      <c r="C26" s="2">
        <v>700</v>
      </c>
      <c r="D26" s="2">
        <v>255</v>
      </c>
      <c r="E26" s="2">
        <v>36.43</v>
      </c>
      <c r="F26" s="2" t="s">
        <v>50</v>
      </c>
      <c r="G26" s="2" t="s">
        <v>3</v>
      </c>
      <c r="H26" s="2">
        <v>2126</v>
      </c>
      <c r="I26" s="2">
        <v>11</v>
      </c>
      <c r="J26" s="2">
        <v>27.1</v>
      </c>
      <c r="K26" s="2">
        <v>4.5999999999999996</v>
      </c>
      <c r="L26" s="2">
        <v>460</v>
      </c>
      <c r="M26" s="2">
        <v>54.2</v>
      </c>
      <c r="N26" s="2">
        <v>380</v>
      </c>
      <c r="O26" s="2">
        <v>12.6</v>
      </c>
      <c r="P26" s="2">
        <v>4</v>
      </c>
      <c r="Q26" s="2">
        <v>40</v>
      </c>
      <c r="R26" s="2">
        <v>500</v>
      </c>
      <c r="S26" s="2">
        <v>630</v>
      </c>
      <c r="T26" s="2">
        <v>224.5</v>
      </c>
      <c r="U26" s="2">
        <v>1</v>
      </c>
      <c r="V26" s="2">
        <v>3000</v>
      </c>
      <c r="W26" s="2">
        <v>78.3</v>
      </c>
      <c r="X26" s="2">
        <v>280</v>
      </c>
      <c r="Y26" s="2">
        <v>150</v>
      </c>
      <c r="Z26" s="2">
        <v>12</v>
      </c>
      <c r="AA26" s="2">
        <v>190</v>
      </c>
      <c r="AB26" s="2">
        <v>465</v>
      </c>
      <c r="AC26" s="2">
        <v>381</v>
      </c>
      <c r="AD26" s="2">
        <v>30</v>
      </c>
      <c r="AE26" s="2">
        <v>4</v>
      </c>
      <c r="AF26" s="2">
        <v>4</v>
      </c>
      <c r="AG26" s="2">
        <v>36</v>
      </c>
      <c r="AH26" s="2">
        <v>300</v>
      </c>
      <c r="AI26" s="2">
        <v>200</v>
      </c>
      <c r="AJ26" s="2">
        <v>96.9</v>
      </c>
      <c r="AK26" s="2">
        <v>330</v>
      </c>
      <c r="AL26" s="2">
        <v>19.25</v>
      </c>
      <c r="AM26" s="2">
        <v>128.80000000000001</v>
      </c>
      <c r="AN26" s="2">
        <v>27</v>
      </c>
      <c r="AO26" s="2">
        <v>38</v>
      </c>
      <c r="AP26" s="2">
        <v>8</v>
      </c>
      <c r="AQ26" s="2">
        <v>126</v>
      </c>
      <c r="AR26" s="2">
        <v>189</v>
      </c>
      <c r="AS26" s="2">
        <v>1.5</v>
      </c>
      <c r="AT26" s="2">
        <v>0.3</v>
      </c>
      <c r="AU26">
        <v>0</v>
      </c>
      <c r="AV26">
        <v>0</v>
      </c>
      <c r="AW26" s="2">
        <v>30</v>
      </c>
      <c r="AX26">
        <v>0</v>
      </c>
      <c r="AY26">
        <v>0</v>
      </c>
      <c r="AZ26" s="2">
        <v>38</v>
      </c>
      <c r="BA26">
        <v>0</v>
      </c>
      <c r="BB26">
        <v>0</v>
      </c>
    </row>
    <row r="27" spans="1:54" ht="48">
      <c r="A27" s="1" t="s">
        <v>51</v>
      </c>
      <c r="B27" s="2" t="s">
        <v>49</v>
      </c>
      <c r="C27" s="2">
        <v>1600</v>
      </c>
      <c r="D27" s="2">
        <v>480</v>
      </c>
      <c r="E27" s="2">
        <v>30</v>
      </c>
      <c r="F27" s="2" t="s">
        <v>38</v>
      </c>
      <c r="G27" s="2" t="s">
        <v>3</v>
      </c>
      <c r="H27" s="2">
        <v>2126</v>
      </c>
      <c r="I27" s="2">
        <v>11.5</v>
      </c>
      <c r="J27" s="2">
        <v>27</v>
      </c>
      <c r="K27" s="2">
        <v>4.5999999999999996</v>
      </c>
      <c r="L27" s="2">
        <v>460</v>
      </c>
      <c r="M27" s="2">
        <v>54</v>
      </c>
      <c r="N27" s="2">
        <v>450</v>
      </c>
      <c r="O27" s="2">
        <v>7</v>
      </c>
      <c r="P27" s="2">
        <v>4</v>
      </c>
      <c r="Q27" s="2">
        <v>40</v>
      </c>
      <c r="R27" s="2">
        <v>500</v>
      </c>
      <c r="S27" s="2">
        <v>630</v>
      </c>
      <c r="T27" s="2">
        <v>286</v>
      </c>
      <c r="U27" s="2">
        <v>1</v>
      </c>
      <c r="V27" s="2">
        <v>3000</v>
      </c>
      <c r="W27" s="2">
        <v>70</v>
      </c>
      <c r="X27" s="2">
        <v>2800</v>
      </c>
      <c r="Y27" s="2">
        <v>70</v>
      </c>
      <c r="Z27" s="2">
        <v>12</v>
      </c>
      <c r="AA27" s="2">
        <v>136</v>
      </c>
      <c r="AB27" s="2">
        <v>450</v>
      </c>
      <c r="AC27" s="2">
        <v>240</v>
      </c>
      <c r="AD27" s="2">
        <v>30</v>
      </c>
      <c r="AE27" s="2">
        <v>4</v>
      </c>
      <c r="AF27" s="2">
        <v>4</v>
      </c>
      <c r="AG27" s="2">
        <v>36</v>
      </c>
      <c r="AH27" s="2">
        <v>300</v>
      </c>
      <c r="AI27" s="2">
        <v>200</v>
      </c>
      <c r="AJ27" s="2">
        <v>70</v>
      </c>
      <c r="AK27" s="2">
        <v>330</v>
      </c>
      <c r="AL27" s="2">
        <v>13.2</v>
      </c>
      <c r="AM27" s="2">
        <v>80</v>
      </c>
      <c r="AN27" s="2">
        <v>27</v>
      </c>
      <c r="AO27" s="2">
        <v>38</v>
      </c>
      <c r="AP27" s="2">
        <v>8</v>
      </c>
      <c r="AQ27" s="2">
        <v>86.4</v>
      </c>
      <c r="AR27" s="2">
        <v>172.8</v>
      </c>
      <c r="AS27" s="2">
        <v>1.5</v>
      </c>
      <c r="AT27" s="2">
        <v>0.1</v>
      </c>
      <c r="AU27">
        <v>0</v>
      </c>
      <c r="AV27">
        <v>0</v>
      </c>
      <c r="AW27" s="2">
        <v>30</v>
      </c>
      <c r="AX27">
        <v>0</v>
      </c>
      <c r="AY27">
        <v>0</v>
      </c>
      <c r="AZ27" s="2">
        <v>38</v>
      </c>
      <c r="BA27">
        <v>0</v>
      </c>
      <c r="BB27">
        <v>0</v>
      </c>
    </row>
    <row r="28" spans="1:54" ht="48">
      <c r="A28" s="1" t="s">
        <v>52</v>
      </c>
      <c r="B28" s="2" t="s">
        <v>53</v>
      </c>
      <c r="C28" s="2">
        <v>900</v>
      </c>
      <c r="D28" s="2">
        <v>368</v>
      </c>
      <c r="E28" s="2">
        <v>40.89</v>
      </c>
      <c r="F28" s="2">
        <v>0</v>
      </c>
      <c r="G28" s="2" t="s">
        <v>3</v>
      </c>
      <c r="H28" s="2">
        <v>2119</v>
      </c>
      <c r="I28" s="2">
        <v>11.29</v>
      </c>
      <c r="J28" s="2">
        <v>27.4</v>
      </c>
      <c r="K28" s="2">
        <v>5</v>
      </c>
      <c r="L28" s="2">
        <v>450</v>
      </c>
      <c r="M28" s="2">
        <v>52.2</v>
      </c>
      <c r="N28" s="2">
        <v>541</v>
      </c>
      <c r="O28" s="2">
        <v>8.8000000000000007</v>
      </c>
      <c r="P28" s="2">
        <v>14</v>
      </c>
      <c r="Q28" s="2">
        <v>43</v>
      </c>
      <c r="R28" s="2">
        <v>590</v>
      </c>
      <c r="S28" s="2">
        <v>1100</v>
      </c>
      <c r="T28" s="2">
        <v>350</v>
      </c>
      <c r="U28" s="2">
        <v>1</v>
      </c>
      <c r="V28" s="2">
        <v>4100</v>
      </c>
      <c r="W28" s="2">
        <v>90</v>
      </c>
      <c r="X28" s="2">
        <v>3700</v>
      </c>
      <c r="Y28" s="2">
        <v>85</v>
      </c>
      <c r="Z28" s="2">
        <v>20</v>
      </c>
      <c r="AA28" s="2">
        <v>158</v>
      </c>
      <c r="AB28" s="2">
        <v>522</v>
      </c>
      <c r="AC28" s="2">
        <v>340</v>
      </c>
      <c r="AD28" s="2">
        <v>50</v>
      </c>
      <c r="AE28" s="2">
        <v>5.5</v>
      </c>
      <c r="AF28" s="2">
        <v>4.5999999999999996</v>
      </c>
      <c r="AG28" s="2">
        <v>75</v>
      </c>
      <c r="AH28" s="2">
        <v>385</v>
      </c>
      <c r="AI28" s="2">
        <v>242</v>
      </c>
      <c r="AJ28" s="2">
        <v>90</v>
      </c>
      <c r="AK28" s="2">
        <v>333</v>
      </c>
      <c r="AL28" s="2">
        <v>14</v>
      </c>
      <c r="AM28" s="2">
        <v>102</v>
      </c>
      <c r="AN28" s="2">
        <v>33</v>
      </c>
      <c r="AO28" s="2">
        <v>9</v>
      </c>
      <c r="AP28" s="2">
        <v>0</v>
      </c>
      <c r="AQ28" s="2">
        <v>87.68</v>
      </c>
      <c r="AR28" s="2">
        <v>115.08</v>
      </c>
      <c r="AS28" s="2">
        <v>3.1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 ht="64">
      <c r="A29" s="1" t="s">
        <v>54</v>
      </c>
      <c r="B29" s="2" t="s">
        <v>53</v>
      </c>
      <c r="C29" s="2">
        <v>820</v>
      </c>
      <c r="D29" s="2">
        <v>368</v>
      </c>
      <c r="E29" s="2">
        <v>44.88</v>
      </c>
      <c r="F29" s="2">
        <v>0</v>
      </c>
      <c r="G29" s="2" t="s">
        <v>3</v>
      </c>
      <c r="H29" s="2">
        <v>2142</v>
      </c>
      <c r="I29" s="2">
        <v>11.75</v>
      </c>
      <c r="J29" s="2">
        <v>27.52</v>
      </c>
      <c r="K29" s="2">
        <v>3.99</v>
      </c>
      <c r="L29" s="2">
        <v>421</v>
      </c>
      <c r="M29" s="2">
        <v>53.8</v>
      </c>
      <c r="N29" s="2">
        <v>395</v>
      </c>
      <c r="O29" s="2">
        <v>6.73</v>
      </c>
      <c r="P29" s="2">
        <v>12.9</v>
      </c>
      <c r="Q29" s="2">
        <v>49.3</v>
      </c>
      <c r="R29" s="2">
        <v>436</v>
      </c>
      <c r="S29" s="2">
        <v>752</v>
      </c>
      <c r="T29" s="2">
        <v>341</v>
      </c>
      <c r="U29" s="2">
        <v>2.2400000000000002</v>
      </c>
      <c r="V29" s="2">
        <v>4891</v>
      </c>
      <c r="W29" s="2">
        <v>75</v>
      </c>
      <c r="X29" s="2">
        <v>3550</v>
      </c>
      <c r="Y29" s="2">
        <v>102</v>
      </c>
      <c r="Z29" s="2">
        <v>22.6</v>
      </c>
      <c r="AA29" s="2">
        <v>199</v>
      </c>
      <c r="AB29" s="2">
        <v>677</v>
      </c>
      <c r="AC29" s="2">
        <v>384</v>
      </c>
      <c r="AD29" s="2">
        <v>38.1</v>
      </c>
      <c r="AE29" s="2">
        <v>6.25</v>
      </c>
      <c r="AF29" s="2">
        <v>4.12</v>
      </c>
      <c r="AG29" s="2">
        <v>98</v>
      </c>
      <c r="AH29" s="2">
        <v>414</v>
      </c>
      <c r="AI29" s="2">
        <v>331</v>
      </c>
      <c r="AJ29" s="2">
        <v>99.3</v>
      </c>
      <c r="AK29" s="2">
        <v>331</v>
      </c>
      <c r="AL29" s="2">
        <v>17.8</v>
      </c>
      <c r="AM29" s="2">
        <v>61</v>
      </c>
      <c r="AN29" s="2">
        <v>37.1</v>
      </c>
      <c r="AO29" s="2">
        <v>32.4</v>
      </c>
      <c r="AP29" s="2">
        <v>9.8000000000000007</v>
      </c>
      <c r="AQ29" s="2">
        <v>52</v>
      </c>
      <c r="AR29" s="2">
        <v>105</v>
      </c>
      <c r="AS29" s="2">
        <v>1.1299999999999999</v>
      </c>
      <c r="AT29">
        <v>0</v>
      </c>
      <c r="AU29">
        <v>0</v>
      </c>
      <c r="AV29">
        <v>0</v>
      </c>
      <c r="AW29" s="2">
        <v>54.2</v>
      </c>
      <c r="AX29">
        <v>0</v>
      </c>
      <c r="AY29">
        <v>86</v>
      </c>
      <c r="AZ29">
        <v>0</v>
      </c>
      <c r="BA29">
        <v>0</v>
      </c>
      <c r="BB29">
        <v>51</v>
      </c>
    </row>
    <row r="30" spans="1:54" ht="48">
      <c r="A30" s="1" t="s">
        <v>55</v>
      </c>
      <c r="B30" s="2" t="s">
        <v>9</v>
      </c>
      <c r="C30" s="2">
        <v>900</v>
      </c>
      <c r="D30" s="2">
        <v>228</v>
      </c>
      <c r="E30" s="2">
        <v>25.33</v>
      </c>
      <c r="F30" s="2" t="s">
        <v>29</v>
      </c>
      <c r="G30" s="2" t="s">
        <v>56</v>
      </c>
      <c r="H30" s="2">
        <v>2147</v>
      </c>
      <c r="I30" s="2">
        <v>10.5</v>
      </c>
      <c r="J30" s="2">
        <v>26.5</v>
      </c>
      <c r="K30" s="2">
        <v>3.8</v>
      </c>
      <c r="L30" s="2">
        <v>423</v>
      </c>
      <c r="M30" s="2">
        <v>56.7</v>
      </c>
      <c r="N30" s="2">
        <v>360</v>
      </c>
      <c r="O30" s="2">
        <v>13</v>
      </c>
      <c r="P30" s="2">
        <v>6</v>
      </c>
      <c r="Q30" s="2">
        <v>55</v>
      </c>
      <c r="R30" s="2">
        <v>610</v>
      </c>
      <c r="S30" s="2">
        <v>600</v>
      </c>
      <c r="T30" s="2">
        <v>4</v>
      </c>
      <c r="U30" s="2">
        <v>1.5</v>
      </c>
      <c r="V30" s="2">
        <v>4100</v>
      </c>
      <c r="W30" s="2">
        <v>72</v>
      </c>
      <c r="X30" s="2">
        <v>3022</v>
      </c>
      <c r="Y30" s="2">
        <v>71</v>
      </c>
      <c r="Z30" s="2">
        <v>15</v>
      </c>
      <c r="AA30" s="2">
        <v>175</v>
      </c>
      <c r="AB30" s="2">
        <v>400</v>
      </c>
      <c r="AC30" s="2">
        <v>360</v>
      </c>
      <c r="AD30" s="2">
        <v>30</v>
      </c>
      <c r="AE30" s="2">
        <v>4.5</v>
      </c>
      <c r="AF30" s="2">
        <v>4</v>
      </c>
      <c r="AG30" s="2">
        <v>43</v>
      </c>
      <c r="AH30" s="2">
        <v>350</v>
      </c>
      <c r="AI30" s="2">
        <v>210</v>
      </c>
      <c r="AJ30" s="2">
        <v>106</v>
      </c>
      <c r="AK30" s="2">
        <v>300</v>
      </c>
      <c r="AL30" s="2">
        <v>19</v>
      </c>
      <c r="AM30" s="2">
        <v>215</v>
      </c>
      <c r="AN30" s="2">
        <v>40</v>
      </c>
      <c r="AO30" s="2">
        <v>38</v>
      </c>
      <c r="AP30" s="2">
        <v>9</v>
      </c>
      <c r="AQ30" s="2">
        <v>97</v>
      </c>
      <c r="AR30" s="2">
        <v>164.9</v>
      </c>
      <c r="AS30" s="2">
        <v>2.7</v>
      </c>
      <c r="AT30" s="2">
        <v>0.3</v>
      </c>
      <c r="AU30">
        <v>0</v>
      </c>
      <c r="AV30">
        <v>0</v>
      </c>
      <c r="AW30" s="2">
        <v>30</v>
      </c>
      <c r="AX30">
        <v>0</v>
      </c>
      <c r="AY30">
        <v>66</v>
      </c>
      <c r="AZ30" s="2">
        <v>45</v>
      </c>
      <c r="BA30">
        <v>0</v>
      </c>
      <c r="BB30">
        <v>0</v>
      </c>
    </row>
    <row r="31" spans="1:54" ht="48">
      <c r="A31" s="1" t="s">
        <v>57</v>
      </c>
      <c r="B31" s="2" t="s">
        <v>9</v>
      </c>
      <c r="C31" s="2">
        <v>900</v>
      </c>
      <c r="D31" s="2">
        <v>223</v>
      </c>
      <c r="E31" s="2">
        <v>24.78</v>
      </c>
      <c r="F31" s="2" t="s">
        <v>58</v>
      </c>
      <c r="G31" s="2" t="s">
        <v>56</v>
      </c>
      <c r="H31" s="2">
        <v>2138</v>
      </c>
      <c r="I31" s="2">
        <v>10.5</v>
      </c>
      <c r="J31" s="2">
        <v>27.5</v>
      </c>
      <c r="K31" s="2">
        <v>4.0999999999999996</v>
      </c>
      <c r="L31" s="2">
        <v>410</v>
      </c>
      <c r="M31" s="2">
        <v>54</v>
      </c>
      <c r="N31" s="2">
        <v>360</v>
      </c>
      <c r="O31" s="2">
        <v>13</v>
      </c>
      <c r="P31" s="2">
        <v>6</v>
      </c>
      <c r="Q31" s="2">
        <v>60</v>
      </c>
      <c r="R31" s="2">
        <v>650</v>
      </c>
      <c r="S31" s="2">
        <v>500</v>
      </c>
      <c r="T31" s="2">
        <v>400</v>
      </c>
      <c r="U31" s="2">
        <v>1.5</v>
      </c>
      <c r="V31" s="2">
        <v>4100</v>
      </c>
      <c r="W31" s="2">
        <v>67</v>
      </c>
      <c r="X31" s="2">
        <v>3050</v>
      </c>
      <c r="Y31" s="2">
        <v>70</v>
      </c>
      <c r="Z31" s="2">
        <v>16</v>
      </c>
      <c r="AA31" s="2">
        <v>175</v>
      </c>
      <c r="AB31" s="2">
        <v>385</v>
      </c>
      <c r="AC31" s="2">
        <v>350</v>
      </c>
      <c r="AD31" s="2">
        <v>32</v>
      </c>
      <c r="AE31" s="2">
        <v>5</v>
      </c>
      <c r="AF31" s="2">
        <v>4.5</v>
      </c>
      <c r="AG31" s="2">
        <v>40</v>
      </c>
      <c r="AH31" s="2">
        <v>350</v>
      </c>
      <c r="AI31" s="2">
        <v>200</v>
      </c>
      <c r="AJ31" s="2">
        <v>106</v>
      </c>
      <c r="AK31" s="2">
        <v>280</v>
      </c>
      <c r="AL31" s="2">
        <v>19</v>
      </c>
      <c r="AM31" s="2">
        <v>215</v>
      </c>
      <c r="AN31" s="2">
        <v>40</v>
      </c>
      <c r="AO31" s="2">
        <v>38</v>
      </c>
      <c r="AP31" s="2">
        <v>9</v>
      </c>
      <c r="AQ31" s="2">
        <v>97</v>
      </c>
      <c r="AR31" s="2">
        <v>164.9</v>
      </c>
      <c r="AS31" s="2">
        <v>3</v>
      </c>
      <c r="AT31">
        <v>0</v>
      </c>
      <c r="AU31">
        <v>0</v>
      </c>
      <c r="AV31">
        <v>0</v>
      </c>
      <c r="AW31" s="2">
        <v>30</v>
      </c>
      <c r="AX31">
        <v>3.8</v>
      </c>
      <c r="AY31">
        <v>80</v>
      </c>
      <c r="AZ31">
        <v>0</v>
      </c>
      <c r="BA31">
        <v>0</v>
      </c>
      <c r="BB31">
        <v>0</v>
      </c>
    </row>
    <row r="32" spans="1:54" ht="48">
      <c r="A32" s="1" t="s">
        <v>59</v>
      </c>
      <c r="B32" s="2" t="s">
        <v>20</v>
      </c>
      <c r="C32" s="2">
        <v>400</v>
      </c>
      <c r="D32" s="2">
        <v>80</v>
      </c>
      <c r="E32" s="2">
        <v>20</v>
      </c>
      <c r="F32" s="2" t="s">
        <v>2</v>
      </c>
      <c r="G32" s="2" t="s">
        <v>56</v>
      </c>
      <c r="H32" s="2">
        <v>2163</v>
      </c>
      <c r="I32" s="2">
        <v>10.5</v>
      </c>
      <c r="J32" s="2">
        <v>27.9</v>
      </c>
      <c r="K32" s="2">
        <v>4.3</v>
      </c>
      <c r="L32" s="2">
        <v>430</v>
      </c>
      <c r="M32" s="2">
        <v>54.6</v>
      </c>
      <c r="N32" s="2">
        <v>385</v>
      </c>
      <c r="O32" s="2">
        <v>12.9</v>
      </c>
      <c r="P32" s="2">
        <v>7</v>
      </c>
      <c r="Q32" s="2">
        <v>70</v>
      </c>
      <c r="R32" s="2">
        <v>550</v>
      </c>
      <c r="S32" s="2">
        <v>600</v>
      </c>
      <c r="T32" s="2">
        <v>420</v>
      </c>
      <c r="U32" s="2">
        <v>2.6</v>
      </c>
      <c r="V32" s="2">
        <v>4000</v>
      </c>
      <c r="W32" s="2">
        <v>79</v>
      </c>
      <c r="X32" s="2">
        <v>2850</v>
      </c>
      <c r="Y32" s="2">
        <v>65</v>
      </c>
      <c r="Z32" s="2">
        <v>16</v>
      </c>
      <c r="AA32" s="2">
        <v>189.3</v>
      </c>
      <c r="AB32" s="2">
        <v>466</v>
      </c>
      <c r="AC32" s="2">
        <v>386.1</v>
      </c>
      <c r="AD32" s="2">
        <v>32</v>
      </c>
      <c r="AE32" s="2">
        <v>4.75</v>
      </c>
      <c r="AF32" s="2">
        <v>3.77</v>
      </c>
      <c r="AG32" s="2">
        <v>50</v>
      </c>
      <c r="AH32" s="2">
        <v>350</v>
      </c>
      <c r="AI32" s="2">
        <v>220</v>
      </c>
      <c r="AJ32" s="2">
        <v>98</v>
      </c>
      <c r="AK32" s="2">
        <v>325</v>
      </c>
      <c r="AL32" s="2">
        <v>19.5</v>
      </c>
      <c r="AM32" s="2">
        <v>130</v>
      </c>
      <c r="AN32" s="2">
        <v>45</v>
      </c>
      <c r="AO32" s="2">
        <v>40</v>
      </c>
      <c r="AP32" s="2">
        <v>11</v>
      </c>
      <c r="AQ32" s="2">
        <v>120</v>
      </c>
      <c r="AR32" s="2">
        <v>150</v>
      </c>
      <c r="AS32" s="2">
        <v>1.5</v>
      </c>
      <c r="AT32" s="2">
        <v>1.5</v>
      </c>
      <c r="AU32">
        <v>0</v>
      </c>
      <c r="AV32">
        <v>0</v>
      </c>
      <c r="AW32" s="2">
        <v>35</v>
      </c>
      <c r="AX32">
        <v>6</v>
      </c>
      <c r="AY32">
        <v>0</v>
      </c>
      <c r="AZ32">
        <v>0</v>
      </c>
      <c r="BA32">
        <v>0</v>
      </c>
      <c r="BB32">
        <v>0</v>
      </c>
    </row>
    <row r="33" spans="1:54" ht="16">
      <c r="A33" s="3" t="s">
        <v>114</v>
      </c>
      <c r="B33" s="2" t="s">
        <v>126</v>
      </c>
      <c r="C33" s="2" t="s">
        <v>126</v>
      </c>
      <c r="D33" s="2" t="s">
        <v>126</v>
      </c>
      <c r="E33" s="2" t="s">
        <v>126</v>
      </c>
      <c r="F33" s="2" t="s">
        <v>126</v>
      </c>
      <c r="G33" s="2" t="s">
        <v>126</v>
      </c>
      <c r="H33" s="2">
        <f>SUBTOTAL(101,表1[能量kj])</f>
        <v>2127.7741935483873</v>
      </c>
      <c r="I33" s="2">
        <f>SUBTOTAL(101,表1[蛋白质g])</f>
        <v>10.627419354838709</v>
      </c>
      <c r="J33" s="2">
        <f>SUBTOTAL(101,表1[脂肪g])</f>
        <v>27.042580645161284</v>
      </c>
      <c r="K33" s="2">
        <f>SUBTOTAL(101,表1[亚油酸g])</f>
        <v>3.8570967741935474</v>
      </c>
      <c r="L33" s="2">
        <f>SUBTOTAL(101,表1[a-亚麻酸mg])</f>
        <v>418.25806451612902</v>
      </c>
      <c r="M33" s="2">
        <f>SUBTOTAL(101,表1[碳水化合物g])</f>
        <v>54.492258064516122</v>
      </c>
      <c r="N33" s="2">
        <f>SUBTOTAL(101,表1[维生素A（ug视黄醇）])</f>
        <v>395.45161290322579</v>
      </c>
      <c r="O33" s="2">
        <f>SUBTOTAL(101,表1[维生素D ug])</f>
        <v>11.220322580645165</v>
      </c>
      <c r="P33" s="2">
        <f>SUBTOTAL(101,表1[维生素E mg])</f>
        <v>6.9870967741935495</v>
      </c>
      <c r="Q33" s="2">
        <f>SUBTOTAL(101,表1[维生素K1 ug])</f>
        <v>45.693548387096776</v>
      </c>
      <c r="R33" s="2">
        <f>SUBTOTAL(101,表1[维生素B1 ug])</f>
        <v>513.0322580645161</v>
      </c>
      <c r="S33" s="2">
        <f>SUBTOTAL(101,表1[维生素B2 ug])</f>
        <v>738.09677419354841</v>
      </c>
      <c r="T33" s="2">
        <f>SUBTOTAL(101,表1[维生素B6 ug])</f>
        <v>332.841935483871</v>
      </c>
      <c r="U33" s="2">
        <f>SUBTOTAL(101,表1[维生素B12 ug])</f>
        <v>1.5412903225806449</v>
      </c>
      <c r="V33" s="2">
        <f>SUBTOTAL(101,表1[烟酸 ug])</f>
        <v>3680.2580645161293</v>
      </c>
      <c r="W33" s="2">
        <f>SUBTOTAL(101,表1[叶酸 ug])</f>
        <v>87.280645161290337</v>
      </c>
      <c r="X33" s="2">
        <f>SUBTOTAL(101,表1[泛酸 ug])</f>
        <v>3072.0645161290322</v>
      </c>
      <c r="Y33" s="2">
        <f>SUBTOTAL(101,表1[维生素C mg])</f>
        <v>81.454838709677418</v>
      </c>
      <c r="Z33" s="2">
        <f>SUBTOTAL(101,表1[生物素 ug])</f>
        <v>14.948387096774194</v>
      </c>
      <c r="AA33" s="2">
        <f>SUBTOTAL(101,表1[钠 mg])</f>
        <v>170.09677419354838</v>
      </c>
      <c r="AB33" s="2">
        <f>SUBTOTAL(101,表1[钾 mg])</f>
        <v>465.77419354838707</v>
      </c>
      <c r="AC33" s="2">
        <f>SUBTOTAL(101,表1[铜 ug])</f>
        <v>353.80645161290323</v>
      </c>
      <c r="AD33" s="2">
        <f>SUBTOTAL(101,表1[镁 mg])</f>
        <v>36.332258064516125</v>
      </c>
      <c r="AE33" s="2">
        <f>SUBTOTAL(101,表1[[铁 mg ]])</f>
        <v>4.5774193548387085</v>
      </c>
      <c r="AF33" s="2">
        <f>SUBTOTAL(101,表1[锌 mg])</f>
        <v>3.9861290322580643</v>
      </c>
      <c r="AG33" s="2">
        <f>SUBTOTAL(101,表1[锰 ug])</f>
        <v>72.354838709677423</v>
      </c>
      <c r="AH33" s="2">
        <f>SUBTOTAL(101,表1[钙mg])</f>
        <v>356.96774193548384</v>
      </c>
      <c r="AI33" s="2">
        <f>SUBTOTAL(101,表1[磷 mg])</f>
        <v>227.09677419354838</v>
      </c>
      <c r="AJ33" s="2">
        <f>SUBTOTAL(101,表1[碘 ug])</f>
        <v>96.193548387096783</v>
      </c>
      <c r="AK33" s="2">
        <f>SUBTOTAL(101,表1[氯 mg])</f>
        <v>328</v>
      </c>
      <c r="AL33" s="2">
        <f>SUBTOTAL(101,表1[硒 mg])</f>
        <v>17.504838709677422</v>
      </c>
      <c r="AM33" s="2">
        <f>SUBTOTAL(101,表1[胆碱 mg])</f>
        <v>137.30000000000001</v>
      </c>
      <c r="AN33" s="2">
        <f>SUBTOTAL(101,表1[肌醇 mg])</f>
        <v>35.141935483870974</v>
      </c>
      <c r="AO33" s="2">
        <f>SUBTOTAL(101,表1[牛磺酸 mg])</f>
        <v>29.206451612903226</v>
      </c>
      <c r="AP33" s="2">
        <f>SUBTOTAL(101,表1[左旋肉碱 mg])</f>
        <v>9.5516129032258057</v>
      </c>
      <c r="AQ33" s="2">
        <f>SUBTOTAL(101,表1[二十二碳六烯酸 mg])</f>
        <v>92.58193548387095</v>
      </c>
      <c r="AR33" s="2">
        <f>SUBTOTAL(101,表1[二十碳四烯酸 mg])</f>
        <v>129.49161290322581</v>
      </c>
      <c r="AS33" s="2">
        <f>IFERROR(AVERAGEIF(表1[低聚半乳糖 g],"&gt;0"),0)</f>
        <v>2.2684444444444449</v>
      </c>
      <c r="AT33" s="2">
        <f>IFERROR(AVERAGEIF(表1[低聚果糖 g],"&gt;0"),0)</f>
        <v>0.75800000000000012</v>
      </c>
      <c r="AU33" s="2">
        <f>IFERROR(AVERAGEIF(表1[多聚果糖 g],"&gt;0"),0)</f>
        <v>0.55249999999999999</v>
      </c>
      <c r="AV33" s="2">
        <f>IFERROR(AVERAGEIF(表1[聚葡萄糖 g],"&gt;0"),0)</f>
        <v>1.56</v>
      </c>
      <c r="AW33" s="2">
        <f>IFERROR(AVERAGEIF(表1[核苷酸 mg],"&gt;0"),0)</f>
        <v>27.384615384615383</v>
      </c>
      <c r="AX33" s="2">
        <f>IFERROR(AVERAGEIF(表1[13二油酸 g],"&gt;0"),0)</f>
        <v>5.3176470588235301</v>
      </c>
      <c r="AY33" s="2">
        <f>IFERROR(AVERAGEIF(表1[叶黄素 ug],"&gt;0"),0)</f>
        <v>81.214285714285708</v>
      </c>
      <c r="AZ33" s="2">
        <f>IFERROR(AVERAGEIF(表1[乳铁蛋白 mg],"&gt;0"),0)</f>
        <v>157.27272727272728</v>
      </c>
      <c r="BA33" s="2">
        <f>IFERROR(AVERAGEIF(表1[酪蛋白磷酸肽 mg],"&gt;0"),0)</f>
        <v>45</v>
      </c>
      <c r="BB33" s="2">
        <f>IFERROR(AVERAGEIF(表1[b胡萝卜素 ug],"&gt;0"),0)</f>
        <v>51</v>
      </c>
    </row>
  </sheetData>
  <phoneticPr fontId="3" alignment="center"/>
  <hyperlinks>
    <hyperlink ref="A2" r:id="rId1" xr:uid="{2F840FC2-5763-4F0E-BD44-B7A343D78540}"/>
    <hyperlink ref="A3" r:id="rId2" location="crumb-wrap" xr:uid="{21B2C741-C253-47BC-8121-8D50617C53C7}"/>
    <hyperlink ref="A4" r:id="rId3" location="crumb-wrap" xr:uid="{85D82AB7-A61F-466C-B776-DABE422D1ADF}"/>
    <hyperlink ref="A5" r:id="rId4" location="crumb-wrap" xr:uid="{BAA4A867-717B-467A-8DB8-866E1638A31F}"/>
    <hyperlink ref="A6" r:id="rId5" xr:uid="{6D6265EE-2E51-4BB5-A4C6-3040B3DE89B5}"/>
    <hyperlink ref="A7" r:id="rId6" location="crumb-wrap" xr:uid="{37A680E4-549C-4571-BA83-189007C7BFE3}"/>
    <hyperlink ref="A8" r:id="rId7" xr:uid="{BC2A8014-AA08-4766-B442-389AD1DEF531}"/>
    <hyperlink ref="A9" r:id="rId8" xr:uid="{2FBBCD9D-CB37-4295-80E8-0BC9870C7739}"/>
    <hyperlink ref="A10" r:id="rId9" xr:uid="{B87D9B58-4CAE-4DB1-BF8B-5D383189D282}"/>
    <hyperlink ref="A11" r:id="rId10" xr:uid="{D172B740-0E5B-4483-B984-A97BB3C01671}"/>
    <hyperlink ref="A12" r:id="rId11" location="crumb-wrap" xr:uid="{3F0DFC9B-AF22-4828-81C6-CE43348BDA45}"/>
    <hyperlink ref="A13" r:id="rId12" xr:uid="{F21145A4-6D9B-4E1D-A83C-1034360A2545}"/>
    <hyperlink ref="A14" r:id="rId13" xr:uid="{2D416132-F591-43F3-A14D-6BD4C8C75A6F}"/>
    <hyperlink ref="A15" r:id="rId14" xr:uid="{74442F51-BE4D-4647-B5E6-1324DE615545}"/>
    <hyperlink ref="A16" r:id="rId15" xr:uid="{DC18E3C6-E4BB-418B-9EAC-10F4AE3FF459}"/>
    <hyperlink ref="A17" r:id="rId16" xr:uid="{59DD8780-F499-4008-B308-25FB4B40A6E9}"/>
    <hyperlink ref="A18" r:id="rId17" xr:uid="{B5C38184-5520-4ED3-A4E5-524086040D30}"/>
    <hyperlink ref="A19" r:id="rId18" xr:uid="{BF8C2737-5A90-4AB3-A0D5-70C6C0D60DA3}"/>
    <hyperlink ref="A20" r:id="rId19" xr:uid="{D5577829-F3EA-4093-89E7-004526CC9F6E}"/>
    <hyperlink ref="A21" r:id="rId20" xr:uid="{DF47F9A7-BA82-4188-87E1-BA0741B79E3E}"/>
    <hyperlink ref="A22" r:id="rId21" xr:uid="{268B3621-93F2-4EDE-AD54-769EC9CE53EB}"/>
    <hyperlink ref="A23" r:id="rId22" xr:uid="{8F3BACD8-1CAF-488B-B6DB-95B7BA0F56C0}"/>
    <hyperlink ref="A24" r:id="rId23" xr:uid="{0551768B-D37F-402D-AEB4-5122BB06EEB4}"/>
    <hyperlink ref="A26" r:id="rId24" xr:uid="{B444B87E-E494-4186-92AB-E39CF522CC18}"/>
    <hyperlink ref="A27" r:id="rId25" xr:uid="{D031B987-947D-4B6D-976B-7A65670AB98F}"/>
    <hyperlink ref="A28" r:id="rId26" location="crumb-wrap" xr:uid="{292EB920-1ECF-46DD-8CF7-6FCA297E51F0}"/>
    <hyperlink ref="A29" r:id="rId27" location="crumb-wrap" xr:uid="{BEFD1DF6-08AE-4CF1-BF73-375C27702267}"/>
    <hyperlink ref="A30" r:id="rId28" xr:uid="{98277C5F-C986-4B56-9A96-B009FF83CF39}"/>
    <hyperlink ref="A31" r:id="rId29" xr:uid="{642B1B29-DDD9-4CB6-A561-8C43ED29B4F8}"/>
    <hyperlink ref="A32" r:id="rId30" xr:uid="{2798ABB7-FC58-411B-B5CA-D1626905A628}"/>
    <hyperlink ref="A25" r:id="rId31" xr:uid="{C3310D67-D5A5-4822-A57F-48C4CB1E969F}"/>
  </hyperlinks>
  <pageMargins left="0.7" right="0.7" top="0.75" bottom="0.75" header="0.3" footer="0.3"/>
  <tableParts count="1">
    <tablePart r:id="rId3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08A2-C59B-4C2C-8612-B858DCBD4BC5}">
  <dimension ref="A1:AV12"/>
  <sheetViews>
    <sheetView topLeftCell="P1" workbookViewId="0">
      <selection activeCell="Y30" sqref="Y30"/>
    </sheetView>
  </sheetViews>
  <sheetFormatPr baseColWidth="10" defaultColWidth="8.83203125" defaultRowHeight="15"/>
  <cols>
    <col min="3" max="3" width="9.5" customWidth="1"/>
    <col min="5" max="5" width="9.5" customWidth="1"/>
    <col min="6" max="7" width="13.1640625" customWidth="1"/>
    <col min="8" max="8" width="21.1640625" customWidth="1"/>
    <col min="9" max="9" width="12.5" customWidth="1"/>
    <col min="10" max="10" width="12.6640625" customWidth="1"/>
    <col min="11" max="14" width="13.1640625" customWidth="1"/>
    <col min="15" max="15" width="14.1640625" customWidth="1"/>
    <col min="16" max="18" width="9.1640625" customWidth="1"/>
    <col min="19" max="19" width="12.6640625" customWidth="1"/>
    <col min="20" max="20" width="11.1640625" customWidth="1"/>
    <col min="33" max="34" width="9.6640625" customWidth="1"/>
    <col min="35" max="35" width="11.6640625" customWidth="1"/>
    <col min="36" max="36" width="13.5" customWidth="1"/>
    <col min="37" max="37" width="19.1640625" customWidth="1"/>
    <col min="38" max="38" width="17.1640625" customWidth="1"/>
    <col min="39" max="39" width="13.6640625" customWidth="1"/>
    <col min="40" max="42" width="11.83203125" customWidth="1"/>
    <col min="43" max="43" width="11.6640625" customWidth="1"/>
    <col min="44" max="44" width="12" customWidth="1"/>
    <col min="45" max="45" width="11.1640625" customWidth="1"/>
    <col min="46" max="46" width="13.5" customWidth="1"/>
    <col min="47" max="47" width="17.1640625" customWidth="1"/>
    <col min="48" max="48" width="14.1640625" customWidth="1"/>
  </cols>
  <sheetData>
    <row r="1" spans="1:48" ht="14.25">
      <c r="A1" t="s">
        <v>125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67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109</v>
      </c>
      <c r="AL1" t="s">
        <v>110</v>
      </c>
      <c r="AM1" t="s">
        <v>102</v>
      </c>
      <c r="AN1" t="s">
        <v>111</v>
      </c>
      <c r="AO1" t="s">
        <v>103</v>
      </c>
      <c r="AP1" t="s">
        <v>112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113</v>
      </c>
    </row>
    <row r="2" spans="1:48" ht="16">
      <c r="A2" s="3" t="s">
        <v>115</v>
      </c>
      <c r="B2" s="2">
        <v>2103</v>
      </c>
      <c r="C2" s="2">
        <v>10.7</v>
      </c>
      <c r="D2" s="2">
        <v>26</v>
      </c>
      <c r="E2" s="2">
        <v>4.2</v>
      </c>
      <c r="F2" s="2">
        <v>450</v>
      </c>
      <c r="G2" s="2">
        <v>54.9</v>
      </c>
      <c r="H2" s="2">
        <v>510</v>
      </c>
      <c r="I2" s="2">
        <v>6.9</v>
      </c>
      <c r="J2" s="2">
        <v>7.5</v>
      </c>
      <c r="K2" s="2">
        <v>46</v>
      </c>
      <c r="L2" s="2">
        <v>550</v>
      </c>
      <c r="M2" s="2">
        <v>1010</v>
      </c>
      <c r="N2" s="2">
        <v>415</v>
      </c>
      <c r="O2" s="2">
        <v>2</v>
      </c>
      <c r="P2" s="2">
        <v>3700</v>
      </c>
      <c r="Q2" s="2">
        <v>75</v>
      </c>
      <c r="R2" s="2">
        <v>3500</v>
      </c>
      <c r="S2" s="2">
        <v>145</v>
      </c>
      <c r="T2" s="2">
        <v>22.5</v>
      </c>
      <c r="U2" s="2">
        <v>165</v>
      </c>
      <c r="V2" s="2">
        <v>540</v>
      </c>
      <c r="W2" s="2">
        <v>365</v>
      </c>
      <c r="X2" s="2">
        <v>48</v>
      </c>
      <c r="Y2" s="2">
        <v>5.5</v>
      </c>
      <c r="Z2" s="2">
        <v>5.0999999999999996</v>
      </c>
      <c r="AA2" s="2">
        <v>320</v>
      </c>
      <c r="AB2" s="2">
        <v>390</v>
      </c>
      <c r="AC2" s="2">
        <v>260</v>
      </c>
      <c r="AD2" s="2">
        <v>70</v>
      </c>
      <c r="AE2" s="2">
        <v>340</v>
      </c>
      <c r="AF2" s="2">
        <v>18.3</v>
      </c>
      <c r="AG2" s="2">
        <v>94</v>
      </c>
      <c r="AH2" s="2">
        <v>32.700000000000003</v>
      </c>
      <c r="AI2" s="2">
        <v>39</v>
      </c>
      <c r="AJ2" s="2">
        <v>8.5</v>
      </c>
      <c r="AK2" s="2">
        <v>96.2</v>
      </c>
      <c r="AL2" s="2">
        <v>148.19999999999999</v>
      </c>
      <c r="AM2" s="2">
        <v>3</v>
      </c>
      <c r="AN2" s="2">
        <v>0</v>
      </c>
      <c r="AO2" s="2">
        <v>0</v>
      </c>
      <c r="AP2" s="2">
        <v>0</v>
      </c>
      <c r="AQ2" s="2">
        <v>25</v>
      </c>
      <c r="AR2" s="2">
        <v>0</v>
      </c>
      <c r="AS2" s="2">
        <v>0</v>
      </c>
      <c r="AT2" s="2">
        <v>30</v>
      </c>
      <c r="AU2" s="2">
        <v>0</v>
      </c>
      <c r="AV2" s="2">
        <v>0</v>
      </c>
    </row>
    <row r="3" spans="1:48" ht="16">
      <c r="A3" s="3" t="s">
        <v>116</v>
      </c>
      <c r="B3" s="2">
        <v>2083.3333333333335</v>
      </c>
      <c r="C3" s="2">
        <v>10.566666666666668</v>
      </c>
      <c r="D3" s="2">
        <v>26.599999999999998</v>
      </c>
      <c r="E3" s="2">
        <v>3.2600000000000002</v>
      </c>
      <c r="F3" s="2">
        <v>417.33333333333331</v>
      </c>
      <c r="G3" s="2">
        <v>51.733333333333327</v>
      </c>
      <c r="H3" s="2">
        <v>363.33333333333331</v>
      </c>
      <c r="I3" s="2">
        <v>11</v>
      </c>
      <c r="J3" s="2">
        <v>6.5333333333333341</v>
      </c>
      <c r="K3" s="2">
        <v>38</v>
      </c>
      <c r="L3" s="2">
        <v>426.66666666666669</v>
      </c>
      <c r="M3" s="2">
        <v>699.66666666666663</v>
      </c>
      <c r="N3" s="2">
        <v>302</v>
      </c>
      <c r="O3" s="2">
        <v>1.3733333333333333</v>
      </c>
      <c r="P3" s="2">
        <v>2824.6666666666665</v>
      </c>
      <c r="Q3" s="2">
        <v>90.466666666666654</v>
      </c>
      <c r="R3" s="2">
        <v>2766.6666666666665</v>
      </c>
      <c r="S3" s="2">
        <v>89.666666666666671</v>
      </c>
      <c r="T3" s="2">
        <v>12.066666666666668</v>
      </c>
      <c r="U3" s="2">
        <v>170.70000000000002</v>
      </c>
      <c r="V3" s="2">
        <v>492.66666666666669</v>
      </c>
      <c r="W3" s="2">
        <v>350.33333333333331</v>
      </c>
      <c r="X3" s="2">
        <v>36.699999999999996</v>
      </c>
      <c r="Y3" s="2">
        <v>3.6666666666666665</v>
      </c>
      <c r="Z3" s="2">
        <v>3.3466666666666662</v>
      </c>
      <c r="AA3" s="2">
        <v>52.666666666666664</v>
      </c>
      <c r="AB3" s="2">
        <v>349.33333333333331</v>
      </c>
      <c r="AC3" s="2">
        <v>242.66666666666666</v>
      </c>
      <c r="AD3" s="2">
        <v>103.93333333333334</v>
      </c>
      <c r="AE3" s="2">
        <v>351</v>
      </c>
      <c r="AF3" s="2">
        <v>16.3</v>
      </c>
      <c r="AG3" s="2">
        <v>112.83333333333333</v>
      </c>
      <c r="AH3" s="2">
        <v>38.333333333333336</v>
      </c>
      <c r="AI3" s="2">
        <v>30.333333333333332</v>
      </c>
      <c r="AJ3" s="2">
        <v>12.366666666666667</v>
      </c>
      <c r="AK3" s="2">
        <v>92.333333333333329</v>
      </c>
      <c r="AL3" s="2">
        <v>102.66666666666667</v>
      </c>
      <c r="AM3" s="2">
        <v>4.4666666666666668</v>
      </c>
      <c r="AN3" s="2">
        <v>0</v>
      </c>
      <c r="AO3" s="2">
        <v>0.40333333333333332</v>
      </c>
      <c r="AP3" s="2">
        <v>0</v>
      </c>
      <c r="AQ3" s="2">
        <v>13.200000000000001</v>
      </c>
      <c r="AR3" s="2">
        <v>1.2</v>
      </c>
      <c r="AS3" s="2">
        <v>27</v>
      </c>
      <c r="AT3" s="2">
        <v>8.6666666666666661</v>
      </c>
      <c r="AU3" s="2">
        <v>0</v>
      </c>
      <c r="AV3" s="2">
        <v>0</v>
      </c>
    </row>
    <row r="4" spans="1:48" ht="16">
      <c r="A4" s="3" t="s">
        <v>117</v>
      </c>
      <c r="B4" s="2">
        <v>2126</v>
      </c>
      <c r="C4" s="2">
        <v>11.25</v>
      </c>
      <c r="D4" s="2">
        <v>27.05</v>
      </c>
      <c r="E4" s="2">
        <v>4.5999999999999996</v>
      </c>
      <c r="F4" s="2">
        <v>460</v>
      </c>
      <c r="G4" s="2">
        <v>54.1</v>
      </c>
      <c r="H4" s="2">
        <v>415</v>
      </c>
      <c r="I4" s="2">
        <v>9.8000000000000007</v>
      </c>
      <c r="J4" s="2">
        <v>4</v>
      </c>
      <c r="K4" s="2">
        <v>40</v>
      </c>
      <c r="L4" s="2">
        <v>500</v>
      </c>
      <c r="M4" s="2">
        <v>630</v>
      </c>
      <c r="N4" s="2">
        <v>255.25</v>
      </c>
      <c r="O4" s="2">
        <v>1</v>
      </c>
      <c r="P4" s="2">
        <v>3000</v>
      </c>
      <c r="Q4" s="2">
        <v>74.150000000000006</v>
      </c>
      <c r="R4" s="2">
        <v>1540</v>
      </c>
      <c r="S4" s="2">
        <v>110</v>
      </c>
      <c r="T4" s="2">
        <v>12</v>
      </c>
      <c r="U4" s="2">
        <v>163</v>
      </c>
      <c r="V4" s="2">
        <v>457.5</v>
      </c>
      <c r="W4" s="2">
        <v>310.5</v>
      </c>
      <c r="X4" s="2">
        <v>30</v>
      </c>
      <c r="Y4" s="2">
        <v>4</v>
      </c>
      <c r="Z4" s="2">
        <v>4</v>
      </c>
      <c r="AA4" s="2">
        <v>36</v>
      </c>
      <c r="AB4" s="2">
        <v>300</v>
      </c>
      <c r="AC4" s="2">
        <v>200</v>
      </c>
      <c r="AD4" s="2">
        <v>83.45</v>
      </c>
      <c r="AE4" s="2">
        <v>330</v>
      </c>
      <c r="AF4" s="2">
        <v>16.225000000000001</v>
      </c>
      <c r="AG4" s="2">
        <v>104.4</v>
      </c>
      <c r="AH4" s="2">
        <v>27</v>
      </c>
      <c r="AI4" s="2">
        <v>38</v>
      </c>
      <c r="AJ4" s="2">
        <v>8</v>
      </c>
      <c r="AK4" s="2">
        <v>106.2</v>
      </c>
      <c r="AL4" s="2">
        <v>180.9</v>
      </c>
      <c r="AM4" s="2">
        <v>1.5</v>
      </c>
      <c r="AN4" s="2">
        <v>0.2</v>
      </c>
      <c r="AO4" s="2">
        <v>0</v>
      </c>
      <c r="AP4" s="2">
        <v>0</v>
      </c>
      <c r="AQ4" s="2">
        <v>30</v>
      </c>
      <c r="AR4" s="2">
        <v>0</v>
      </c>
      <c r="AS4" s="2">
        <v>0</v>
      </c>
      <c r="AT4" s="2">
        <v>38</v>
      </c>
      <c r="AU4" s="2">
        <v>0</v>
      </c>
      <c r="AV4" s="2">
        <v>0</v>
      </c>
    </row>
    <row r="5" spans="1:48">
      <c r="A5" t="s">
        <v>118</v>
      </c>
      <c r="B5">
        <v>2128</v>
      </c>
      <c r="C5">
        <v>10.357142857142858</v>
      </c>
      <c r="D5">
        <v>27.057142857142857</v>
      </c>
      <c r="E5">
        <v>4.0571428571428569</v>
      </c>
      <c r="F5">
        <v>411.85714285714283</v>
      </c>
      <c r="G5">
        <v>54.614285714285714</v>
      </c>
      <c r="H5">
        <v>360</v>
      </c>
      <c r="I5">
        <v>13</v>
      </c>
      <c r="J5">
        <v>6</v>
      </c>
      <c r="K5">
        <v>59.285714285714285</v>
      </c>
      <c r="L5">
        <v>640.42857142857144</v>
      </c>
      <c r="M5">
        <v>514.28571428571433</v>
      </c>
      <c r="N5">
        <v>343.42857142857144</v>
      </c>
      <c r="O5">
        <v>1.5</v>
      </c>
      <c r="P5">
        <v>4100</v>
      </c>
      <c r="Q5">
        <v>71</v>
      </c>
      <c r="R5">
        <v>3038.8571428571427</v>
      </c>
      <c r="S5">
        <v>70.428571428571431</v>
      </c>
      <c r="T5">
        <v>15.857142857142858</v>
      </c>
      <c r="U5">
        <v>175</v>
      </c>
      <c r="V5">
        <v>389.28571428571428</v>
      </c>
      <c r="W5">
        <v>351.42857142857144</v>
      </c>
      <c r="X5">
        <v>31.571428571428573</v>
      </c>
      <c r="Y5">
        <v>4.9285714285714288</v>
      </c>
      <c r="Z5">
        <v>4.4285714285714288</v>
      </c>
      <c r="AA5">
        <v>40.857142857142854</v>
      </c>
      <c r="AB5">
        <v>351.42857142857144</v>
      </c>
      <c r="AC5">
        <v>202.85714285714286</v>
      </c>
      <c r="AD5">
        <v>106</v>
      </c>
      <c r="AE5">
        <v>285.28571428571428</v>
      </c>
      <c r="AF5">
        <v>19</v>
      </c>
      <c r="AG5">
        <v>215</v>
      </c>
      <c r="AH5">
        <v>34.285714285714285</v>
      </c>
      <c r="AI5">
        <v>32.571428571428569</v>
      </c>
      <c r="AJ5">
        <v>7.7142857142857144</v>
      </c>
      <c r="AK5">
        <v>96</v>
      </c>
      <c r="AL5">
        <v>163.20000000000002</v>
      </c>
      <c r="AM5">
        <v>2.5285714285714285</v>
      </c>
      <c r="AN5">
        <v>0.25714285714285717</v>
      </c>
      <c r="AO5">
        <v>0</v>
      </c>
      <c r="AP5">
        <v>0</v>
      </c>
      <c r="AQ5">
        <v>25.714285714285715</v>
      </c>
      <c r="AR5">
        <v>4.5428571428571427</v>
      </c>
      <c r="AS5">
        <v>64.571428571428569</v>
      </c>
      <c r="AT5">
        <v>12.857142857142858</v>
      </c>
      <c r="AU5">
        <v>22.857142857142858</v>
      </c>
      <c r="AV5">
        <v>0</v>
      </c>
    </row>
    <row r="6" spans="1:48">
      <c r="A6" t="s">
        <v>119</v>
      </c>
      <c r="B6">
        <v>2126</v>
      </c>
      <c r="C6">
        <v>10.86</v>
      </c>
      <c r="D6" s="2">
        <f>SUBTOTAL(101,表1[脂肪g])</f>
        <v>27.042580645161284</v>
      </c>
      <c r="E6">
        <v>3.4</v>
      </c>
      <c r="F6">
        <v>417.8</v>
      </c>
      <c r="G6">
        <v>55.14</v>
      </c>
      <c r="H6">
        <v>367.6</v>
      </c>
      <c r="I6">
        <v>14.219999999999999</v>
      </c>
      <c r="J6">
        <v>6.7</v>
      </c>
      <c r="K6">
        <v>32.799999999999997</v>
      </c>
      <c r="L6">
        <v>407</v>
      </c>
      <c r="M6">
        <v>948</v>
      </c>
      <c r="N6">
        <v>280.2</v>
      </c>
      <c r="O6">
        <v>1.2</v>
      </c>
      <c r="P6">
        <v>3314</v>
      </c>
      <c r="Q6">
        <v>128.80000000000001</v>
      </c>
      <c r="R6">
        <v>3348</v>
      </c>
      <c r="S6">
        <v>74</v>
      </c>
      <c r="T6">
        <v>13.459999999999999</v>
      </c>
      <c r="U6">
        <v>152.19999999999999</v>
      </c>
      <c r="V6">
        <v>389.8</v>
      </c>
      <c r="W6">
        <v>346</v>
      </c>
      <c r="X6">
        <v>33.200000000000003</v>
      </c>
      <c r="Y6">
        <v>3.3600000000000003</v>
      </c>
      <c r="Z6">
        <v>3.16</v>
      </c>
      <c r="AA6">
        <v>61.8</v>
      </c>
      <c r="AB6">
        <v>296.8</v>
      </c>
      <c r="AC6">
        <v>206.4</v>
      </c>
      <c r="AD6">
        <v>99.8</v>
      </c>
      <c r="AE6">
        <v>364</v>
      </c>
      <c r="AF6">
        <v>18</v>
      </c>
      <c r="AG6">
        <v>155.4</v>
      </c>
      <c r="AH6">
        <v>30.6</v>
      </c>
      <c r="AI6">
        <v>24.2</v>
      </c>
      <c r="AJ6">
        <v>10.319999999999999</v>
      </c>
      <c r="AK6">
        <v>105.4</v>
      </c>
      <c r="AL6">
        <v>118.4</v>
      </c>
      <c r="AM6">
        <v>0.99</v>
      </c>
      <c r="AN6">
        <v>0.53</v>
      </c>
      <c r="AO6">
        <v>0.2</v>
      </c>
      <c r="AP6">
        <v>0</v>
      </c>
      <c r="AQ6">
        <v>26</v>
      </c>
      <c r="AR6">
        <v>4.84</v>
      </c>
      <c r="AS6">
        <v>89.6</v>
      </c>
      <c r="AT6">
        <v>121.6</v>
      </c>
      <c r="AU6">
        <v>22</v>
      </c>
      <c r="AV6">
        <v>0</v>
      </c>
    </row>
    <row r="7" spans="1:48" ht="14.25">
      <c r="A7" t="s">
        <v>120</v>
      </c>
      <c r="B7">
        <v>2121</v>
      </c>
      <c r="C7">
        <v>11</v>
      </c>
      <c r="D7">
        <v>27</v>
      </c>
      <c r="E7">
        <v>2.2999999999999998</v>
      </c>
      <c r="F7">
        <v>325</v>
      </c>
      <c r="G7">
        <v>53.5</v>
      </c>
      <c r="H7">
        <v>400</v>
      </c>
      <c r="I7">
        <v>8.6</v>
      </c>
      <c r="J7">
        <v>6.2</v>
      </c>
      <c r="K7">
        <v>39</v>
      </c>
      <c r="L7">
        <v>490</v>
      </c>
      <c r="M7">
        <v>660</v>
      </c>
      <c r="N7">
        <v>370</v>
      </c>
      <c r="O7">
        <v>1.7</v>
      </c>
      <c r="P7">
        <v>3600</v>
      </c>
      <c r="Q7">
        <v>95</v>
      </c>
      <c r="R7">
        <v>5000</v>
      </c>
      <c r="S7">
        <v>100</v>
      </c>
      <c r="T7">
        <v>20</v>
      </c>
      <c r="U7">
        <v>160</v>
      </c>
      <c r="V7">
        <v>550</v>
      </c>
      <c r="W7">
        <v>370</v>
      </c>
      <c r="X7">
        <v>48</v>
      </c>
      <c r="Y7">
        <v>6</v>
      </c>
      <c r="Z7">
        <v>4.5999999999999996</v>
      </c>
      <c r="AA7">
        <v>115</v>
      </c>
      <c r="AB7">
        <v>400</v>
      </c>
      <c r="AC7">
        <v>230</v>
      </c>
      <c r="AD7">
        <v>95</v>
      </c>
      <c r="AE7">
        <v>320</v>
      </c>
      <c r="AF7">
        <v>19</v>
      </c>
      <c r="AG7">
        <v>155</v>
      </c>
      <c r="AH7">
        <v>50</v>
      </c>
      <c r="AI7">
        <v>30</v>
      </c>
      <c r="AJ7">
        <v>20</v>
      </c>
      <c r="AK7">
        <v>94.5</v>
      </c>
      <c r="AL7">
        <v>124.2</v>
      </c>
      <c r="AM7">
        <v>3</v>
      </c>
      <c r="AN7">
        <v>0</v>
      </c>
      <c r="AO7">
        <v>0</v>
      </c>
      <c r="AP7">
        <v>0</v>
      </c>
      <c r="AQ7">
        <v>24</v>
      </c>
      <c r="AR7">
        <v>0</v>
      </c>
      <c r="AS7">
        <v>0</v>
      </c>
      <c r="AT7">
        <v>450</v>
      </c>
      <c r="AU7">
        <v>0</v>
      </c>
      <c r="AV7">
        <v>0</v>
      </c>
    </row>
    <row r="8" spans="1:48" ht="14.25">
      <c r="A8" t="s">
        <v>121</v>
      </c>
      <c r="B8">
        <v>2115.6666666666665</v>
      </c>
      <c r="C8">
        <v>10.82</v>
      </c>
      <c r="D8">
        <v>26.633333333333336</v>
      </c>
      <c r="E8">
        <v>4.6000000000000005</v>
      </c>
      <c r="F8">
        <v>430.33333333333331</v>
      </c>
      <c r="G8">
        <v>54.333333333333336</v>
      </c>
      <c r="H8">
        <v>460.33333333333331</v>
      </c>
      <c r="I8">
        <v>7.8</v>
      </c>
      <c r="J8">
        <v>5.9666666666666659</v>
      </c>
      <c r="K8">
        <v>38.4</v>
      </c>
      <c r="L8">
        <v>423.33333333333331</v>
      </c>
      <c r="M8">
        <v>890</v>
      </c>
      <c r="N8">
        <v>333.53333333333336</v>
      </c>
      <c r="O8">
        <v>2.2200000000000002</v>
      </c>
      <c r="P8">
        <v>3401</v>
      </c>
      <c r="Q8">
        <v>80.333333333333329</v>
      </c>
      <c r="R8">
        <v>2697.3333333333335</v>
      </c>
      <c r="S8">
        <v>85.7</v>
      </c>
      <c r="T8">
        <v>14.700000000000001</v>
      </c>
      <c r="U8">
        <v>150.33333333333334</v>
      </c>
      <c r="V8">
        <v>495</v>
      </c>
      <c r="W8">
        <v>326.56666666666666</v>
      </c>
      <c r="X8">
        <v>36.033333333333331</v>
      </c>
      <c r="Y8">
        <v>4.7333333333333334</v>
      </c>
      <c r="Z8">
        <v>4.1000000000000005</v>
      </c>
      <c r="AA8">
        <v>70</v>
      </c>
      <c r="AB8">
        <v>386.66666666666669</v>
      </c>
      <c r="AC8">
        <v>236.66666666666666</v>
      </c>
      <c r="AD8">
        <v>82</v>
      </c>
      <c r="AE8">
        <v>322.66666666666669</v>
      </c>
      <c r="AF8">
        <v>13.366666666666667</v>
      </c>
      <c r="AG8">
        <v>80.333333333333329</v>
      </c>
      <c r="AH8">
        <v>28.333333333333332</v>
      </c>
      <c r="AI8">
        <v>19.666666666666668</v>
      </c>
      <c r="AJ8">
        <v>9.5333333333333332</v>
      </c>
      <c r="AK8">
        <v>69.02</v>
      </c>
      <c r="AL8">
        <v>134.45333333333335</v>
      </c>
      <c r="AM8">
        <v>1.4826666666666668</v>
      </c>
      <c r="AN8">
        <v>0.16800000000000001</v>
      </c>
      <c r="AO8">
        <v>0</v>
      </c>
      <c r="AP8">
        <v>1.04</v>
      </c>
      <c r="AQ8">
        <v>18.066666666666666</v>
      </c>
      <c r="AR8">
        <v>1.5999999999999999</v>
      </c>
      <c r="AS8">
        <v>23.333333333333332</v>
      </c>
      <c r="AT8">
        <v>150</v>
      </c>
      <c r="AU8">
        <v>0</v>
      </c>
      <c r="AV8">
        <v>0</v>
      </c>
    </row>
    <row r="9" spans="1:48" ht="14.25">
      <c r="A9" t="s">
        <v>122</v>
      </c>
      <c r="B9">
        <v>2153</v>
      </c>
      <c r="C9">
        <v>9.9375</v>
      </c>
      <c r="D9">
        <v>27.425000000000001</v>
      </c>
      <c r="E9">
        <v>3.25</v>
      </c>
      <c r="F9">
        <v>398.75</v>
      </c>
      <c r="G9">
        <v>56.664999999999999</v>
      </c>
      <c r="H9">
        <v>399.75</v>
      </c>
      <c r="I9">
        <v>10</v>
      </c>
      <c r="J9">
        <v>8.5</v>
      </c>
      <c r="K9">
        <v>35.25</v>
      </c>
      <c r="L9">
        <v>530</v>
      </c>
      <c r="M9">
        <v>797.5</v>
      </c>
      <c r="N9">
        <v>340</v>
      </c>
      <c r="O9">
        <v>0.94</v>
      </c>
      <c r="P9">
        <v>3962.5</v>
      </c>
      <c r="Q9">
        <v>83</v>
      </c>
      <c r="R9">
        <v>3362.5</v>
      </c>
      <c r="S9">
        <v>72.25</v>
      </c>
      <c r="T9">
        <v>11.925000000000001</v>
      </c>
      <c r="U9">
        <v>187</v>
      </c>
      <c r="V9">
        <v>550</v>
      </c>
      <c r="W9">
        <v>377.25</v>
      </c>
      <c r="X9">
        <v>45.25</v>
      </c>
      <c r="Y9">
        <v>4.9749999999999996</v>
      </c>
      <c r="Z9">
        <v>4.1750000000000007</v>
      </c>
      <c r="AA9">
        <v>112.5</v>
      </c>
      <c r="AB9">
        <v>418.75</v>
      </c>
      <c r="AC9">
        <v>256.75</v>
      </c>
      <c r="AD9">
        <v>92</v>
      </c>
      <c r="AE9">
        <v>342.75</v>
      </c>
      <c r="AF9">
        <v>17.649999999999999</v>
      </c>
      <c r="AG9">
        <v>96</v>
      </c>
      <c r="AH9">
        <v>38.65</v>
      </c>
      <c r="AI9">
        <v>25</v>
      </c>
      <c r="AJ9">
        <v>9.375</v>
      </c>
      <c r="AK9">
        <v>81.05</v>
      </c>
      <c r="AL9">
        <v>81.05</v>
      </c>
      <c r="AM9">
        <v>0.755</v>
      </c>
      <c r="AN9">
        <v>0</v>
      </c>
      <c r="AO9">
        <v>0</v>
      </c>
      <c r="AP9">
        <v>0</v>
      </c>
      <c r="AQ9">
        <v>10</v>
      </c>
      <c r="AR9">
        <v>1</v>
      </c>
      <c r="AS9">
        <v>0</v>
      </c>
      <c r="AT9">
        <v>0</v>
      </c>
      <c r="AU9">
        <v>0</v>
      </c>
      <c r="AV9">
        <v>0</v>
      </c>
    </row>
    <row r="10" spans="1:48">
      <c r="A10" t="s">
        <v>123</v>
      </c>
      <c r="B10">
        <v>2130.5</v>
      </c>
      <c r="C10">
        <v>11.52</v>
      </c>
      <c r="D10">
        <v>27.46</v>
      </c>
      <c r="E10">
        <v>4.4950000000000001</v>
      </c>
      <c r="F10">
        <v>435.5</v>
      </c>
      <c r="G10">
        <v>53</v>
      </c>
      <c r="H10">
        <v>468</v>
      </c>
      <c r="I10">
        <v>7.7650000000000006</v>
      </c>
      <c r="J10">
        <v>13.45</v>
      </c>
      <c r="K10">
        <v>46.15</v>
      </c>
      <c r="L10">
        <v>513</v>
      </c>
      <c r="M10">
        <v>926</v>
      </c>
      <c r="N10">
        <v>345.5</v>
      </c>
      <c r="O10">
        <v>1.62</v>
      </c>
      <c r="P10">
        <v>4495.5</v>
      </c>
      <c r="Q10">
        <v>82.5</v>
      </c>
      <c r="R10">
        <v>3625</v>
      </c>
      <c r="S10">
        <v>93.5</v>
      </c>
      <c r="T10">
        <v>21.3</v>
      </c>
      <c r="U10">
        <v>178.5</v>
      </c>
      <c r="V10">
        <v>599.5</v>
      </c>
      <c r="W10">
        <v>362</v>
      </c>
      <c r="X10">
        <v>44.05</v>
      </c>
      <c r="Y10">
        <v>5.875</v>
      </c>
      <c r="Z10">
        <v>4.3599999999999994</v>
      </c>
      <c r="AA10">
        <v>86.5</v>
      </c>
      <c r="AB10">
        <v>399.5</v>
      </c>
      <c r="AC10">
        <v>286.5</v>
      </c>
      <c r="AD10">
        <v>94.65</v>
      </c>
      <c r="AE10">
        <v>332</v>
      </c>
      <c r="AF10">
        <v>15.9</v>
      </c>
      <c r="AG10">
        <v>81.5</v>
      </c>
      <c r="AH10">
        <v>35.049999999999997</v>
      </c>
      <c r="AI10">
        <v>20.7</v>
      </c>
      <c r="AJ10">
        <v>4.9000000000000004</v>
      </c>
      <c r="AK10">
        <v>69.84</v>
      </c>
      <c r="AL10">
        <v>110.03999999999999</v>
      </c>
      <c r="AM10">
        <v>2.1150000000000002</v>
      </c>
      <c r="AN10">
        <v>0</v>
      </c>
      <c r="AO10">
        <v>0</v>
      </c>
      <c r="AP10">
        <v>0</v>
      </c>
      <c r="AQ10">
        <v>27.1</v>
      </c>
      <c r="AR10">
        <v>0</v>
      </c>
      <c r="AS10">
        <v>43</v>
      </c>
      <c r="AT10">
        <v>0</v>
      </c>
      <c r="AU10">
        <v>0</v>
      </c>
      <c r="AV10">
        <v>25.5</v>
      </c>
    </row>
    <row r="11" spans="1:48" ht="14.25">
      <c r="A11" t="s">
        <v>124</v>
      </c>
      <c r="B11">
        <v>2163</v>
      </c>
      <c r="C11">
        <v>10.5</v>
      </c>
      <c r="D11">
        <v>27.899999999999995</v>
      </c>
      <c r="E11">
        <v>4.3</v>
      </c>
      <c r="F11">
        <v>430</v>
      </c>
      <c r="G11">
        <v>54.6</v>
      </c>
      <c r="H11">
        <v>385</v>
      </c>
      <c r="I11">
        <v>12.9</v>
      </c>
      <c r="J11">
        <v>7</v>
      </c>
      <c r="K11">
        <v>70</v>
      </c>
      <c r="L11">
        <v>550</v>
      </c>
      <c r="M11">
        <v>600</v>
      </c>
      <c r="N11">
        <v>420</v>
      </c>
      <c r="O11">
        <v>2.6</v>
      </c>
      <c r="P11">
        <v>4000</v>
      </c>
      <c r="Q11">
        <v>79</v>
      </c>
      <c r="R11">
        <v>2850</v>
      </c>
      <c r="S11">
        <v>65</v>
      </c>
      <c r="T11">
        <v>16</v>
      </c>
      <c r="U11">
        <v>189.30000000000004</v>
      </c>
      <c r="V11">
        <v>466</v>
      </c>
      <c r="W11">
        <v>386.10000000000008</v>
      </c>
      <c r="X11">
        <v>32</v>
      </c>
      <c r="Y11">
        <v>4.75</v>
      </c>
      <c r="Z11">
        <v>3.77</v>
      </c>
      <c r="AA11">
        <v>50</v>
      </c>
      <c r="AB11">
        <v>350</v>
      </c>
      <c r="AC11">
        <v>220</v>
      </c>
      <c r="AD11">
        <v>98</v>
      </c>
      <c r="AE11">
        <v>325</v>
      </c>
      <c r="AF11">
        <v>19.5</v>
      </c>
      <c r="AG11">
        <v>130</v>
      </c>
      <c r="AH11">
        <v>45</v>
      </c>
      <c r="AI11">
        <v>40</v>
      </c>
      <c r="AJ11">
        <v>11</v>
      </c>
      <c r="AK11">
        <v>106.66666666666667</v>
      </c>
      <c r="AL11">
        <v>130</v>
      </c>
      <c r="AM11">
        <v>1.5</v>
      </c>
      <c r="AN11">
        <v>1.5</v>
      </c>
      <c r="AO11">
        <v>0</v>
      </c>
      <c r="AP11">
        <v>0</v>
      </c>
      <c r="AQ11">
        <v>35</v>
      </c>
      <c r="AR11">
        <v>7.333333333333333</v>
      </c>
      <c r="AS11">
        <v>0</v>
      </c>
      <c r="AT11">
        <v>0</v>
      </c>
      <c r="AU11">
        <v>0</v>
      </c>
      <c r="AV11">
        <v>0</v>
      </c>
    </row>
    <row r="12" spans="1:48" ht="14.25">
      <c r="B12">
        <f>SUBTOTAL(101,品牌均值表[能量kj])</f>
        <v>2124.9499999999998</v>
      </c>
      <c r="C12">
        <f>SUBTOTAL(101,品牌均值表[蛋白质g])</f>
        <v>10.751130952380951</v>
      </c>
      <c r="D12">
        <f>SUBTOTAL(101,品牌均值表[脂肪g])</f>
        <v>27.013941798941801</v>
      </c>
      <c r="E12">
        <f>SUBTOTAL(101,品牌均值表[亚油酸g])</f>
        <v>3.8462142857142858</v>
      </c>
      <c r="F12">
        <f>SUBTOTAL(101,品牌均值表[a-亚麻酸mg])</f>
        <v>417.657380952381</v>
      </c>
      <c r="G12">
        <f>SUBTOTAL(101,品牌均值表[碳水化合物g])</f>
        <v>54.258595238095232</v>
      </c>
      <c r="H12">
        <f>SUBTOTAL(101,品牌均值表[维生素A（ug视黄醇）])</f>
        <v>412.90166666666664</v>
      </c>
      <c r="I12">
        <f>SUBTOTAL(101,品牌均值表[维生素D ug])</f>
        <v>10.198500000000001</v>
      </c>
      <c r="J12">
        <f>SUBTOTAL(101,品牌均值表[维生素E mg])</f>
        <v>7.1850000000000005</v>
      </c>
      <c r="K12">
        <f>SUBTOTAL(101,品牌均值表[维生素K1 ug])</f>
        <v>44.488571428571426</v>
      </c>
      <c r="L12">
        <f>SUBTOTAL(101,品牌均值表[维生素B1 ug])</f>
        <v>503.04285714285714</v>
      </c>
      <c r="M12">
        <f>SUBTOTAL(101,品牌均值表[维生素B2 ug])</f>
        <v>767.54523809523812</v>
      </c>
      <c r="N12">
        <f>SUBTOTAL(101,品牌均值表[维生素B6 ug])</f>
        <v>340.49119047619052</v>
      </c>
      <c r="O12">
        <f>SUBTOTAL(101,品牌均值表[维生素B12 ug])</f>
        <v>1.6153333333333335</v>
      </c>
      <c r="P12">
        <f>SUBTOTAL(101,品牌均值表[烟酸 ug])</f>
        <v>3639.7666666666664</v>
      </c>
      <c r="Q12">
        <f>SUBTOTAL(101,品牌均值表[叶酸 ug])</f>
        <v>85.925000000000011</v>
      </c>
      <c r="R12">
        <f>SUBTOTAL(101,品牌均值表[泛酸 ug])</f>
        <v>3172.8357142857139</v>
      </c>
      <c r="S12">
        <f>SUBTOTAL(101,品牌均值表[维生素C mg])</f>
        <v>90.554523809523815</v>
      </c>
      <c r="T12">
        <f>SUBTOTAL(101,品牌均值表[生物素 ug])</f>
        <v>15.980880952380952</v>
      </c>
      <c r="U12">
        <f>SUBTOTAL(101,品牌均值表[钠 mg])</f>
        <v>169.10333333333332</v>
      </c>
      <c r="V12">
        <f>SUBTOTAL(101,品牌均值表[钾 mg])</f>
        <v>492.97523809523807</v>
      </c>
      <c r="W12">
        <f>SUBTOTAL(101,品牌均值表[铜 ug])</f>
        <v>354.51785714285711</v>
      </c>
      <c r="X12">
        <f>SUBTOTAL(101,品牌均值表[镁 mg])</f>
        <v>38.480476190476196</v>
      </c>
      <c r="Y12">
        <f>SUBTOTAL(101,品牌均值表[[铁 mg ]])</f>
        <v>4.7788571428571434</v>
      </c>
      <c r="Z12">
        <f>SUBTOTAL(101,品牌均值表[锌 mg])</f>
        <v>4.1040238095238104</v>
      </c>
      <c r="AA12">
        <f>SUBTOTAL(101,品牌均值表[锰 ug])</f>
        <v>94.532380952380962</v>
      </c>
      <c r="AB12">
        <f>SUBTOTAL(101,品牌均值表[钙mg])</f>
        <v>364.24785714285713</v>
      </c>
      <c r="AC12">
        <f>SUBTOTAL(101,品牌均值表[磷 mg])</f>
        <v>234.18404761904762</v>
      </c>
      <c r="AD12">
        <f>SUBTOTAL(101,品牌均值表[碘 ug])</f>
        <v>92.483333333333334</v>
      </c>
      <c r="AE12">
        <f>SUBTOTAL(101,品牌均值表[氯 mg])</f>
        <v>331.27023809523808</v>
      </c>
      <c r="AF12">
        <f>SUBTOTAL(101,品牌均值表[硒 mg])</f>
        <v>17.324166666666667</v>
      </c>
      <c r="AG12">
        <f>SUBTOTAL(101,品牌均值表[胆碱 mg])</f>
        <v>122.44666666666667</v>
      </c>
      <c r="AH12">
        <f>SUBTOTAL(101,品牌均值表[肌醇 mg])</f>
        <v>35.995238095238093</v>
      </c>
      <c r="AI12">
        <f>SUBTOTAL(101,品牌均值表[牛磺酸 mg])</f>
        <v>29.947142857142854</v>
      </c>
      <c r="AJ12">
        <f>SUBTOTAL(101,品牌均值表[左旋肉碱 mg])</f>
        <v>10.170928571428572</v>
      </c>
      <c r="AK12">
        <f>SUBTOTAL(101,品牌均值表[二十二碳六烯酸 mg])</f>
        <v>91.720999999999989</v>
      </c>
      <c r="AL12">
        <f>SUBTOTAL(101,品牌均值表[二十碳四烯酸 mg])</f>
        <v>129.31100000000001</v>
      </c>
      <c r="AM12">
        <f>SUBTOTAL(101,品牌均值表[低聚半乳糖 g])</f>
        <v>2.1337904761904758</v>
      </c>
      <c r="AN12">
        <f>AVERAGEIF(品牌均值表[低聚果糖 g],"&gt;0")</f>
        <v>0.53102857142857141</v>
      </c>
      <c r="AO12">
        <f>AVERAGEIF(品牌均值表[多聚果糖 g],"&gt;0")</f>
        <v>0.30166666666666664</v>
      </c>
      <c r="AP12">
        <f>AVERAGEIF(品牌均值表[聚葡萄糖 g],"&gt;0")</f>
        <v>1.04</v>
      </c>
      <c r="AQ12">
        <f>AVERAGEIF(品牌均值表[核苷酸 mg],"&gt;0")</f>
        <v>23.408095238095235</v>
      </c>
      <c r="AR12">
        <f>AVERAGEIF(品牌均值表[13二油酸 g],"&gt;0")</f>
        <v>3.4193650793650794</v>
      </c>
      <c r="AS12">
        <f>AVERAGEIF(品牌均值表[叶黄素 ug],"&gt;0")</f>
        <v>49.500952380952384</v>
      </c>
      <c r="AT12">
        <f>AVERAGEIF(品牌均值表[乳铁蛋白 mg],"&gt;0")</f>
        <v>115.8748299319728</v>
      </c>
      <c r="AU12">
        <f>AVERAGEIF(品牌均值表[酪蛋白磷酸肽 mg],"&gt;0")</f>
        <v>22.428571428571431</v>
      </c>
      <c r="AV12">
        <f>AVERAGEIF(品牌均值表[b胡萝卜素 ug],"&gt;0")</f>
        <v>25.5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4A339-6864-49F2-8AC6-160FBE41E1DF}">
  <dimension ref="A1:BH32"/>
  <sheetViews>
    <sheetView topLeftCell="AI1" workbookViewId="0">
      <selection activeCell="BM1" sqref="BM1:BM1048576"/>
    </sheetView>
  </sheetViews>
  <sheetFormatPr baseColWidth="10" defaultColWidth="8.83203125" defaultRowHeight="15"/>
  <cols>
    <col min="1" max="1" width="36.33203125" bestFit="1" customWidth="1"/>
    <col min="5" max="5" width="10.1640625" customWidth="1"/>
    <col min="6" max="6" width="29.5" bestFit="1" customWidth="1"/>
    <col min="9" max="9" width="9.5" customWidth="1"/>
    <col min="11" max="11" width="9.5" customWidth="1"/>
    <col min="12" max="13" width="13.1640625" customWidth="1"/>
    <col min="14" max="14" width="21.1640625" customWidth="1"/>
    <col min="15" max="15" width="12.5" customWidth="1"/>
    <col min="16" max="16" width="12.6640625" customWidth="1"/>
    <col min="17" max="20" width="13.1640625" customWidth="1"/>
    <col min="21" max="21" width="14.1640625" customWidth="1"/>
    <col min="22" max="24" width="9.1640625" customWidth="1"/>
    <col min="25" max="25" width="12.6640625" customWidth="1"/>
    <col min="26" max="26" width="11.1640625" customWidth="1"/>
    <col min="39" max="40" width="9.6640625" customWidth="1"/>
    <col min="41" max="41" width="11.6640625" customWidth="1"/>
    <col min="42" max="42" width="13.5" customWidth="1"/>
    <col min="43" max="43" width="19.1640625" customWidth="1"/>
    <col min="44" max="44" width="17.1640625" customWidth="1"/>
    <col min="45" max="45" width="13.6640625" customWidth="1"/>
    <col min="46" max="48" width="11.83203125" customWidth="1"/>
    <col min="49" max="49" width="11.6640625" customWidth="1"/>
    <col min="50" max="50" width="12" customWidth="1"/>
    <col min="51" max="51" width="11.1640625" customWidth="1"/>
    <col min="52" max="52" width="13.5" customWidth="1"/>
    <col min="53" max="53" width="17.1640625" customWidth="1"/>
    <col min="54" max="54" width="14.1640625" customWidth="1"/>
  </cols>
  <sheetData>
    <row r="1" spans="1:60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67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109</v>
      </c>
      <c r="AR1" t="s">
        <v>110</v>
      </c>
      <c r="AS1" t="s">
        <v>102</v>
      </c>
      <c r="AT1" t="s">
        <v>111</v>
      </c>
      <c r="AU1" t="s">
        <v>103</v>
      </c>
      <c r="AV1" t="s">
        <v>112</v>
      </c>
      <c r="AW1" t="s">
        <v>104</v>
      </c>
      <c r="AX1" t="s">
        <v>105</v>
      </c>
      <c r="AY1" t="s">
        <v>106</v>
      </c>
      <c r="AZ1" t="s">
        <v>107</v>
      </c>
      <c r="BA1" t="s">
        <v>108</v>
      </c>
      <c r="BB1" t="s">
        <v>113</v>
      </c>
      <c r="BC1" t="s">
        <v>128</v>
      </c>
      <c r="BD1" t="s">
        <v>130</v>
      </c>
      <c r="BE1" t="s">
        <v>129</v>
      </c>
      <c r="BF1" t="s">
        <v>131</v>
      </c>
      <c r="BG1" t="s">
        <v>132</v>
      </c>
      <c r="BH1" t="s">
        <v>133</v>
      </c>
    </row>
    <row r="2" spans="1:60" ht="48">
      <c r="A2" s="1" t="s">
        <v>11</v>
      </c>
      <c r="B2" s="2" t="s">
        <v>9</v>
      </c>
      <c r="C2" s="2">
        <v>750</v>
      </c>
      <c r="D2" s="2">
        <v>270</v>
      </c>
      <c r="E2" s="2">
        <v>36</v>
      </c>
      <c r="F2" s="2" t="s">
        <v>135</v>
      </c>
      <c r="G2" s="2" t="s">
        <v>3</v>
      </c>
      <c r="H2">
        <f>VLOOKUP($A2,表1[#All],MATCH(表1_4[[#Headers],[能量kj]],表1_4[#Headers],0),)/品牌均值表[[#Totals],[能量kj]]*100</f>
        <v>99.861173204075399</v>
      </c>
      <c r="I2">
        <f>VLOOKUP($A2,表1[#All],MATCH(表1_4[[#Headers],[蛋白质g]],表1_4[#Headers],0),)/品牌均值表[[#Totals],[蛋白质g]]*100</f>
        <v>97.664143860834145</v>
      </c>
      <c r="J2">
        <f>VLOOKUP($A2,表1[#All],MATCH(表1_4[[#Headers],[脂肪g]],表1_4[#Headers],0),)/品牌均值表[[#Totals],[脂肪g]]*100</f>
        <v>100.68874880401751</v>
      </c>
      <c r="K2">
        <f>VLOOKUP($A2,表1[#All],MATCH(表1_4[[#Headers],[亚油酸g]],表1_4[#Headers],0),)/品牌均值表[[#Totals],[亚油酸g]]*100</f>
        <v>106.59832488346611</v>
      </c>
      <c r="L2">
        <f>VLOOKUP($A2,表1[#All],MATCH(表1_4[[#Headers],[a-亚麻酸mg]],表1_4[#Headers],0),)/品牌均值表[[#Totals],[a-亚麻酸mg]]*100</f>
        <v>98.166587901566601</v>
      </c>
      <c r="M2">
        <f>VLOOKUP($A2,表1[#All],MATCH(表1_4[[#Headers],[碳水化合物g]],表1_4[#Headers],0),)/品牌均值表[[#Totals],[碳水化合物g]]*100</f>
        <v>98.970494470702704</v>
      </c>
      <c r="N2">
        <f>VLOOKUP($A2,表1[#All],MATCH(表1_4[[#Headers],[维生素A（ug视黄醇）]],表1_4[#Headers],0),)/品牌均值表[[#Totals],[维生素A（ug视黄醇）]]*100</f>
        <v>87.187829224875983</v>
      </c>
      <c r="O2">
        <f>VLOOKUP($A2,表1[#All],MATCH(表1_4[[#Headers],[维生素D ug]],表1_4[#Headers],0),)/品牌均值表[[#Totals],[维生素D ug]]*100</f>
        <v>127.46972594008921</v>
      </c>
      <c r="P2">
        <f>VLOOKUP($A2,表1[#All],MATCH(表1_4[[#Headers],[维生素E mg]],表1_4[#Headers],0),)/品牌均值表[[#Totals],[维生素E mg]]*100</f>
        <v>83.507306889352819</v>
      </c>
      <c r="Q2">
        <f>VLOOKUP($A2,表1[#All],MATCH(表1_4[[#Headers],[维生素K1 ug]],表1_4[#Headers],0),)/品牌均值表[[#Totals],[维生素K1 ug]]*100</f>
        <v>134.86609723203392</v>
      </c>
      <c r="R2">
        <f>VLOOKUP($A2,表1[#All],MATCH(表1_4[[#Headers],[维生素B1 ug]],表1_4[#Headers],0),)/品牌均值表[[#Totals],[维生素B1 ug]]*100</f>
        <v>123.84630676170731</v>
      </c>
      <c r="S2">
        <f>VLOOKUP($A2,表1[#All],MATCH(表1_4[[#Headers],[维生素B2 ug]],表1_4[#Headers],0),)/品牌均值表[[#Totals],[维生素B2 ug]]*100</f>
        <v>65.142740151813598</v>
      </c>
      <c r="T2">
        <f>VLOOKUP($A2,表1[#All],MATCH(表1_4[[#Headers],[维生素B6 ug]],表1_4[#Headers],0),)/品牌均值表[[#Totals],[维生素B6 ug]]*100</f>
        <v>117.47734190731455</v>
      </c>
      <c r="U2">
        <f>VLOOKUP($A2,表1[#All],MATCH(表1_4[[#Headers],[维生素B12 ug]],表1_4[#Headers],0),)/品牌均值表[[#Totals],[维生素B12 ug]]*100</f>
        <v>92.860090796533214</v>
      </c>
      <c r="V2">
        <f>VLOOKUP($A2,表1[#All],MATCH(表1_4[[#Headers],[烟酸 ug]],表1_4[#Headers],0),)/品牌均值表[[#Totals],[烟酸 ug]]*100</f>
        <v>112.64458344399367</v>
      </c>
      <c r="W2">
        <f>VLOOKUP($A2,表1[#All],MATCH(表1_4[[#Headers],[叶酸 ug]],表1_4[#Headers],0),)/品牌均值表[[#Totals],[叶酸 ug]]*100</f>
        <v>104.74250800116378</v>
      </c>
      <c r="X2">
        <f>VLOOKUP($A2,表1[#All],MATCH(表1_4[[#Headers],[泛酸 ug]],表1_4[#Headers],0),)/品牌均值表[[#Totals],[泛酸 ug]]*100</f>
        <v>94.552642183535696</v>
      </c>
      <c r="Y2">
        <f>VLOOKUP($A2,表1[#All],MATCH(表1_4[[#Headers],[维生素C mg]],表1_4[#Headers],0),)/品牌均值表[[#Totals],[维生素C mg]]*100</f>
        <v>79.510108353557058</v>
      </c>
      <c r="Z2">
        <f>VLOOKUP($A2,表1[#All],MATCH(表1_4[[#Headers],[生物素 ug]],表1_4[#Headers],0),)/品牌均值表[[#Totals],[生物素 ug]]*100</f>
        <v>100.11963700672084</v>
      </c>
      <c r="AA2">
        <f>VLOOKUP($A2,表1[#All],MATCH(表1_4[[#Headers],[钠 mg]],表1_4[#Headers],0),)/品牌均值表[[#Totals],[钠 mg]]*100</f>
        <v>103.48701977094873</v>
      </c>
      <c r="AB2">
        <f>VLOOKUP($A2,表1[#All],MATCH(表1_4[[#Headers],[钾 mg]],表1_4[#Headers],0),)/品牌均值表[[#Totals],[钾 mg]]*100</f>
        <v>81.139978053567845</v>
      </c>
      <c r="AC2">
        <f>VLOOKUP($A2,表1[#All],MATCH(表1_4[[#Headers],[铜 ug]],表1_4[#Headers],0),)/品牌均值表[[#Totals],[铜 ug]]*100</f>
        <v>98.725633405530658</v>
      </c>
      <c r="AD2">
        <f>VLOOKUP($A2,表1[#All],MATCH(表1_4[[#Headers],[镁 mg]],表1_4[#Headers],0),)/品牌均值表[[#Totals],[镁 mg]]*100</f>
        <v>80.560333626204994</v>
      </c>
      <c r="AE2">
        <f>VLOOKUP($A2,表1[#All],MATCH(表1_4[[#Headers],[铁 mg ]],表1_4[#Headers],0),)/品牌均值表[[#Totals],[铁 mg ]]*100</f>
        <v>104.62752600741361</v>
      </c>
      <c r="AF2">
        <f>VLOOKUP($A2,表1[#All],MATCH(表1_4[[#Headers],[锌 mg]],表1_4[#Headers],0),)/品牌均值表[[#Totals],[锌 mg]]*100</f>
        <v>109.64848667683862</v>
      </c>
      <c r="AG2">
        <f>VLOOKUP($A2,表1[#All],MATCH(表1_4[[#Headers],[锰 ug]],表1_4[#Headers],0),)/品牌均值表[[#Totals],[锰 ug]]*100</f>
        <v>45.487059107990206</v>
      </c>
      <c r="AH2">
        <f>VLOOKUP($A2,表1[#All],MATCH(表1_4[[#Headers],[钙mg]],表1_4[#Headers],0),)/品牌均值表[[#Totals],[钙mg]]*100</f>
        <v>98.833800375333126</v>
      </c>
      <c r="AI2">
        <f>VLOOKUP($A2,表1[#All],MATCH(表1_4[[#Headers],[磷 mg]],表1_4[#Headers],0),)/品牌均值表[[#Totals],[磷 mg]]*100</f>
        <v>89.673059345874691</v>
      </c>
      <c r="AJ2">
        <f>VLOOKUP($A2,表1[#All],MATCH(表1_4[[#Headers],[碘 ug]],表1_4[#Headers],0),)/品牌均值表[[#Totals],[碘 ug]]*100</f>
        <v>114.61524599026851</v>
      </c>
      <c r="AK2">
        <f>VLOOKUP($A2,表1[#All],MATCH(表1_4[[#Headers],[氯 mg]],表1_4[#Headers],0),)/品牌均值表[[#Totals],[氯 mg]]*100</f>
        <v>89.654899790488997</v>
      </c>
      <c r="AL2">
        <f>VLOOKUP($A2,表1[#All],MATCH(表1_4[[#Headers],[硒 mg]],表1_4[#Headers],0),)/品牌均值表[[#Totals],[硒 mg]]*100</f>
        <v>109.6733849632017</v>
      </c>
      <c r="AM2">
        <f>VLOOKUP($A2,表1[#All],MATCH(表1_4[[#Headers],[胆碱 mg]],表1_4[#Headers],0),)/品牌均值表[[#Totals],[胆碱 mg]]*100</f>
        <v>175.58664997005496</v>
      </c>
      <c r="AN2">
        <f>VLOOKUP($A2,表1[#All],MATCH(表1_4[[#Headers],[肌醇 mg]],表1_4[#Headers],0),)/品牌均值表[[#Totals],[肌醇 mg]]*100</f>
        <v>111.12581029236672</v>
      </c>
      <c r="AO2">
        <f>VLOOKUP($A2,表1[#All],MATCH(表1_4[[#Headers],[牛磺酸 mg]],表1_4[#Headers],0),)/品牌均值表[[#Totals],[牛磺酸 mg]]*100</f>
        <v>126.89023517626295</v>
      </c>
      <c r="AP2">
        <f>VLOOKUP($A2,表1[#All],MATCH(表1_4[[#Headers],[左旋肉碱 mg]],表1_4[#Headers],0),)/品牌均值表[[#Totals],[左旋肉碱 mg]]*100</f>
        <v>88.487495874094932</v>
      </c>
      <c r="AQ2">
        <f>VLOOKUP($A2,表1[#All],MATCH(表1_4[[#Headers],[二十二碳六烯酸 mg]],表1_4[#Headers],0),)/品牌均值表[[#Totals],[二十二碳六烯酸 mg]]*100</f>
        <v>105.75549765048355</v>
      </c>
      <c r="AR2">
        <f>VLOOKUP($A2,表1[#All],MATCH(表1_4[[#Headers],[二十碳四烯酸 mg]],表1_4[#Headers],0),)/品牌均值表[[#Totals],[二十碳四烯酸 mg]]*100</f>
        <v>127.52202055509585</v>
      </c>
      <c r="AS2">
        <f>VLOOKUP($A2,表1[#All],MATCH(表1_4[[#Headers],[低聚半乳糖 g]],表1_4[#Headers],0),)/表1[[#Totals],[低聚半乳糖 g]]*100</f>
        <v>132.24921630094042</v>
      </c>
      <c r="AT2">
        <f>VLOOKUP($A2,表1[#All],MATCH(表1_4[[#Headers],[低聚果糖 g]],表1_4[#Headers],0),)/表1[[#Totals],[低聚果糖 g]]*50</f>
        <v>0</v>
      </c>
      <c r="AU2">
        <f>VLOOKUP($A2,表1[#All],MATCH(表1_4[[#Headers],[多聚果糖 g]],表1_4[#Headers],0),)/表1[[#Totals],[多聚果糖 g]]*100</f>
        <v>0</v>
      </c>
      <c r="AV2">
        <f>VLOOKUP($A2,表1[#All],MATCH(表1_4[[#Headers],[聚葡萄糖 g]],表1_4[#Headers],0),)/表1[[#Totals],[聚葡萄糖 g]]*100</f>
        <v>0</v>
      </c>
      <c r="AW2">
        <f>VLOOKUP($A2,表1[#All],MATCH(表1_4[[#Headers],[核苷酸 mg]],表1_4[#Headers],0),)/表1[[#Totals],[核苷酸 mg]]*100</f>
        <v>109.55056179775282</v>
      </c>
      <c r="AX2">
        <f>VLOOKUP($A2,表1[#All],MATCH(表1_4[[#Headers],[13二油酸 g]],表1_4[#Headers],0),)/表1[[#Totals],[13二油酸 g]]*100</f>
        <v>112.83185840707964</v>
      </c>
      <c r="AY2">
        <f>VLOOKUP($A2,表1[#All],MATCH(表1_4[[#Headers],[叶黄素 ug]],表1_4[#Headers],0),)/表1[[#Totals],[叶黄素 ug]]*100</f>
        <v>81.266490765171511</v>
      </c>
      <c r="AZ2">
        <f>VLOOKUP($A2,表1[#All],MATCH(表1_4[[#Headers],[乳铁蛋白 mg]],表1_4[#Headers],0),)/表1[[#Totals],[乳铁蛋白 mg]]*100</f>
        <v>0</v>
      </c>
      <c r="BA2">
        <f>VLOOKUP($A2,表1[#All],MATCH(表1_4[[#Headers],[酪蛋白磷酸肽 mg]],表1_4[#Headers],0),)/表1[[#Totals],[酪蛋白磷酸肽 mg]]*100</f>
        <v>88.888888888888886</v>
      </c>
      <c r="BB2">
        <f>VLOOKUP($A2,表1[#All],MATCH(表1_4[[#Headers],[b胡萝卜素 ug]],表1_4[#Headers],0),)/表1[[#Totals],[b胡萝卜素 ug]]*100</f>
        <v>0</v>
      </c>
      <c r="BC2">
        <f>AVERAGE(表1_4[[#This Row],[能量kj]:[碳水化合物g]])</f>
        <v>100.32491218744376</v>
      </c>
      <c r="BD2">
        <f>AVERAGE(N2:Z2,AM2)</f>
        <v>107.10811199019619</v>
      </c>
      <c r="BE2">
        <f>AVERAGE(表1_4[[#This Row],[钠 mg]:[硒 mg]])</f>
        <v>93.843868926138455</v>
      </c>
      <c r="BF2" s="4">
        <f>SUM(表1_4[[#This Row],[肌醇 mg]:[b胡萝卜素 ug]])/SUM(表1_4[[肌醇 mg]:[b胡萝卜素 ug]])*3400</f>
        <v>138.39744778366708</v>
      </c>
      <c r="BG2" s="4">
        <f>0.5*表1_4[[#This Row],[基础能量]]+表1_4[[#This Row],[维生素]]+表1_4[[#This Row],[微量元素]]+表1_4[[#This Row],[加分项]]+IF(COUNTIF(F2,"*A2*"),0.6,0)*表1_4[[#This Row],[基础能量]]</f>
        <v>449.70683210618984</v>
      </c>
      <c r="BH2" s="4">
        <f>表1_4[[#This Row],[总分]]/表1_4[[#This Row],[百克重量]]</f>
        <v>12.491856447394163</v>
      </c>
    </row>
    <row r="3" spans="1:60" ht="48">
      <c r="A3" s="1" t="s">
        <v>13</v>
      </c>
      <c r="B3" s="2" t="s">
        <v>9</v>
      </c>
      <c r="C3" s="2">
        <v>708</v>
      </c>
      <c r="D3" s="2">
        <v>263</v>
      </c>
      <c r="E3" s="2">
        <v>37.130000000000003</v>
      </c>
      <c r="F3" s="2" t="s">
        <v>14</v>
      </c>
      <c r="G3" s="2" t="s">
        <v>3</v>
      </c>
      <c r="H3">
        <f>VLOOKUP($A3,表1[#All],MATCH(表1_4[[#Headers],[能量kj]],表1_4[#Headers],0),)/品牌均值表[[#Totals],[能量kj]]*100</f>
        <v>99.861173204075399</v>
      </c>
      <c r="I3">
        <f>VLOOKUP($A3,表1[#All],MATCH(表1_4[[#Headers],[蛋白质g]],表1_4[#Headers],0),)/品牌均值表[[#Totals],[蛋白质g]]*100</f>
        <v>97.664143860834145</v>
      </c>
      <c r="J3">
        <f>VLOOKUP($A3,表1[#All],MATCH(表1_4[[#Headers],[脂肪g]],表1_4[#Headers],0),)/品牌均值表[[#Totals],[脂肪g]]*100</f>
        <v>100.68874880401751</v>
      </c>
      <c r="K3">
        <f>VLOOKUP($A3,表1[#All],MATCH(表1_4[[#Headers],[亚油酸g]],表1_4[#Headers],0),)/品牌均值表[[#Totals],[亚油酸g]]*100</f>
        <v>106.59832488346611</v>
      </c>
      <c r="L3">
        <f>VLOOKUP($A3,表1[#All],MATCH(表1_4[[#Headers],[a-亚麻酸mg]],表1_4[#Headers],0),)/品牌均值表[[#Totals],[a-亚麻酸mg]]*100</f>
        <v>98.166587901566601</v>
      </c>
      <c r="M3">
        <f>VLOOKUP($A3,表1[#All],MATCH(表1_4[[#Headers],[碳水化合物g]],表1_4[#Headers],0),)/品牌均值表[[#Totals],[碳水化合物g]]*100</f>
        <v>98.970494470702704</v>
      </c>
      <c r="N3">
        <f>VLOOKUP($A3,表1[#All],MATCH(表1_4[[#Headers],[维生素A（ug视黄醇）]],表1_4[#Headers],0),)/品牌均值表[[#Totals],[维生素A（ug视黄醇）]]*100</f>
        <v>87.187829224875983</v>
      </c>
      <c r="O3">
        <f>VLOOKUP($A3,表1[#All],MATCH(表1_4[[#Headers],[维生素D ug]],表1_4[#Headers],0),)/品牌均值表[[#Totals],[维生素D ug]]*100</f>
        <v>127.46972594008921</v>
      </c>
      <c r="P3">
        <f>VLOOKUP($A3,表1[#All],MATCH(表1_4[[#Headers],[维生素E mg]],表1_4[#Headers],0),)/品牌均值表[[#Totals],[维生素E mg]]*100</f>
        <v>83.507306889352819</v>
      </c>
      <c r="Q3">
        <f>VLOOKUP($A3,表1[#All],MATCH(表1_4[[#Headers],[维生素K1 ug]],表1_4[#Headers],0),)/品牌均值表[[#Totals],[维生素K1 ug]]*100</f>
        <v>134.86609723203392</v>
      </c>
      <c r="R3">
        <f>VLOOKUP($A3,表1[#All],MATCH(表1_4[[#Headers],[维生素B1 ug]],表1_4[#Headers],0),)/品牌均值表[[#Totals],[维生素B1 ug]]*100</f>
        <v>129.21364268877971</v>
      </c>
      <c r="S3">
        <f>VLOOKUP($A3,表1[#All],MATCH(表1_4[[#Headers],[维生素B2 ug]],表1_4[#Headers],0),)/品牌均值表[[#Totals],[维生素B2 ug]]*100</f>
        <v>65.142740151813598</v>
      </c>
      <c r="T3">
        <f>VLOOKUP($A3,表1[#All],MATCH(表1_4[[#Headers],[维生素B6 ug]],表1_4[#Headers],0),)/品牌均值表[[#Totals],[维生素B6 ug]]*100</f>
        <v>117.47734190731455</v>
      </c>
      <c r="U3">
        <f>VLOOKUP($A3,表1[#All],MATCH(表1_4[[#Headers],[维生素B12 ug]],表1_4[#Headers],0),)/品牌均值表[[#Totals],[维生素B12 ug]]*100</f>
        <v>92.860090796533214</v>
      </c>
      <c r="V3">
        <f>VLOOKUP($A3,表1[#All],MATCH(表1_4[[#Headers],[烟酸 ug]],表1_4[#Headers],0),)/品牌均值表[[#Totals],[烟酸 ug]]*100</f>
        <v>112.64458344399367</v>
      </c>
      <c r="W3">
        <f>VLOOKUP($A3,表1[#All],MATCH(表1_4[[#Headers],[叶酸 ug]],表1_4[#Headers],0),)/品牌均值表[[#Totals],[叶酸 ug]]*100</f>
        <v>77.974978178644164</v>
      </c>
      <c r="X3">
        <f>VLOOKUP($A3,表1[#All],MATCH(表1_4[[#Headers],[泛酸 ug]],表1_4[#Headers],0),)/品牌均值表[[#Totals],[泛酸 ug]]*100</f>
        <v>96.128519553261299</v>
      </c>
      <c r="Y3">
        <f>VLOOKUP($A3,表1[#All],MATCH(表1_4[[#Headers],[维生素C mg]],表1_4[#Headers],0),)/品牌均值表[[#Totals],[维生素C mg]]*100</f>
        <v>77.301494232624918</v>
      </c>
      <c r="Z3">
        <f>VLOOKUP($A3,表1[#All],MATCH(表1_4[[#Headers],[生物素 ug]],表1_4[#Headers],0),)/品牌均值表[[#Totals],[生物素 ug]]*100</f>
        <v>100.11963700672084</v>
      </c>
      <c r="AA3">
        <f>VLOOKUP($A3,表1[#All],MATCH(表1_4[[#Headers],[钠 mg]],表1_4[#Headers],0),)/品牌均值表[[#Totals],[钠 mg]]*100</f>
        <v>103.48701977094873</v>
      </c>
      <c r="AB3">
        <f>VLOOKUP($A3,表1[#All],MATCH(表1_4[[#Headers],[钾 mg]],表1_4[#Headers],0),)/品牌均值表[[#Totals],[钾 mg]]*100</f>
        <v>78.097228876559058</v>
      </c>
      <c r="AC3">
        <f>VLOOKUP($A3,表1[#All],MATCH(表1_4[[#Headers],[铜 ug]],表1_4[#Headers],0),)/品牌均值表[[#Totals],[铜 ug]]*100</f>
        <v>98.725633405530658</v>
      </c>
      <c r="AD3">
        <f>VLOOKUP($A3,表1[#All],MATCH(表1_4[[#Headers],[镁 mg]],表1_4[#Headers],0),)/品牌均值表[[#Totals],[镁 mg]]*100</f>
        <v>83.159054065759989</v>
      </c>
      <c r="AE3">
        <f>VLOOKUP($A3,表1[#All],MATCH(表1_4[[#Headers],[铁 mg ]],表1_4[#Headers],0),)/品牌均值表[[#Totals],[铁 mg ]]*100</f>
        <v>104.62752600741361</v>
      </c>
      <c r="AF3">
        <f>VLOOKUP($A3,表1[#All],MATCH(表1_4[[#Headers],[锌 mg]],表1_4[#Headers],0),)/品牌均值表[[#Totals],[锌 mg]]*100</f>
        <v>109.64848667683862</v>
      </c>
      <c r="AG3">
        <f>VLOOKUP($A3,表1[#All],MATCH(表1_4[[#Headers],[锰 ug]],表1_4[#Headers],0),)/品牌均值表[[#Totals],[锰 ug]]*100</f>
        <v>42.313543356269953</v>
      </c>
      <c r="AH3">
        <f>VLOOKUP($A3,表1[#All],MATCH(表1_4[[#Headers],[钙mg]],表1_4[#Headers],0),)/品牌均值表[[#Totals],[钙mg]]*100</f>
        <v>96.088417031573869</v>
      </c>
      <c r="AI3">
        <f>VLOOKUP($A3,表1[#All],MATCH(表1_4[[#Headers],[磷 mg]],表1_4[#Headers],0),)/品牌均值表[[#Totals],[磷 mg]]*100</f>
        <v>85.402913662737788</v>
      </c>
      <c r="AJ3">
        <f>VLOOKUP($A3,表1[#All],MATCH(表1_4[[#Headers],[碘 ug]],表1_4[#Headers],0),)/品牌均值表[[#Totals],[碘 ug]]*100</f>
        <v>114.61524599026851</v>
      </c>
      <c r="AK3">
        <f>VLOOKUP($A3,表1[#All],MATCH(表1_4[[#Headers],[氯 mg]],表1_4[#Headers],0),)/品牌均值表[[#Totals],[氯 mg]]*100</f>
        <v>84.52313784961926</v>
      </c>
      <c r="AL3">
        <f>VLOOKUP($A3,表1[#All],MATCH(表1_4[[#Headers],[硒 mg]],表1_4[#Headers],0),)/品牌均值表[[#Totals],[硒 mg]]*100</f>
        <v>109.6733849632017</v>
      </c>
      <c r="AM3">
        <f>VLOOKUP($A3,表1[#All],MATCH(表1_4[[#Headers],[胆碱 mg]],表1_4[#Headers],0),)/品牌均值表[[#Totals],[胆碱 mg]]*100</f>
        <v>175.58664997005496</v>
      </c>
      <c r="AN3">
        <f>VLOOKUP($A3,表1[#All],MATCH(表1_4[[#Headers],[肌醇 mg]],表1_4[#Headers],0),)/品牌均值表[[#Totals],[肌醇 mg]]*100</f>
        <v>111.12581029236672</v>
      </c>
      <c r="AO3">
        <f>VLOOKUP($A3,表1[#All],MATCH(表1_4[[#Headers],[牛磺酸 mg]],表1_4[#Headers],0),)/品牌均值表[[#Totals],[牛磺酸 mg]]*100</f>
        <v>126.89023517626295</v>
      </c>
      <c r="AP3">
        <f>VLOOKUP($A3,表1[#All],MATCH(表1_4[[#Headers],[左旋肉碱 mg]],表1_4[#Headers],0),)/品牌均值表[[#Totals],[左旋肉碱 mg]]*100</f>
        <v>88.487495874094932</v>
      </c>
      <c r="AQ3">
        <f>VLOOKUP($A3,表1[#All],MATCH(表1_4[[#Headers],[二十二碳六烯酸 mg]],表1_4[#Headers],0),)/品牌均值表[[#Totals],[二十二碳六烯酸 mg]]*100</f>
        <v>105.75549765048355</v>
      </c>
      <c r="AR3">
        <f>VLOOKUP($A3,表1[#All],MATCH(表1_4[[#Headers],[二十碳四烯酸 mg]],表1_4[#Headers],0),)/品牌均值表[[#Totals],[二十碳四烯酸 mg]]*100</f>
        <v>127.52202055509585</v>
      </c>
      <c r="AS3">
        <f>VLOOKUP($A3,表1[#All],MATCH(表1_4[[#Headers],[低聚半乳糖 g]],表1_4[#Headers],0),)/表1[[#Totals],[低聚半乳糖 g]]*100</f>
        <v>132.24921630094042</v>
      </c>
      <c r="AT3">
        <f>VLOOKUP($A3,表1[#All],MATCH(表1_4[[#Headers],[低聚果糖 g]],表1_4[#Headers],0),)/表1[[#Totals],[低聚果糖 g]]*50</f>
        <v>0</v>
      </c>
      <c r="AU3">
        <f>VLOOKUP($A3,表1[#All],MATCH(表1_4[[#Headers],[多聚果糖 g]],表1_4[#Headers],0),)/表1[[#Totals],[多聚果糖 g]]*100</f>
        <v>0</v>
      </c>
      <c r="AV3">
        <f>VLOOKUP($A3,表1[#All],MATCH(表1_4[[#Headers],[聚葡萄糖 g]],表1_4[#Headers],0),)/表1[[#Totals],[聚葡萄糖 g]]*100</f>
        <v>0</v>
      </c>
      <c r="AW3">
        <f>VLOOKUP($A3,表1[#All],MATCH(表1_4[[#Headers],[核苷酸 mg]],表1_4[#Headers],0),)/表1[[#Totals],[核苷酸 mg]]*100</f>
        <v>109.55056179775282</v>
      </c>
      <c r="AX3">
        <f>VLOOKUP($A3,表1[#All],MATCH(表1_4[[#Headers],[13二油酸 g]],表1_4[#Headers],0),)/表1[[#Totals],[13二油酸 g]]*100</f>
        <v>112.83185840707964</v>
      </c>
      <c r="AY3">
        <f>VLOOKUP($A3,表1[#All],MATCH(表1_4[[#Headers],[叶黄素 ug]],表1_4[#Headers],0),)/表1[[#Totals],[叶黄素 ug]]*100</f>
        <v>98.504837291116985</v>
      </c>
      <c r="AZ3">
        <f>VLOOKUP($A3,表1[#All],MATCH(表1_4[[#Headers],[乳铁蛋白 mg]],表1_4[#Headers],0),)/表1[[#Totals],[乳铁蛋白 mg]]*100</f>
        <v>0</v>
      </c>
      <c r="BA3">
        <f>VLOOKUP($A3,表1[#All],MATCH(表1_4[[#Headers],[酪蛋白磷酸肽 mg]],表1_4[#Headers],0),)/表1[[#Totals],[酪蛋白磷酸肽 mg]]*100</f>
        <v>88.888888888888886</v>
      </c>
      <c r="BB3">
        <f>VLOOKUP($A3,表1[#All],MATCH(表1_4[[#Headers],[b胡萝卜素 ug]],表1_4[#Headers],0),)/表1[[#Totals],[b胡萝卜素 ug]]*100</f>
        <v>0</v>
      </c>
      <c r="BC3">
        <f>AVERAGE(表1_4[[#This Row],[能量kj]:[碳水化合物g]])</f>
        <v>100.32491218744376</v>
      </c>
      <c r="BD3">
        <f>AVERAGE(N3:Z3,AM3)</f>
        <v>105.53433122972095</v>
      </c>
      <c r="BE3">
        <f>AVERAGE(表1_4[[#This Row],[钠 mg]:[硒 mg]])</f>
        <v>92.530132638060138</v>
      </c>
      <c r="BF3" s="4">
        <f>SUM(表1_4[[#This Row],[肌醇 mg]:[b胡萝卜素 ug]])/SUM(表1_4[[肌醇 mg]:[b胡萝卜素 ug]])*3400</f>
        <v>140.59716508739058</v>
      </c>
      <c r="BG3" s="4">
        <f>0.5*表1_4[[#This Row],[基础能量]]+表1_4[[#This Row],[维生素]]+表1_4[[#This Row],[微量元素]]+表1_4[[#This Row],[加分项]]+IF(COUNTIF(F3,"*A2*"),0.6,0)*表1_4[[#This Row],[基础能量]]</f>
        <v>449.01903236135979</v>
      </c>
      <c r="BH3" s="4">
        <f>表1_4[[#This Row],[总分]]/表1_4[[#This Row],[百克重量]]</f>
        <v>12.093160042051165</v>
      </c>
    </row>
    <row r="4" spans="1:60" ht="48">
      <c r="A4" s="1" t="s">
        <v>127</v>
      </c>
      <c r="B4" s="2" t="s">
        <v>46</v>
      </c>
      <c r="C4" s="2">
        <v>900</v>
      </c>
      <c r="D4" s="2">
        <v>405</v>
      </c>
      <c r="E4" s="2">
        <v>45</v>
      </c>
      <c r="F4" s="2" t="s">
        <v>134</v>
      </c>
      <c r="G4" s="2" t="s">
        <v>3</v>
      </c>
      <c r="H4">
        <f>VLOOKUP($A4,表1[#All],MATCH(表1_4[[#Headers],[能量kj]],表1_4[#Headers],0),)/品牌均值表[[#Totals],[能量kj]]*100</f>
        <v>98.967034518459258</v>
      </c>
      <c r="I4">
        <f>VLOOKUP($A4,表1[#All],MATCH(表1_4[[#Headers],[蛋白质g]],表1_4[#Headers],0),)/品牌均值表[[#Totals],[蛋白质g]]*100</f>
        <v>99.524413267707175</v>
      </c>
      <c r="J4">
        <f>VLOOKUP($A4,表1[#All],MATCH(表1_4[[#Headers],[脂肪g]],表1_4[#Headers],0),)/品牌均值表[[#Totals],[脂肪g]]*100</f>
        <v>96.246598121487324</v>
      </c>
      <c r="K4">
        <f>VLOOKUP($A4,表1[#All],MATCH(表1_4[[#Headers],[亚油酸g]],表1_4[#Headers],0),)/品牌均值表[[#Totals],[亚油酸g]]*100</f>
        <v>109.1982840269653</v>
      </c>
      <c r="L4">
        <f>VLOOKUP($A4,表1[#All],MATCH(表1_4[[#Headers],[a-亚麻酸mg]],表1_4[#Headers],0),)/品牌均值表[[#Totals],[a-亚麻酸mg]]*100</f>
        <v>107.74381598952432</v>
      </c>
      <c r="M4">
        <f>VLOOKUP($A4,表1[#All],MATCH(表1_4[[#Headers],[碳水化合物g]],表1_4[#Headers],0),)/品牌均值表[[#Totals],[碳水化合物g]]*100</f>
        <v>101.18212563205917</v>
      </c>
      <c r="N4">
        <f>VLOOKUP($A4,表1[#All],MATCH(表1_4[[#Headers],[维生素A（ug视黄醇）]],表1_4[#Headers],0),)/品牌均值表[[#Totals],[维生素A（ug视黄醇）]]*100</f>
        <v>123.51609140190764</v>
      </c>
      <c r="O4">
        <f>VLOOKUP($A4,表1[#All],MATCH(表1_4[[#Headers],[维生素D ug]],表1_4[#Headers],0),)/品牌均值表[[#Totals],[维生素D ug]]*100</f>
        <v>67.657008383585818</v>
      </c>
      <c r="P4">
        <f>VLOOKUP($A4,表1[#All],MATCH(表1_4[[#Headers],[维生素E mg]],表1_4[#Headers],0),)/品牌均值表[[#Totals],[维生素E mg]]*100</f>
        <v>104.38413361169101</v>
      </c>
      <c r="Q4">
        <f>VLOOKUP($A4,表1[#All],MATCH(表1_4[[#Headers],[维生素K1 ug]],表1_4[#Headers],0),)/品牌均值表[[#Totals],[维生素K1 ug]]*100</f>
        <v>103.39734121122601</v>
      </c>
      <c r="R4">
        <f>VLOOKUP($A4,表1[#All],MATCH(表1_4[[#Headers],[维生素B1 ug]],表1_4[#Headers],0),)/品牌均值表[[#Totals],[维生素B1 ug]]*100</f>
        <v>109.33462073665976</v>
      </c>
      <c r="S4">
        <f>VLOOKUP($A4,表1[#All],MATCH(表1_4[[#Headers],[维生素B2 ug]],表1_4[#Headers],0),)/品牌均值表[[#Totals],[维生素B2 ug]]*100</f>
        <v>131.58833510666346</v>
      </c>
      <c r="T4">
        <f>VLOOKUP($A4,表1[#All],MATCH(表1_4[[#Headers],[维生素B6 ug]],表1_4[#Headers],0),)/品牌均值表[[#Totals],[维生素B6 ug]]*100</f>
        <v>121.88274222883886</v>
      </c>
      <c r="U4">
        <f>VLOOKUP($A4,表1[#All],MATCH(表1_4[[#Headers],[维生素B12 ug]],表1_4[#Headers],0),)/品牌均值表[[#Totals],[维生素B12 ug]]*100</f>
        <v>123.8134543953776</v>
      </c>
      <c r="V4">
        <f>VLOOKUP($A4,表1[#All],MATCH(表1_4[[#Headers],[烟酸 ug]],表1_4[#Headers],0),)/品牌均值表[[#Totals],[烟酸 ug]]*100</f>
        <v>101.65486798604306</v>
      </c>
      <c r="W4">
        <f>VLOOKUP($A4,表1[#All],MATCH(表1_4[[#Headers],[叶酸 ug]],表1_4[#Headers],0),)/品牌均值表[[#Totals],[叶酸 ug]]*100</f>
        <v>87.285423334303161</v>
      </c>
      <c r="X4">
        <f>VLOOKUP($A4,表1[#All],MATCH(表1_4[[#Headers],[泛酸 ug]],表1_4[#Headers],0),)/品牌均值表[[#Totals],[泛酸 ug]]*100</f>
        <v>110.31141588079166</v>
      </c>
      <c r="Y4">
        <f>VLOOKUP($A4,表1[#All],MATCH(表1_4[[#Headers],[维生素C mg]],表1_4[#Headers],0),)/品牌均值表[[#Totals],[维生素C mg]]*100</f>
        <v>160.12452376758017</v>
      </c>
      <c r="Z4">
        <f>VLOOKUP($A4,表1[#All],MATCH(表1_4[[#Headers],[生物素 ug]],表1_4[#Headers],0),)/品牌均值表[[#Totals],[生物素 ug]]*100</f>
        <v>140.79323954070117</v>
      </c>
      <c r="AA4">
        <f>VLOOKUP($A4,表1[#All],MATCH(表1_4[[#Headers],[钠 mg]],表1_4[#Headers],0),)/品牌均值表[[#Totals],[钠 mg]]*100</f>
        <v>97.573475784037385</v>
      </c>
      <c r="AB4">
        <f>VLOOKUP($A4,表1[#All],MATCH(表1_4[[#Headers],[钾 mg]],表1_4[#Headers],0),)/品牌均值表[[#Totals],[钾 mg]]*100</f>
        <v>109.53897037231658</v>
      </c>
      <c r="AC4">
        <f>VLOOKUP($A4,表1[#All],MATCH(表1_4[[#Headers],[铜 ug]],表1_4[#Headers],0),)/品牌均值表[[#Totals],[铜 ug]]*100</f>
        <v>102.95673198005339</v>
      </c>
      <c r="AD4">
        <f>VLOOKUP($A4,表1[#All],MATCH(表1_4[[#Headers],[镁 mg]],表1_4[#Headers],0),)/品牌均值表[[#Totals],[镁 mg]]*100</f>
        <v>124.73858109863998</v>
      </c>
      <c r="AE4">
        <f>VLOOKUP($A4,表1[#All],MATCH(表1_4[[#Headers],[铁 mg ]],表1_4[#Headers],0),)/品牌均值表[[#Totals],[铁 mg ]]*100</f>
        <v>115.09027860815495</v>
      </c>
      <c r="AF4">
        <f>VLOOKUP($A4,表1[#All],MATCH(表1_4[[#Headers],[锌 mg]],表1_4[#Headers],0),)/品牌均值表[[#Totals],[锌 mg]]*100</f>
        <v>124.2682849004171</v>
      </c>
      <c r="AG4">
        <f>VLOOKUP($A4,表1[#All],MATCH(表1_4[[#Headers],[锰 ug]],表1_4[#Headers],0),)/品牌均值表[[#Totals],[锰 ug]]*100</f>
        <v>338.50834685015963</v>
      </c>
      <c r="AH4">
        <f>VLOOKUP($A4,表1[#All],MATCH(表1_4[[#Headers],[钙mg]],表1_4[#Headers],0),)/品牌均值表[[#Totals],[钙mg]]*100</f>
        <v>107.06995040661089</v>
      </c>
      <c r="AI4">
        <f>VLOOKUP($A4,表1[#All],MATCH(表1_4[[#Headers],[磷 mg]],表1_4[#Headers],0),)/品牌均值表[[#Totals],[磷 mg]]*100</f>
        <v>111.02378776155912</v>
      </c>
      <c r="AJ4">
        <f>VLOOKUP($A4,表1[#All],MATCH(表1_4[[#Headers],[碘 ug]],表1_4[#Headers],0),)/品牌均值表[[#Totals],[碘 ug]]*100</f>
        <v>75.689313389799963</v>
      </c>
      <c r="AK4">
        <f>VLOOKUP($A4,表1[#All],MATCH(表1_4[[#Headers],[氯 mg]],表1_4[#Headers],0),)/品牌均值表[[#Totals],[氯 mg]]*100</f>
        <v>102.63523881739481</v>
      </c>
      <c r="AL4">
        <f>VLOOKUP($A4,表1[#All],MATCH(表1_4[[#Headers],[硒 mg]],表1_4[#Headers],0),)/品牌均值表[[#Totals],[硒 mg]]*100</f>
        <v>105.63278656982058</v>
      </c>
      <c r="AM4">
        <f>VLOOKUP($A4,表1[#All],MATCH(表1_4[[#Headers],[胆碱 mg]],表1_4[#Headers],0),)/品牌均值表[[#Totals],[胆碱 mg]]*100</f>
        <v>76.768116731093812</v>
      </c>
      <c r="AN4">
        <f>VLOOKUP($A4,表1[#All],MATCH(表1_4[[#Headers],[肌醇 mg]],表1_4[#Headers],0),)/品牌均值表[[#Totals],[肌醇 mg]]*100</f>
        <v>90.845349914009802</v>
      </c>
      <c r="AO4">
        <f>VLOOKUP($A4,表1[#All],MATCH(表1_4[[#Headers],[牛磺酸 mg]],表1_4[#Headers],0),)/品牌均值表[[#Totals],[牛磺酸 mg]]*100</f>
        <v>130.22945189142777</v>
      </c>
      <c r="AP4">
        <f>VLOOKUP($A4,表1[#All],MATCH(表1_4[[#Headers],[左旋肉碱 mg]],表1_4[#Headers],0),)/品牌均值表[[#Totals],[左旋肉碱 mg]]*100</f>
        <v>83.571523881089661</v>
      </c>
      <c r="AQ4">
        <f>VLOOKUP($A4,表1[#All],MATCH(表1_4[[#Headers],[二十二碳六烯酸 mg]],表1_4[#Headers],0),)/品牌均值表[[#Totals],[二十二碳六烯酸 mg]]*100</f>
        <v>104.88328736058266</v>
      </c>
      <c r="AR4">
        <f>VLOOKUP($A4,表1[#All],MATCH(表1_4[[#Headers],[二十碳四烯酸 mg]],表1_4[#Headers],0),)/品牌均值表[[#Totals],[二十碳四烯酸 mg]]*100</f>
        <v>114.60741932240875</v>
      </c>
      <c r="AS4">
        <f>VLOOKUP($A4,表1[#All],MATCH(表1_4[[#Headers],[低聚半乳糖 g]],表1_4[#Headers],0),)/表1[[#Totals],[低聚半乳糖 g]]*100</f>
        <v>132.24921630094042</v>
      </c>
      <c r="AT4">
        <f>VLOOKUP($A4,表1[#All],MATCH(表1_4[[#Headers],[低聚果糖 g]],表1_4[#Headers],0),)/表1[[#Totals],[低聚果糖 g]]*50</f>
        <v>0</v>
      </c>
      <c r="AU4">
        <f>VLOOKUP($A4,表1[#All],MATCH(表1_4[[#Headers],[多聚果糖 g]],表1_4[#Headers],0),)/表1[[#Totals],[多聚果糖 g]]*100</f>
        <v>0</v>
      </c>
      <c r="AV4">
        <f>VLOOKUP($A4,表1[#All],MATCH(表1_4[[#Headers],[聚葡萄糖 g]],表1_4[#Headers],0),)/表1[[#Totals],[聚葡萄糖 g]]*100</f>
        <v>0</v>
      </c>
      <c r="AW4">
        <f>VLOOKUP($A4,表1[#All],MATCH(表1_4[[#Headers],[核苷酸 mg]],表1_4[#Headers],0),)/表1[[#Totals],[核苷酸 mg]]*100</f>
        <v>91.292134831460686</v>
      </c>
      <c r="AX4">
        <f>VLOOKUP($A4,表1[#All],MATCH(表1_4[[#Headers],[13二油酸 g]],表1_4[#Headers],0),)/表1[[#Totals],[13二油酸 g]]*100</f>
        <v>0</v>
      </c>
      <c r="AY4">
        <f>VLOOKUP($A4,表1[#All],MATCH(表1_4[[#Headers],[叶黄素 ug]],表1_4[#Headers],0),)/表1[[#Totals],[叶黄素 ug]]*100</f>
        <v>0</v>
      </c>
      <c r="AZ4">
        <f>VLOOKUP($A4,表1[#All],MATCH(表1_4[[#Headers],[乳铁蛋白 mg]],表1_4[#Headers],0),)/表1[[#Totals],[乳铁蛋白 mg]]*100</f>
        <v>19.075144508670519</v>
      </c>
      <c r="BA4">
        <f>VLOOKUP($A4,表1[#All],MATCH(表1_4[[#Headers],[酪蛋白磷酸肽 mg]],表1_4[#Headers],0),)/表1[[#Totals],[酪蛋白磷酸肽 mg]]*100</f>
        <v>0</v>
      </c>
      <c r="BB4">
        <f>VLOOKUP($A4,表1[#All],MATCH(表1_4[[#Headers],[b胡萝卜素 ug]],表1_4[#Headers],0),)/表1[[#Totals],[b胡萝卜素 ug]]*100</f>
        <v>0</v>
      </c>
      <c r="BC4">
        <f>AVERAGE(表1_4[[#This Row],[能量kj]:[碳水化合物g]])</f>
        <v>102.14371192603375</v>
      </c>
      <c r="BD4">
        <f>AVERAGE(N4:Z4,AM4)</f>
        <v>111.60795102260451</v>
      </c>
      <c r="BE4">
        <f>AVERAGE(表1_4[[#This Row],[钠 mg]:[硒 mg]])</f>
        <v>126.2271455449137</v>
      </c>
      <c r="BF4" s="4">
        <f>SUM(表1_4[[#This Row],[肌醇 mg]:[b胡萝卜素 ug]])/SUM(表1_4[[肌醇 mg]:[b胡萝卜素 ug]])*3400</f>
        <v>97.842388811326884</v>
      </c>
      <c r="BG4" s="4">
        <f>0.5*表1_4[[#This Row],[基础能量]]+表1_4[[#This Row],[维生素]]+表1_4[[#This Row],[微量元素]]+表1_4[[#This Row],[加分项]]+IF(COUNTIF(F4,"*A2*"),0.6,0)*表1_4[[#This Row],[基础能量]]</f>
        <v>448.03556849748219</v>
      </c>
      <c r="BH4" s="4">
        <f>表1_4[[#This Row],[总分]]/表1_4[[#This Row],[百克重量]]</f>
        <v>9.9563459666107157</v>
      </c>
    </row>
    <row r="5" spans="1:60" ht="48">
      <c r="A5" s="1" t="s">
        <v>57</v>
      </c>
      <c r="B5" s="2" t="s">
        <v>9</v>
      </c>
      <c r="C5" s="2">
        <v>900</v>
      </c>
      <c r="D5" s="2">
        <v>223</v>
      </c>
      <c r="E5" s="2">
        <v>24.78</v>
      </c>
      <c r="F5" s="2" t="s">
        <v>136</v>
      </c>
      <c r="G5" s="2" t="s">
        <v>56</v>
      </c>
      <c r="H5">
        <f>VLOOKUP($A5,表1[#All],MATCH(表1_4[[#Headers],[能量kj]],表1_4[#Headers],0),)/品牌均值表[[#Totals],[能量kj]]*100</f>
        <v>100.61413209722583</v>
      </c>
      <c r="I5">
        <f>VLOOKUP($A5,表1[#All],MATCH(表1_4[[#Headers],[蛋白质g]],表1_4[#Headers],0),)/品牌均值表[[#Totals],[蛋白质g]]*100</f>
        <v>97.664143860834145</v>
      </c>
      <c r="J5">
        <f>VLOOKUP($A5,表1[#All],MATCH(表1_4[[#Headers],[脂肪g]],表1_4[#Headers],0),)/品牌均值表[[#Totals],[脂肪g]]*100</f>
        <v>101.79928647465006</v>
      </c>
      <c r="K5">
        <f>VLOOKUP($A5,表1[#All],MATCH(表1_4[[#Headers],[亚油酸g]],表1_4[#Headers],0),)/品牌均值表[[#Totals],[亚油酸g]]*100</f>
        <v>106.59832488346611</v>
      </c>
      <c r="L5">
        <f>VLOOKUP($A5,表1[#All],MATCH(表1_4[[#Headers],[a-亚麻酸mg]],表1_4[#Headers],0),)/品牌均值表[[#Totals],[a-亚麻酸mg]]*100</f>
        <v>98.166587901566601</v>
      </c>
      <c r="M5">
        <f>VLOOKUP($A5,表1[#All],MATCH(表1_4[[#Headers],[碳水化合物g]],表1_4[#Headers],0),)/品牌均值表[[#Totals],[碳水化合物g]]*100</f>
        <v>99.523402261041809</v>
      </c>
      <c r="N5">
        <f>VLOOKUP($A5,表1[#All],MATCH(表1_4[[#Headers],[维生素A（ug视黄醇）]],表1_4[#Headers],0),)/品牌均值表[[#Totals],[维生素A（ug视黄醇）]]*100</f>
        <v>87.187829224875983</v>
      </c>
      <c r="O5">
        <f>VLOOKUP($A5,表1[#All],MATCH(表1_4[[#Headers],[维生素D ug]],表1_4[#Headers],0),)/品牌均值表[[#Totals],[维生素D ug]]*100</f>
        <v>127.46972594008921</v>
      </c>
      <c r="P5">
        <f>VLOOKUP($A5,表1[#All],MATCH(表1_4[[#Headers],[维生素E mg]],表1_4[#Headers],0),)/品牌均值表[[#Totals],[维生素E mg]]*100</f>
        <v>83.507306889352819</v>
      </c>
      <c r="Q5">
        <f>VLOOKUP($A5,表1[#All],MATCH(表1_4[[#Headers],[维生素K1 ug]],表1_4[#Headers],0),)/品牌均值表[[#Totals],[维生素K1 ug]]*100</f>
        <v>134.86609723203392</v>
      </c>
      <c r="R5">
        <f>VLOOKUP($A5,表1[#All],MATCH(表1_4[[#Headers],[维生素B1 ug]],表1_4[#Headers],0),)/品牌均值表[[#Totals],[维生素B1 ug]]*100</f>
        <v>129.21364268877971</v>
      </c>
      <c r="S5">
        <f>VLOOKUP($A5,表1[#All],MATCH(表1_4[[#Headers],[维生素B2 ug]],表1_4[#Headers],0),)/品牌均值表[[#Totals],[维生素B2 ug]]*100</f>
        <v>65.142740151813598</v>
      </c>
      <c r="T5">
        <f>VLOOKUP($A5,表1[#All],MATCH(表1_4[[#Headers],[维生素B6 ug]],表1_4[#Headers],0),)/品牌均值表[[#Totals],[维生素B6 ug]]*100</f>
        <v>117.47734190731455</v>
      </c>
      <c r="U5">
        <f>VLOOKUP($A5,表1[#All],MATCH(表1_4[[#Headers],[维生素B12 ug]],表1_4[#Headers],0),)/品牌均值表[[#Totals],[维生素B12 ug]]*100</f>
        <v>92.860090796533214</v>
      </c>
      <c r="V5">
        <f>VLOOKUP($A5,表1[#All],MATCH(表1_4[[#Headers],[烟酸 ug]],表1_4[#Headers],0),)/品牌均值表[[#Totals],[烟酸 ug]]*100</f>
        <v>112.64458344399367</v>
      </c>
      <c r="W5">
        <f>VLOOKUP($A5,表1[#All],MATCH(表1_4[[#Headers],[叶酸 ug]],表1_4[#Headers],0),)/品牌均值表[[#Totals],[叶酸 ug]]*100</f>
        <v>77.974978178644164</v>
      </c>
      <c r="X5">
        <f>VLOOKUP($A5,表1[#All],MATCH(表1_4[[#Headers],[泛酸 ug]],表1_4[#Headers],0),)/品牌均值表[[#Totals],[泛酸 ug]]*100</f>
        <v>96.128519553261299</v>
      </c>
      <c r="Y5">
        <f>VLOOKUP($A5,表1[#All],MATCH(表1_4[[#Headers],[维生素C mg]],表1_4[#Headers],0),)/品牌均值表[[#Totals],[维生素C mg]]*100</f>
        <v>77.301494232624918</v>
      </c>
      <c r="Z5">
        <f>VLOOKUP($A5,表1[#All],MATCH(表1_4[[#Headers],[生物素 ug]],表1_4[#Headers],0),)/品牌均值表[[#Totals],[生物素 ug]]*100</f>
        <v>100.11963700672084</v>
      </c>
      <c r="AA5">
        <f>VLOOKUP($A5,表1[#All],MATCH(表1_4[[#Headers],[钠 mg]],表1_4[#Headers],0),)/品牌均值表[[#Totals],[钠 mg]]*100</f>
        <v>103.48701977094873</v>
      </c>
      <c r="AB5">
        <f>VLOOKUP($A5,表1[#All],MATCH(表1_4[[#Headers],[钾 mg]],表1_4[#Headers],0),)/品牌均值表[[#Totals],[钾 mg]]*100</f>
        <v>78.097228876559058</v>
      </c>
      <c r="AC5">
        <f>VLOOKUP($A5,表1[#All],MATCH(表1_4[[#Headers],[铜 ug]],表1_4[#Headers],0),)/品牌均值表[[#Totals],[铜 ug]]*100</f>
        <v>98.725633405530658</v>
      </c>
      <c r="AD5">
        <f>VLOOKUP($A5,表1[#All],MATCH(表1_4[[#Headers],[镁 mg]],表1_4[#Headers],0),)/品牌均值表[[#Totals],[镁 mg]]*100</f>
        <v>83.159054065759989</v>
      </c>
      <c r="AE5">
        <f>VLOOKUP($A5,表1[#All],MATCH(表1_4[[#Headers],[铁 mg ]],表1_4[#Headers],0),)/品牌均值表[[#Totals],[铁 mg ]]*100</f>
        <v>104.62752600741361</v>
      </c>
      <c r="AF5">
        <f>VLOOKUP($A5,表1[#All],MATCH(表1_4[[#Headers],[锌 mg]],表1_4[#Headers],0),)/品牌均值表[[#Totals],[锌 mg]]*100</f>
        <v>109.64848667683862</v>
      </c>
      <c r="AG5">
        <f>VLOOKUP($A5,表1[#All],MATCH(表1_4[[#Headers],[锰 ug]],表1_4[#Headers],0),)/品牌均值表[[#Totals],[锰 ug]]*100</f>
        <v>42.313543356269953</v>
      </c>
      <c r="AH5">
        <f>VLOOKUP($A5,表1[#All],MATCH(表1_4[[#Headers],[钙mg]],表1_4[#Headers],0),)/品牌均值表[[#Totals],[钙mg]]*100</f>
        <v>96.088417031573869</v>
      </c>
      <c r="AI5">
        <f>VLOOKUP($A5,表1[#All],MATCH(表1_4[[#Headers],[磷 mg]],表1_4[#Headers],0),)/品牌均值表[[#Totals],[磷 mg]]*100</f>
        <v>85.402913662737788</v>
      </c>
      <c r="AJ5">
        <f>VLOOKUP($A5,表1[#All],MATCH(表1_4[[#Headers],[碘 ug]],表1_4[#Headers],0),)/品牌均值表[[#Totals],[碘 ug]]*100</f>
        <v>114.61524599026851</v>
      </c>
      <c r="AK5">
        <f>VLOOKUP($A5,表1[#All],MATCH(表1_4[[#Headers],[氯 mg]],表1_4[#Headers],0),)/品牌均值表[[#Totals],[氯 mg]]*100</f>
        <v>84.52313784961926</v>
      </c>
      <c r="AL5">
        <f>VLOOKUP($A5,表1[#All],MATCH(表1_4[[#Headers],[硒 mg]],表1_4[#Headers],0),)/品牌均值表[[#Totals],[硒 mg]]*100</f>
        <v>109.6733849632017</v>
      </c>
      <c r="AM5">
        <f>VLOOKUP($A5,表1[#All],MATCH(表1_4[[#Headers],[胆碱 mg]],表1_4[#Headers],0),)/品牌均值表[[#Totals],[胆碱 mg]]*100</f>
        <v>175.58664997005496</v>
      </c>
      <c r="AN5">
        <f>VLOOKUP($A5,表1[#All],MATCH(表1_4[[#Headers],[肌醇 mg]],表1_4[#Headers],0),)/品牌均值表[[#Totals],[肌醇 mg]]*100</f>
        <v>111.12581029236672</v>
      </c>
      <c r="AO5">
        <f>VLOOKUP($A5,表1[#All],MATCH(表1_4[[#Headers],[牛磺酸 mg]],表1_4[#Headers],0),)/品牌均值表[[#Totals],[牛磺酸 mg]]*100</f>
        <v>126.89023517626295</v>
      </c>
      <c r="AP5">
        <f>VLOOKUP($A5,表1[#All],MATCH(表1_4[[#Headers],[左旋肉碱 mg]],表1_4[#Headers],0),)/品牌均值表[[#Totals],[左旋肉碱 mg]]*100</f>
        <v>88.487495874094932</v>
      </c>
      <c r="AQ5">
        <f>VLOOKUP($A5,表1[#All],MATCH(表1_4[[#Headers],[二十二碳六烯酸 mg]],表1_4[#Headers],0),)/品牌均值表[[#Totals],[二十二碳六烯酸 mg]]*100</f>
        <v>105.75549765048355</v>
      </c>
      <c r="AR5">
        <f>VLOOKUP($A5,表1[#All],MATCH(表1_4[[#Headers],[二十碳四烯酸 mg]],表1_4[#Headers],0),)/品牌均值表[[#Totals],[二十碳四烯酸 mg]]*100</f>
        <v>127.52202055509585</v>
      </c>
      <c r="AS5">
        <f>VLOOKUP($A5,表1[#All],MATCH(表1_4[[#Headers],[低聚半乳糖 g]],表1_4[#Headers],0),)/表1[[#Totals],[低聚半乳糖 g]]*100</f>
        <v>132.24921630094042</v>
      </c>
      <c r="AT5">
        <f>VLOOKUP($A5,表1[#All],MATCH(表1_4[[#Headers],[低聚果糖 g]],表1_4[#Headers],0),)/表1[[#Totals],[低聚果糖 g]]*50</f>
        <v>0</v>
      </c>
      <c r="AU5">
        <f>VLOOKUP($A5,表1[#All],MATCH(表1_4[[#Headers],[多聚果糖 g]],表1_4[#Headers],0),)/表1[[#Totals],[多聚果糖 g]]*100</f>
        <v>0</v>
      </c>
      <c r="AV5">
        <f>VLOOKUP($A5,表1[#All],MATCH(表1_4[[#Headers],[聚葡萄糖 g]],表1_4[#Headers],0),)/表1[[#Totals],[聚葡萄糖 g]]*100</f>
        <v>0</v>
      </c>
      <c r="AW5">
        <f>VLOOKUP($A5,表1[#All],MATCH(表1_4[[#Headers],[核苷酸 mg]],表1_4[#Headers],0),)/表1[[#Totals],[核苷酸 mg]]*100</f>
        <v>109.55056179775282</v>
      </c>
      <c r="AX5">
        <f>VLOOKUP($A5,表1[#All],MATCH(表1_4[[#Headers],[13二油酸 g]],表1_4[#Headers],0),)/表1[[#Totals],[13二油酸 g]]*100</f>
        <v>71.460176991150419</v>
      </c>
      <c r="AY5">
        <f>VLOOKUP($A5,表1[#All],MATCH(表1_4[[#Headers],[叶黄素 ug]],表1_4[#Headers],0),)/表1[[#Totals],[叶黄素 ug]]*100</f>
        <v>98.504837291116985</v>
      </c>
      <c r="AZ5">
        <f>VLOOKUP($A5,表1[#All],MATCH(表1_4[[#Headers],[乳铁蛋白 mg]],表1_4[#Headers],0),)/表1[[#Totals],[乳铁蛋白 mg]]*100</f>
        <v>0</v>
      </c>
      <c r="BA5">
        <f>VLOOKUP($A5,表1[#All],MATCH(表1_4[[#Headers],[酪蛋白磷酸肽 mg]],表1_4[#Headers],0),)/表1[[#Totals],[酪蛋白磷酸肽 mg]]*100</f>
        <v>0</v>
      </c>
      <c r="BB5">
        <f>VLOOKUP($A5,表1[#All],MATCH(表1_4[[#Headers],[b胡萝卜素 ug]],表1_4[#Headers],0),)/表1[[#Totals],[b胡萝卜素 ug]]*100</f>
        <v>0</v>
      </c>
      <c r="BC5">
        <f>AVERAGE(表1_4[[#This Row],[能量kj]:[碳水化合物g]])</f>
        <v>100.72764624646409</v>
      </c>
      <c r="BD5">
        <f>AVERAGE(N5:Z5,AM5)</f>
        <v>105.53433122972095</v>
      </c>
      <c r="BE5">
        <f>AVERAGE(表1_4[[#This Row],[钠 mg]:[硒 mg]])</f>
        <v>92.530132638060138</v>
      </c>
      <c r="BF5" s="4">
        <f>SUM(表1_4[[#This Row],[肌醇 mg]:[b胡萝卜素 ug]])/SUM(表1_4[[肌醇 mg]:[b胡萝卜素 ug]])*3400</f>
        <v>123.97512827770386</v>
      </c>
      <c r="BG5" s="4">
        <f>0.5*表1_4[[#This Row],[基础能量]]+表1_4[[#This Row],[维生素]]+表1_4[[#This Row],[微量元素]]+表1_4[[#This Row],[加分项]]+IF(COUNTIF(F5,"*A2*"),0.6,0)*表1_4[[#This Row],[基础能量]]</f>
        <v>432.8400030165954</v>
      </c>
      <c r="BH5" s="4">
        <f>表1_4[[#This Row],[总分]]/表1_4[[#This Row],[百克重量]]</f>
        <v>17.467312470403364</v>
      </c>
    </row>
    <row r="6" spans="1:60" ht="64">
      <c r="A6" s="1" t="s">
        <v>22</v>
      </c>
      <c r="B6" s="2" t="s">
        <v>23</v>
      </c>
      <c r="C6" s="2">
        <v>800</v>
      </c>
      <c r="D6" s="2">
        <v>416</v>
      </c>
      <c r="E6" s="2">
        <v>52</v>
      </c>
      <c r="F6" s="2" t="s">
        <v>24</v>
      </c>
      <c r="G6" s="2" t="s">
        <v>3</v>
      </c>
      <c r="H6">
        <f>VLOOKUP($A6,表1[#All],MATCH(表1_4[[#Headers],[能量kj]],表1_4[#Headers],0),)/品牌均值表[[#Totals],[能量kj]]*100</f>
        <v>99.814113273253497</v>
      </c>
      <c r="I6">
        <f>VLOOKUP($A6,表1[#All],MATCH(表1_4[[#Headers],[蛋白质g]],表1_4[#Headers],0),)/品牌均值表[[#Totals],[蛋白质g]]*100</f>
        <v>102.31481737801673</v>
      </c>
      <c r="J6">
        <f>VLOOKUP($A6,表1[#All],MATCH(表1_4[[#Headers],[脂肪g]],表1_4[#Headers],0),)/品牌均值表[[#Totals],[脂肪g]]*100</f>
        <v>99.948390356929153</v>
      </c>
      <c r="K6">
        <f>VLOOKUP($A6,表1[#All],MATCH(表1_4[[#Headers],[亚油酸g]],表1_4[#Headers],0),)/品牌均值表[[#Totals],[亚油酸g]]*100</f>
        <v>59.799060300480988</v>
      </c>
      <c r="L6">
        <f>VLOOKUP($A6,表1[#All],MATCH(表1_4[[#Headers],[a-亚麻酸mg]],表1_4[#Headers],0),)/品牌均值表[[#Totals],[a-亚麻酸mg]]*100</f>
        <v>77.814978214656463</v>
      </c>
      <c r="M6">
        <f>VLOOKUP($A6,表1[#All],MATCH(表1_4[[#Headers],[碳水化合物g]],表1_4[#Headers],0),)/品牌均值表[[#Totals],[碳水化合物g]]*100</f>
        <v>98.601889277143286</v>
      </c>
      <c r="N6">
        <f>VLOOKUP($A6,表1[#All],MATCH(表1_4[[#Headers],[维生素A（ug视黄醇）]],表1_4[#Headers],0),)/品牌均值表[[#Totals],[维生素A（ug视黄醇）]]*100</f>
        <v>96.875365805417758</v>
      </c>
      <c r="O6">
        <f>VLOOKUP($A6,表1[#All],MATCH(表1_4[[#Headers],[维生素D ug]],表1_4[#Headers],0),)/品牌均值表[[#Totals],[维生素D ug]]*100</f>
        <v>84.326126391135929</v>
      </c>
      <c r="P6">
        <f>VLOOKUP($A6,表1[#All],MATCH(表1_4[[#Headers],[维生素E mg]],表1_4[#Headers],0),)/品牌均值表[[#Totals],[维生素E mg]]*100</f>
        <v>86.290883785664576</v>
      </c>
      <c r="Q6">
        <f>VLOOKUP($A6,表1[#All],MATCH(表1_4[[#Headers],[维生素K1 ug]],表1_4[#Headers],0),)/品牌均值表[[#Totals],[维生素K1 ug]]*100</f>
        <v>87.662963200822048</v>
      </c>
      <c r="R6">
        <f>VLOOKUP($A6,表1[#All],MATCH(表1_4[[#Headers],[维生素B1 ug]],表1_4[#Headers],0),)/品牌均值表[[#Totals],[维生素B1 ug]]*100</f>
        <v>97.407207565387793</v>
      </c>
      <c r="S6">
        <f>VLOOKUP($A6,表1[#All],MATCH(表1_4[[#Headers],[维生素B2 ug]],表1_4[#Headers],0),)/品牌均值表[[#Totals],[维生素B2 ug]]*100</f>
        <v>85.988417000393952</v>
      </c>
      <c r="T6">
        <f>VLOOKUP($A6,表1[#All],MATCH(表1_4[[#Headers],[维生素B6 ug]],表1_4[#Headers],0),)/品牌均值表[[#Totals],[维生素B6 ug]]*100</f>
        <v>108.66654126426596</v>
      </c>
      <c r="U6">
        <f>VLOOKUP($A6,表1[#All],MATCH(表1_4[[#Headers],[维生素B12 ug]],表1_4[#Headers],0),)/品牌均值表[[#Totals],[维生素B12 ug]]*100</f>
        <v>105.24143623607097</v>
      </c>
      <c r="V6">
        <f>VLOOKUP($A6,表1[#All],MATCH(表1_4[[#Headers],[烟酸 ug]],表1_4[#Headers],0),)/品牌均值表[[#Totals],[烟酸 ug]]*100</f>
        <v>98.907439121555413</v>
      </c>
      <c r="W6">
        <f>VLOOKUP($A6,表1[#All],MATCH(表1_4[[#Headers],[叶酸 ug]],表1_4[#Headers],0),)/品牌均值表[[#Totals],[叶酸 ug]]*100</f>
        <v>110.56153622345066</v>
      </c>
      <c r="X6">
        <f>VLOOKUP($A6,表1[#All],MATCH(表1_4[[#Headers],[泛酸 ug]],表1_4[#Headers],0),)/品牌均值表[[#Totals],[泛酸 ug]]*100</f>
        <v>157.5877369725595</v>
      </c>
      <c r="Y6">
        <f>VLOOKUP($A6,表1[#All],MATCH(表1_4[[#Headers],[维生素C mg]],表1_4[#Headers],0),)/品牌均值表[[#Totals],[维生素C mg]]*100</f>
        <v>110.43070604660701</v>
      </c>
      <c r="Z6">
        <f>VLOOKUP($A6,表1[#All],MATCH(表1_4[[#Headers],[生物素 ug]],表1_4[#Headers],0),)/品牌均值表[[#Totals],[生物素 ug]]*100</f>
        <v>125.14954625840105</v>
      </c>
      <c r="AA6">
        <f>VLOOKUP($A6,表1[#All],MATCH(表1_4[[#Headers],[钠 mg]],表1_4[#Headers],0),)/品牌均值表[[#Totals],[钠 mg]]*100</f>
        <v>94.616703790581695</v>
      </c>
      <c r="AB6">
        <f>VLOOKUP($A6,表1[#All],MATCH(表1_4[[#Headers],[钾 mg]],表1_4[#Headers],0),)/品牌均值表[[#Totals],[钾 mg]]*100</f>
        <v>111.5674698236558</v>
      </c>
      <c r="AC6">
        <f>VLOOKUP($A6,表1[#All],MATCH(表1_4[[#Headers],[铜 ug]],表1_4[#Headers],0),)/品牌均值表[[#Totals],[铜 ug]]*100</f>
        <v>104.36709817156098</v>
      </c>
      <c r="AD6">
        <f>VLOOKUP($A6,表1[#All],MATCH(表1_4[[#Headers],[镁 mg]],表1_4[#Headers],0),)/品牌均值表[[#Totals],[镁 mg]]*100</f>
        <v>124.73858109863998</v>
      </c>
      <c r="AE6">
        <f>VLOOKUP($A6,表1[#All],MATCH(表1_4[[#Headers],[铁 mg ]],表1_4[#Headers],0),)/品牌均值表[[#Totals],[铁 mg ]]*100</f>
        <v>125.55303120889631</v>
      </c>
      <c r="AF6">
        <f>VLOOKUP($A6,表1[#All],MATCH(表1_4[[#Headers],[锌 mg]],表1_4[#Headers],0),)/品牌均值表[[#Totals],[锌 mg]]*100</f>
        <v>112.08511971410169</v>
      </c>
      <c r="AG6">
        <f>VLOOKUP($A6,表1[#All],MATCH(表1_4[[#Headers],[锰 ug]],表1_4[#Headers],0),)/品牌均值表[[#Totals],[锰 ug]]*100</f>
        <v>121.65143714927613</v>
      </c>
      <c r="AH6">
        <f>VLOOKUP($A6,表1[#All],MATCH(表1_4[[#Headers],[钙mg]],表1_4[#Headers],0),)/品牌均值表[[#Totals],[钙mg]]*100</f>
        <v>109.81533375037014</v>
      </c>
      <c r="AI6">
        <f>VLOOKUP($A6,表1[#All],MATCH(表1_4[[#Headers],[磷 mg]],表1_4[#Headers],0),)/品牌均值表[[#Totals],[磷 mg]]*100</f>
        <v>98.213350712148468</v>
      </c>
      <c r="AJ6">
        <f>VLOOKUP($A6,表1[#All],MATCH(表1_4[[#Headers],[碘 ug]],表1_4[#Headers],0),)/品牌均值表[[#Totals],[碘 ug]]*100</f>
        <v>102.72121102901424</v>
      </c>
      <c r="AK6">
        <f>VLOOKUP($A6,表1[#All],MATCH(表1_4[[#Headers],[氯 mg]],表1_4[#Headers],0),)/品牌均值表[[#Totals],[氯 mg]]*100</f>
        <v>96.597871828136292</v>
      </c>
      <c r="AL6">
        <f>VLOOKUP($A6,表1[#All],MATCH(表1_4[[#Headers],[硒 mg]],表1_4[#Headers],0),)/品牌均值表[[#Totals],[硒 mg]]*100</f>
        <v>109.6733849632017</v>
      </c>
      <c r="AM6">
        <f>VLOOKUP($A6,表1[#All],MATCH(表1_4[[#Headers],[胆碱 mg]],表1_4[#Headers],0),)/品牌均值表[[#Totals],[胆碱 mg]]*100</f>
        <v>126.58572439701639</v>
      </c>
      <c r="AN6">
        <f>VLOOKUP($A6,表1[#All],MATCH(表1_4[[#Headers],[肌醇 mg]],表1_4[#Headers],0),)/品牌均值表[[#Totals],[肌醇 mg]]*100</f>
        <v>138.90726286545839</v>
      </c>
      <c r="AO6">
        <f>VLOOKUP($A6,表1[#All],MATCH(表1_4[[#Headers],[牛磺酸 mg]],表1_4[#Headers],0),)/品牌均值表[[#Totals],[牛磺酸 mg]]*100</f>
        <v>100.17650145494443</v>
      </c>
      <c r="AP6">
        <f>VLOOKUP($A6,表1[#All],MATCH(表1_4[[#Headers],[左旋肉碱 mg]],表1_4[#Headers],0),)/品牌均值表[[#Totals],[左旋肉碱 mg]]*100</f>
        <v>196.63887972021095</v>
      </c>
      <c r="AQ6">
        <f>VLOOKUP($A6,表1[#All],MATCH(表1_4[[#Headers],[二十二碳六烯酸 mg]],表1_4[#Headers],0),)/品牌均值表[[#Totals],[二十二碳六烯酸 mg]]*100</f>
        <v>103.02984049454325</v>
      </c>
      <c r="AR6">
        <f>VLOOKUP($A6,表1[#All],MATCH(表1_4[[#Headers],[二十碳四烯酸 mg]],表1_4[#Headers],0),)/品牌均值表[[#Totals],[二十碳四烯酸 mg]]*100</f>
        <v>96.04751335926565</v>
      </c>
      <c r="AS6">
        <f>VLOOKUP($A6,表1[#All],MATCH(表1_4[[#Headers],[低聚半乳糖 g]],表1_4[#Headers],0),)/表1[[#Totals],[低聚半乳糖 g]]*100</f>
        <v>132.24921630094042</v>
      </c>
      <c r="AT6">
        <f>VLOOKUP($A6,表1[#All],MATCH(表1_4[[#Headers],[低聚果糖 g]],表1_4[#Headers],0),)/表1[[#Totals],[低聚果糖 g]]*50</f>
        <v>0</v>
      </c>
      <c r="AU6">
        <f>VLOOKUP($A6,表1[#All],MATCH(表1_4[[#Headers],[多聚果糖 g]],表1_4[#Headers],0),)/表1[[#Totals],[多聚果糖 g]]*100</f>
        <v>0</v>
      </c>
      <c r="AV6">
        <f>VLOOKUP($A6,表1[#All],MATCH(表1_4[[#Headers],[聚葡萄糖 g]],表1_4[#Headers],0),)/表1[[#Totals],[聚葡萄糖 g]]*100</f>
        <v>0</v>
      </c>
      <c r="AW6">
        <f>VLOOKUP($A6,表1[#All],MATCH(表1_4[[#Headers],[核苷酸 mg]],表1_4[#Headers],0),)/表1[[#Totals],[核苷酸 mg]]*100</f>
        <v>87.640449438202253</v>
      </c>
      <c r="AX6">
        <f>VLOOKUP($A6,表1[#All],MATCH(表1_4[[#Headers],[13二油酸 g]],表1_4[#Headers],0),)/表1[[#Totals],[13二油酸 g]]*100</f>
        <v>0</v>
      </c>
      <c r="AY6">
        <f>VLOOKUP($A6,表1[#All],MATCH(表1_4[[#Headers],[叶黄素 ug]],表1_4[#Headers],0),)/表1[[#Totals],[叶黄素 ug]]*100</f>
        <v>0</v>
      </c>
      <c r="AZ6">
        <f>VLOOKUP($A6,表1[#All],MATCH(表1_4[[#Headers],[乳铁蛋白 mg]],表1_4[#Headers],0),)/表1[[#Totals],[乳铁蛋白 mg]]*100</f>
        <v>286.12716763005778</v>
      </c>
      <c r="BA6">
        <f>VLOOKUP($A6,表1[#All],MATCH(表1_4[[#Headers],[酪蛋白磷酸肽 mg]],表1_4[#Headers],0),)/表1[[#Totals],[酪蛋白磷酸肽 mg]]*100</f>
        <v>0</v>
      </c>
      <c r="BB6">
        <f>VLOOKUP($A6,表1[#All],MATCH(表1_4[[#Headers],[b胡萝卜素 ug]],表1_4[#Headers],0),)/表1[[#Totals],[b胡萝卜素 ug]]*100</f>
        <v>0</v>
      </c>
      <c r="BC6">
        <f>AVERAGE(表1_4[[#This Row],[能量kj]:[碳水化合物g]])</f>
        <v>89.715541466746686</v>
      </c>
      <c r="BD6">
        <f>AVERAGE(N6:Z6,AM6)</f>
        <v>105.83440216205349</v>
      </c>
      <c r="BE6">
        <f>AVERAGE(表1_4[[#This Row],[钠 mg]:[硒 mg]])</f>
        <v>109.30004943663194</v>
      </c>
      <c r="BF6" s="4">
        <f>SUM(表1_4[[#This Row],[肌醇 mg]:[b胡萝卜素 ug]])/SUM(表1_4[[肌醇 mg]:[b胡萝卜素 ug]])*3400</f>
        <v>145.57512928125661</v>
      </c>
      <c r="BG6" s="4">
        <f>0.5*表1_4[[#This Row],[基础能量]]+表1_4[[#This Row],[维生素]]+表1_4[[#This Row],[微量元素]]+表1_4[[#This Row],[加分项]]+IF(COUNTIF(F6,"*A2*"),0.6,0)*表1_4[[#This Row],[基础能量]]</f>
        <v>405.5673516133154</v>
      </c>
      <c r="BH6" s="4">
        <f>表1_4[[#This Row],[总分]]/表1_4[[#This Row],[百克重量]]</f>
        <v>7.7993721464099117</v>
      </c>
    </row>
    <row r="7" spans="1:60" ht="48">
      <c r="A7" s="1" t="s">
        <v>37</v>
      </c>
      <c r="B7" s="2" t="s">
        <v>33</v>
      </c>
      <c r="C7" s="2">
        <v>800</v>
      </c>
      <c r="D7" s="2">
        <v>459</v>
      </c>
      <c r="E7" s="2">
        <v>57.38</v>
      </c>
      <c r="F7" s="2" t="s">
        <v>38</v>
      </c>
      <c r="G7" s="2" t="s">
        <v>3</v>
      </c>
      <c r="H7">
        <f>VLOOKUP($A7,表1[#All],MATCH(表1_4[[#Headers],[能量kj]],表1_4[#Headers],0),)/品牌均值表[[#Totals],[能量kj]]*100</f>
        <v>99.767053342431595</v>
      </c>
      <c r="I7">
        <f>VLOOKUP($A7,表1[#All],MATCH(表1_4[[#Headers],[蛋白质g]],表1_4[#Headers],0),)/品牌均值表[[#Totals],[蛋白质g]]*100</f>
        <v>101.3846826745802</v>
      </c>
      <c r="J7">
        <f>VLOOKUP($A7,表1[#All],MATCH(表1_4[[#Headers],[脂肪g]],表1_4[#Headers],0),)/品牌均值表[[#Totals],[脂肪g]]*100</f>
        <v>97.727315015664047</v>
      </c>
      <c r="K7">
        <f>VLOOKUP($A7,表1[#All],MATCH(表1_4[[#Headers],[亚油酸g]],表1_4[#Headers],0),)/品牌均值表[[#Totals],[亚油酸g]]*100</f>
        <v>85.798651735472717</v>
      </c>
      <c r="L7">
        <f>VLOOKUP($A7,表1[#All],MATCH(表1_4[[#Headers],[a-亚麻酸mg]],表1_4[#Headers],0),)/品牌均值表[[#Totals],[a-亚麻酸mg]]*100</f>
        <v>79.012131725651173</v>
      </c>
      <c r="M7">
        <f>VLOOKUP($A7,表1[#All],MATCH(表1_4[[#Headers],[碳水化合物g]],表1_4[#Headers],0),)/品牌均值表[[#Totals],[碳水化合物g]]*100</f>
        <v>102.47224380951714</v>
      </c>
      <c r="N7">
        <f>VLOOKUP($A7,表1[#All],MATCH(表1_4[[#Headers],[维生素A（ug视黄醇）]],表1_4[#Headers],0),)/品牌均值表[[#Totals],[维生素A（ug视黄醇）]]*100</f>
        <v>89.367524955497885</v>
      </c>
      <c r="O7">
        <f>VLOOKUP($A7,表1[#All],MATCH(表1_4[[#Headers],[维生素D ug]],表1_4[#Headers],0),)/品牌均值表[[#Totals],[维生素D ug]]*100</f>
        <v>150.02206206795117</v>
      </c>
      <c r="P7">
        <f>VLOOKUP($A7,表1[#All],MATCH(表1_4[[#Headers],[维生素E mg]],表1_4[#Headers],0),)/品牌均值表[[#Totals],[维生素E mg]]*100</f>
        <v>90.466249130132212</v>
      </c>
      <c r="Q7">
        <f>VLOOKUP($A7,表1[#All],MATCH(表1_4[[#Headers],[维生素K1 ug]],表1_4[#Headers],0),)/品牌均值表[[#Totals],[维生素K1 ug]]*100</f>
        <v>87.662963200822048</v>
      </c>
      <c r="R7">
        <f>VLOOKUP($A7,表1[#All],MATCH(表1_4[[#Headers],[维生素B1 ug]],表1_4[#Headers],0),)/品牌均值表[[#Totals],[维生素B1 ug]]*100</f>
        <v>72.558430125237834</v>
      </c>
      <c r="S7">
        <f>VLOOKUP($A7,表1[#All],MATCH(表1_4[[#Headers],[维生素B2 ug]],表1_4[#Headers],0),)/品牌均值表[[#Totals],[维生素B2 ug]]*100</f>
        <v>106.83409384897431</v>
      </c>
      <c r="T7">
        <f>VLOOKUP($A7,表1[#All],MATCH(表1_4[[#Headers],[维生素B6 ug]],表1_4[#Headers],0),)/品牌均值表[[#Totals],[维生素B6 ug]]*100</f>
        <v>79.297205787437335</v>
      </c>
      <c r="U7">
        <f>VLOOKUP($A7,表1[#All],MATCH(表1_4[[#Headers],[维生素B12 ug]],表1_4[#Headers],0),)/品牌均值表[[#Totals],[维生素B12 ug]]*100</f>
        <v>117.62278167560873</v>
      </c>
      <c r="V7">
        <f>VLOOKUP($A7,表1[#All],MATCH(表1_4[[#Headers],[烟酸 ug]],表1_4[#Headers],0),)/品牌均值表[[#Totals],[烟酸 ug]]*100</f>
        <v>90.939895414541226</v>
      </c>
      <c r="W7">
        <f>VLOOKUP($A7,表1[#All],MATCH(表1_4[[#Headers],[叶酸 ug]],表1_4[#Headers],0),)/品牌均值表[[#Totals],[叶酸 ug]]*100</f>
        <v>153.62234506837356</v>
      </c>
      <c r="X7">
        <f>VLOOKUP($A7,表1[#All],MATCH(表1_4[[#Headers],[泛酸 ug]],表1_4[#Headers],0),)/品牌均值表[[#Totals],[泛酸 ug]]*100</f>
        <v>113.77834609418795</v>
      </c>
      <c r="Y7">
        <f>VLOOKUP($A7,表1[#All],MATCH(表1_4[[#Headers],[维生素C mg]],表1_4[#Headers],0),)/品牌均值表[[#Totals],[维生素C mg]]*100</f>
        <v>75.092880111692779</v>
      </c>
      <c r="Z7">
        <f>VLOOKUP($A7,表1[#All],MATCH(表1_4[[#Headers],[生物素 ug]],表1_4[#Headers],0),)/品牌均值表[[#Totals],[生物素 ug]]*100</f>
        <v>100.11963700672084</v>
      </c>
      <c r="AA7">
        <f>VLOOKUP($A7,表1[#All],MATCH(表1_4[[#Headers],[钠 mg]],表1_4[#Headers],0),)/品牌均值表[[#Totals],[钠 mg]]*100</f>
        <v>88.703159803670346</v>
      </c>
      <c r="AB7">
        <f>VLOOKUP($A7,表1[#All],MATCH(表1_4[[#Headers],[钾 mg]],表1_4[#Headers],0),)/品牌均值表[[#Totals],[钾 mg]]*100</f>
        <v>75.257329644684177</v>
      </c>
      <c r="AC7">
        <f>VLOOKUP($A7,表1[#All],MATCH(表1_4[[#Headers],[铜 ug]],表1_4[#Headers],0),)/品牌均值表[[#Totals],[铜 ug]]*100</f>
        <v>101.54636578854581</v>
      </c>
      <c r="AD7">
        <f>VLOOKUP($A7,表1[#All],MATCH(表1_4[[#Headers],[镁 mg]],表1_4[#Headers],0),)/品牌均值表[[#Totals],[镁 mg]]*100</f>
        <v>96.152656263534979</v>
      </c>
      <c r="AE7">
        <f>VLOOKUP($A7,表1[#All],MATCH(表1_4[[#Headers],[铁 mg ]],表1_4[#Headers],0),)/品牌均值表[[#Totals],[铁 mg ]]*100</f>
        <v>69.054167164892959</v>
      </c>
      <c r="AF7">
        <f>VLOOKUP($A7,表1[#All],MATCH(表1_4[[#Headers],[锌 mg]],表1_4[#Headers],0),)/品牌均值表[[#Totals],[锌 mg]]*100</f>
        <v>77.972257192418581</v>
      </c>
      <c r="AG7">
        <f>VLOOKUP($A7,表1[#All],MATCH(表1_4[[#Headers],[锰 ug]],表1_4[#Headers],0),)/品牌均值表[[#Totals],[锰 ug]]*100</f>
        <v>63.470315034404933</v>
      </c>
      <c r="AH7">
        <f>VLOOKUP($A7,表1[#All],MATCH(表1_4[[#Headers],[钙mg]],表1_4[#Headers],0),)/品牌均值表[[#Totals],[钙mg]]*100</f>
        <v>80.439731972146134</v>
      </c>
      <c r="AI7">
        <f>VLOOKUP($A7,表1[#All],MATCH(表1_4[[#Headers],[磷 mg]],表1_4[#Headers],0),)/品牌均值表[[#Totals],[磷 mg]]*100</f>
        <v>87.110971935992552</v>
      </c>
      <c r="AJ7">
        <f>VLOOKUP($A7,表1[#All],MATCH(表1_4[[#Headers],[碘 ug]],表1_4[#Headers],0),)/品牌均值表[[#Totals],[碘 ug]]*100</f>
        <v>101.63993512344567</v>
      </c>
      <c r="AK7">
        <f>VLOOKUP($A7,表1[#All],MATCH(表1_4[[#Headers],[氯 mg]],表1_4[#Headers],0),)/品牌均值表[[#Totals],[氯 mg]]*100</f>
        <v>120.74733978517035</v>
      </c>
      <c r="AL7">
        <f>VLOOKUP($A7,表1[#All],MATCH(表1_4[[#Headers],[硒 mg]],表1_4[#Headers],0),)/品牌均值表[[#Totals],[硒 mg]]*100</f>
        <v>115.44566838231758</v>
      </c>
      <c r="AM7">
        <f>VLOOKUP($A7,表1[#All],MATCH(表1_4[[#Headers],[胆碱 mg]],表1_4[#Headers],0),)/品牌均值表[[#Totals],[胆碱 mg]]*100</f>
        <v>124.95236021124842</v>
      </c>
      <c r="AN7">
        <f>VLOOKUP($A7,表1[#All],MATCH(表1_4[[#Headers],[肌醇 mg]],表1_4[#Headers],0),)/品牌均值表[[#Totals],[肌醇 mg]]*100</f>
        <v>97.23508400582088</v>
      </c>
      <c r="AO7">
        <f>VLOOKUP($A7,表1[#All],MATCH(表1_4[[#Headers],[牛磺酸 mg]],表1_4[#Headers],0),)/品牌均值表[[#Totals],[牛磺酸 mg]]*100</f>
        <v>80.141201163955543</v>
      </c>
      <c r="AP7">
        <f>VLOOKUP($A7,表1[#All],MATCH(表1_4[[#Headers],[左旋肉碱 mg]],表1_4[#Headers],0),)/品牌均值表[[#Totals],[左旋肉碱 mg]]*100</f>
        <v>110.11777264331812</v>
      </c>
      <c r="AQ7">
        <f>VLOOKUP($A7,表1[#All],MATCH(表1_4[[#Headers],[二十二碳六烯酸 mg]],表1_4[#Headers],0),)/品牌均值表[[#Totals],[二十二碳六烯酸 mg]]*100</f>
        <v>115.56786341186861</v>
      </c>
      <c r="AR7">
        <f>VLOOKUP($A7,表1[#All],MATCH(表1_4[[#Headers],[二十碳四烯酸 mg]],表1_4[#Headers],0),)/品牌均值表[[#Totals],[二十碳四烯酸 mg]]*100</f>
        <v>98.986165136763304</v>
      </c>
      <c r="AS7">
        <f>VLOOKUP($A7,表1[#All],MATCH(表1_4[[#Headers],[低聚半乳糖 g]],表1_4[#Headers],0),)/表1[[#Totals],[低聚半乳糖 g]]*100</f>
        <v>35.266457680250781</v>
      </c>
      <c r="AT7">
        <f>VLOOKUP($A7,表1[#All],MATCH(表1_4[[#Headers],[低聚果糖 g]],表1_4[#Headers],0),)/表1[[#Totals],[低聚果糖 g]]*50</f>
        <v>52.770448548812666</v>
      </c>
      <c r="AU7">
        <f>VLOOKUP($A7,表1[#All],MATCH(表1_4[[#Headers],[多聚果糖 g]],表1_4[#Headers],0),)/表1[[#Totals],[多聚果糖 g]]*100</f>
        <v>0</v>
      </c>
      <c r="AV7">
        <f>VLOOKUP($A7,表1[#All],MATCH(表1_4[[#Headers],[聚葡萄糖 g]],表1_4[#Headers],0),)/表1[[#Totals],[聚葡萄糖 g]]*100</f>
        <v>0</v>
      </c>
      <c r="AW7">
        <f>VLOOKUP($A7,表1[#All],MATCH(表1_4[[#Headers],[核苷酸 mg]],表1_4[#Headers],0),)/表1[[#Totals],[核苷酸 mg]]*100</f>
        <v>91.292134831460686</v>
      </c>
      <c r="AX7">
        <f>VLOOKUP($A7,表1[#All],MATCH(表1_4[[#Headers],[13二油酸 g]],表1_4[#Headers],0),)/表1[[#Totals],[13二油酸 g]]*100</f>
        <v>94.026548672566364</v>
      </c>
      <c r="AY7">
        <f>VLOOKUP($A7,表1[#All],MATCH(表1_4[[#Headers],[叶黄素 ug]],表1_4[#Headers],0),)/表1[[#Totals],[叶黄素 ug]]*100</f>
        <v>113.28056288478452</v>
      </c>
      <c r="AZ7">
        <f>VLOOKUP($A7,表1[#All],MATCH(表1_4[[#Headers],[乳铁蛋白 mg]],表1_4[#Headers],0),)/表1[[#Totals],[乳铁蛋白 mg]]*100</f>
        <v>297.57225433526008</v>
      </c>
      <c r="BA7">
        <f>VLOOKUP($A7,表1[#All],MATCH(表1_4[[#Headers],[酪蛋白磷酸肽 mg]],表1_4[#Headers],0),)/表1[[#Totals],[酪蛋白磷酸肽 mg]]*100</f>
        <v>77.777777777777786</v>
      </c>
      <c r="BB7">
        <f>VLOOKUP($A7,表1[#All],MATCH(表1_4[[#Headers],[b胡萝卜素 ug]],表1_4[#Headers],0),)/表1[[#Totals],[b胡萝卜素 ug]]*100</f>
        <v>0</v>
      </c>
      <c r="BC7">
        <f>AVERAGE(表1_4[[#This Row],[能量kj]:[碳水化合物g]])</f>
        <v>94.360346383886153</v>
      </c>
      <c r="BD7">
        <f>AVERAGE(N7:Z7,AM7)</f>
        <v>103.73834104988758</v>
      </c>
      <c r="BE7">
        <f>AVERAGE(表1_4[[#This Row],[钠 mg]:[硒 mg]])</f>
        <v>89.794991507601992</v>
      </c>
      <c r="BF7" s="4">
        <f>SUM(表1_4[[#This Row],[肌醇 mg]:[b胡萝卜素 ug]])/SUM(表1_4[[肌醇 mg]:[b胡萝卜素 ug]])*3400</f>
        <v>161.29842003332783</v>
      </c>
      <c r="BG7" s="4">
        <f>0.5*表1_4[[#This Row],[基础能量]]+表1_4[[#This Row],[维生素]]+表1_4[[#This Row],[微量元素]]+表1_4[[#This Row],[加分项]]+IF(COUNTIF(F7,"*A2*"),0.6,0)*表1_4[[#This Row],[基础能量]]</f>
        <v>402.0119257827605</v>
      </c>
      <c r="BH7" s="4">
        <f>表1_4[[#This Row],[总分]]/表1_4[[#This Row],[百克重量]]</f>
        <v>7.0061332482182026</v>
      </c>
    </row>
    <row r="8" spans="1:60" ht="64">
      <c r="A8" s="1" t="s">
        <v>48</v>
      </c>
      <c r="B8" s="2" t="s">
        <v>49</v>
      </c>
      <c r="C8" s="2">
        <v>700</v>
      </c>
      <c r="D8" s="2">
        <v>255</v>
      </c>
      <c r="E8" s="2">
        <v>36.43</v>
      </c>
      <c r="F8" s="2" t="s">
        <v>50</v>
      </c>
      <c r="G8" s="2" t="s">
        <v>3</v>
      </c>
      <c r="H8">
        <f>VLOOKUP($A8,表1[#All],MATCH(表1_4[[#Headers],[能量kj]],表1_4[#Headers],0),)/品牌均值表[[#Totals],[能量kj]]*100</f>
        <v>100.04941292736301</v>
      </c>
      <c r="I8">
        <f>VLOOKUP($A8,表1[#All],MATCH(表1_4[[#Headers],[蛋白质g]],表1_4[#Headers],0),)/品牌均值表[[#Totals],[蛋白质g]]*100</f>
        <v>102.31481737801673</v>
      </c>
      <c r="J8">
        <f>VLOOKUP($A8,表1[#All],MATCH(表1_4[[#Headers],[脂肪g]],表1_4[#Headers],0),)/品牌均值表[[#Totals],[脂肪g]]*100</f>
        <v>100.31856958047334</v>
      </c>
      <c r="K8">
        <f>VLOOKUP($A8,表1[#All],MATCH(表1_4[[#Headers],[亚油酸g]],表1_4[#Headers],0),)/品牌均值表[[#Totals],[亚油酸g]]*100</f>
        <v>119.59812060096198</v>
      </c>
      <c r="L8">
        <f>VLOOKUP($A8,表1[#All],MATCH(表1_4[[#Headers],[a-亚麻酸mg]],表1_4[#Headers],0),)/品牌均值表[[#Totals],[a-亚麻酸mg]]*100</f>
        <v>110.13812301151376</v>
      </c>
      <c r="M8">
        <f>VLOOKUP($A8,表1[#All],MATCH(表1_4[[#Headers],[碳水化合物g]],表1_4[#Headers],0),)/品牌均值表[[#Totals],[碳水化合物g]]*100</f>
        <v>99.892007454601242</v>
      </c>
      <c r="N8">
        <f>VLOOKUP($A8,表1[#All],MATCH(表1_4[[#Headers],[维生素A（ug视黄醇）]],表1_4[#Headers],0),)/品牌均值表[[#Totals],[维生素A（ug视黄醇）]]*100</f>
        <v>92.031597515146871</v>
      </c>
      <c r="O8">
        <f>VLOOKUP($A8,表1[#All],MATCH(表1_4[[#Headers],[维生素D ug]],表1_4[#Headers],0),)/品牌均值表[[#Totals],[维生素D ug]]*100</f>
        <v>123.54758052654799</v>
      </c>
      <c r="P8">
        <f>VLOOKUP($A8,表1[#All],MATCH(表1_4[[#Headers],[维生素E mg]],表1_4[#Headers],0),)/品牌均值表[[#Totals],[维生素E mg]]*100</f>
        <v>55.671537926235203</v>
      </c>
      <c r="Q8">
        <f>VLOOKUP($A8,表1[#All],MATCH(表1_4[[#Headers],[维生素K1 ug]],表1_4[#Headers],0),)/品牌均值表[[#Totals],[维生素K1 ug]]*100</f>
        <v>89.910731488022606</v>
      </c>
      <c r="R8">
        <f>VLOOKUP($A8,表1[#All],MATCH(表1_4[[#Headers],[维生素B1 ug]],表1_4[#Headers],0),)/品牌均值表[[#Totals],[维生素B1 ug]]*100</f>
        <v>99.39510976059978</v>
      </c>
      <c r="S8">
        <f>VLOOKUP($A8,表1[#All],MATCH(表1_4[[#Headers],[维生素B2 ug]],表1_4[#Headers],0),)/品牌均值表[[#Totals],[维生素B2 ug]]*100</f>
        <v>82.079852591285146</v>
      </c>
      <c r="T8">
        <f>VLOOKUP($A8,表1[#All],MATCH(表1_4[[#Headers],[维生素B6 ug]],表1_4[#Headers],0),)/品牌均值表[[#Totals],[维生素B6 ug]]*100</f>
        <v>65.934158145480296</v>
      </c>
      <c r="U8">
        <f>VLOOKUP($A8,表1[#All],MATCH(表1_4[[#Headers],[维生素B12 ug]],表1_4[#Headers],0),)/品牌均值表[[#Totals],[维生素B12 ug]]*100</f>
        <v>61.906727197688802</v>
      </c>
      <c r="V8">
        <f>VLOOKUP($A8,表1[#All],MATCH(表1_4[[#Headers],[烟酸 ug]],表1_4[#Headers],0),)/品牌均值表[[#Totals],[烟酸 ug]]*100</f>
        <v>82.422865934629513</v>
      </c>
      <c r="W8">
        <f>VLOOKUP($A8,表1[#All],MATCH(表1_4[[#Headers],[叶酸 ug]],表1_4[#Headers],0),)/品牌均值表[[#Totals],[叶酸 ug]]*100</f>
        <v>91.125981961012485</v>
      </c>
      <c r="X8">
        <f>VLOOKUP($A8,表1[#All],MATCH(表1_4[[#Headers],[泛酸 ug]],表1_4[#Headers],0),)/品牌均值表[[#Totals],[泛酸 ug]]*100</f>
        <v>8.8249132704633322</v>
      </c>
      <c r="Y8">
        <f>VLOOKUP($A8,表1[#All],MATCH(表1_4[[#Headers],[维生素C mg]],表1_4[#Headers],0),)/品牌均值表[[#Totals],[维生素C mg]]*100</f>
        <v>165.64605906991054</v>
      </c>
      <c r="Z8">
        <f>VLOOKUP($A8,表1[#All],MATCH(表1_4[[#Headers],[生物素 ug]],表1_4[#Headers],0),)/品牌均值表[[#Totals],[生物素 ug]]*100</f>
        <v>75.089727755040627</v>
      </c>
      <c r="AA8">
        <f>VLOOKUP($A8,表1[#All],MATCH(表1_4[[#Headers],[钠 mg]],表1_4[#Headers],0),)/品牌均值表[[#Totals],[钠 mg]]*100</f>
        <v>112.35733575131577</v>
      </c>
      <c r="AB8">
        <f>VLOOKUP($A8,表1[#All],MATCH(表1_4[[#Headers],[钾 mg]],表1_4[#Headers],0),)/品牌均值表[[#Totals],[钾 mg]]*100</f>
        <v>94.325224487272621</v>
      </c>
      <c r="AC8">
        <f>VLOOKUP($A8,表1[#All],MATCH(表1_4[[#Headers],[铜 ug]],表1_4[#Headers],0),)/品牌均值表[[#Totals],[铜 ug]]*100</f>
        <v>107.46990379287766</v>
      </c>
      <c r="AD8">
        <f>VLOOKUP($A8,表1[#All],MATCH(表1_4[[#Headers],[镁 mg]],表1_4[#Headers],0),)/品牌均值表[[#Totals],[镁 mg]]*100</f>
        <v>77.961613186649998</v>
      </c>
      <c r="AE8">
        <f>VLOOKUP($A8,表1[#All],MATCH(表1_4[[#Headers],[铁 mg ]],表1_4[#Headers],0),)/品牌均值表[[#Totals],[铁 mg ]]*100</f>
        <v>83.702020805930871</v>
      </c>
      <c r="AF8">
        <f>VLOOKUP($A8,表1[#All],MATCH(表1_4[[#Headers],[锌 mg]],表1_4[#Headers],0),)/品牌均值表[[#Totals],[锌 mg]]*100</f>
        <v>97.465321490523209</v>
      </c>
      <c r="AG8">
        <f>VLOOKUP($A8,表1[#All],MATCH(表1_4[[#Headers],[锰 ug]],表1_4[#Headers],0),)/品牌均值表[[#Totals],[锰 ug]]*100</f>
        <v>38.082189020642957</v>
      </c>
      <c r="AH8">
        <f>VLOOKUP($A8,表1[#All],MATCH(表1_4[[#Headers],[钙mg]],表1_4[#Headers],0),)/品牌均值表[[#Totals],[钙mg]]*100</f>
        <v>82.361500312777608</v>
      </c>
      <c r="AI8">
        <f>VLOOKUP($A8,表1[#All],MATCH(表1_4[[#Headers],[磷 mg]],表1_4[#Headers],0),)/品牌均值表[[#Totals],[磷 mg]]*100</f>
        <v>85.402913662737788</v>
      </c>
      <c r="AJ8">
        <f>VLOOKUP($A8,表1[#All],MATCH(表1_4[[#Headers],[碘 ug]],表1_4[#Headers],0),)/品牌均值表[[#Totals],[碘 ug]]*100</f>
        <v>104.77563524959453</v>
      </c>
      <c r="AK8">
        <f>VLOOKUP($A8,表1[#All],MATCH(表1_4[[#Headers],[氯 mg]],表1_4[#Headers],0),)/品牌均值表[[#Totals],[氯 mg]]*100</f>
        <v>99.616555322765549</v>
      </c>
      <c r="AL8">
        <f>VLOOKUP($A8,表1[#All],MATCH(表1_4[[#Headers],[硒 mg]],表1_4[#Headers],0),)/品牌均值表[[#Totals],[硒 mg]]*100</f>
        <v>111.11645581798066</v>
      </c>
      <c r="AM8">
        <f>VLOOKUP($A8,表1[#All],MATCH(表1_4[[#Headers],[胆碱 mg]],表1_4[#Headers],0),)/品牌均值表[[#Totals],[胆碱 mg]]*100</f>
        <v>105.18865356345621</v>
      </c>
      <c r="AN8">
        <f>VLOOKUP($A8,表1[#All],MATCH(表1_4[[#Headers],[肌醇 mg]],表1_4[#Headers],0),)/品牌均值表[[#Totals],[肌醇 mg]]*100</f>
        <v>75.009921947347536</v>
      </c>
      <c r="AO8">
        <f>VLOOKUP($A8,表1[#All],MATCH(表1_4[[#Headers],[牛磺酸 mg]],表1_4[#Headers],0),)/品牌均值表[[#Totals],[牛磺酸 mg]]*100</f>
        <v>126.89023517626295</v>
      </c>
      <c r="AP8">
        <f>VLOOKUP($A8,表1[#All],MATCH(表1_4[[#Headers],[左旋肉碱 mg]],表1_4[#Headers],0),)/品牌均值表[[#Totals],[左旋肉碱 mg]]*100</f>
        <v>78.655551888084389</v>
      </c>
      <c r="AQ8">
        <f>VLOOKUP($A8,表1[#All],MATCH(表1_4[[#Headers],[二十二碳六烯酸 mg]],表1_4[#Headers],0),)/品牌均值表[[#Totals],[二十二碳六烯酸 mg]]*100</f>
        <v>137.37312065939099</v>
      </c>
      <c r="AR8">
        <f>VLOOKUP($A8,表1[#All],MATCH(表1_4[[#Headers],[二十碳四烯酸 mg]],表1_4[#Headers],0),)/品牌均值表[[#Totals],[二十碳四烯酸 mg]]*100</f>
        <v>146.15925945975206</v>
      </c>
      <c r="AS8">
        <f>VLOOKUP($A8,表1[#All],MATCH(表1_4[[#Headers],[低聚半乳糖 g]],表1_4[#Headers],0),)/表1[[#Totals],[低聚半乳糖 g]]*100</f>
        <v>66.124608150470209</v>
      </c>
      <c r="AT8">
        <f>VLOOKUP($A8,表1[#All],MATCH(表1_4[[#Headers],[低聚果糖 g]],表1_4[#Headers],0),)/表1[[#Totals],[低聚果糖 g]]*50</f>
        <v>19.788918205804745</v>
      </c>
      <c r="AU8">
        <f>VLOOKUP($A8,表1[#All],MATCH(表1_4[[#Headers],[多聚果糖 g]],表1_4[#Headers],0),)/表1[[#Totals],[多聚果糖 g]]*100</f>
        <v>0</v>
      </c>
      <c r="AV8">
        <f>VLOOKUP($A8,表1[#All],MATCH(表1_4[[#Headers],[聚葡萄糖 g]],表1_4[#Headers],0),)/表1[[#Totals],[聚葡萄糖 g]]*100</f>
        <v>0</v>
      </c>
      <c r="AW8">
        <f>VLOOKUP($A8,表1[#All],MATCH(表1_4[[#Headers],[核苷酸 mg]],表1_4[#Headers],0),)/表1[[#Totals],[核苷酸 mg]]*100</f>
        <v>109.55056179775282</v>
      </c>
      <c r="AX8">
        <f>VLOOKUP($A8,表1[#All],MATCH(表1_4[[#Headers],[13二油酸 g]],表1_4[#Headers],0),)/表1[[#Totals],[13二油酸 g]]*100</f>
        <v>0</v>
      </c>
      <c r="AY8">
        <f>VLOOKUP($A8,表1[#All],MATCH(表1_4[[#Headers],[叶黄素 ug]],表1_4[#Headers],0),)/表1[[#Totals],[叶黄素 ug]]*100</f>
        <v>0</v>
      </c>
      <c r="AZ8">
        <f>VLOOKUP($A8,表1[#All],MATCH(表1_4[[#Headers],[乳铁蛋白 mg]],表1_4[#Headers],0),)/表1[[#Totals],[乳铁蛋白 mg]]*100</f>
        <v>24.161849710982658</v>
      </c>
      <c r="BA8">
        <f>VLOOKUP($A8,表1[#All],MATCH(表1_4[[#Headers],[酪蛋白磷酸肽 mg]],表1_4[#Headers],0),)/表1[[#Totals],[酪蛋白磷酸肽 mg]]*100</f>
        <v>0</v>
      </c>
      <c r="BB8">
        <f>VLOOKUP($A8,表1[#All],MATCH(表1_4[[#Headers],[b胡萝卜素 ug]],表1_4[#Headers],0),)/表1[[#Totals],[b胡萝卜素 ug]]*100</f>
        <v>0</v>
      </c>
      <c r="BC8">
        <f>AVERAGE(表1_4[[#This Row],[能量kj]:[碳水化合物g]])</f>
        <v>105.3851751588217</v>
      </c>
      <c r="BD8">
        <f>AVERAGE(N8:Z8,AM8)</f>
        <v>85.626821193251402</v>
      </c>
      <c r="BE8">
        <f>AVERAGE(表1_4[[#This Row],[钠 mg]:[硒 mg]])</f>
        <v>91.219722408422442</v>
      </c>
      <c r="BF8" s="4">
        <f>SUM(表1_4[[#This Row],[肌醇 mg]:[b胡萝卜素 ug]])/SUM(表1_4[[肌醇 mg]:[b胡萝卜素 ug]])*3400</f>
        <v>100.00665108796139</v>
      </c>
      <c r="BG8" s="4">
        <f>0.5*表1_4[[#This Row],[基础能量]]+表1_4[[#This Row],[维生素]]+表1_4[[#This Row],[微量元素]]+表1_4[[#This Row],[加分项]]+IF(COUNTIF(F8,"*A2*"),0.6,0)*表1_4[[#This Row],[基础能量]]</f>
        <v>392.77688736433907</v>
      </c>
      <c r="BH8" s="4">
        <f>表1_4[[#This Row],[总分]]/表1_4[[#This Row],[百克重量]]</f>
        <v>10.781687822243731</v>
      </c>
    </row>
    <row r="9" spans="1:60" ht="48">
      <c r="A9" s="1" t="s">
        <v>8</v>
      </c>
      <c r="B9" s="2" t="s">
        <v>9</v>
      </c>
      <c r="C9" s="2">
        <v>750</v>
      </c>
      <c r="D9" s="2">
        <v>328</v>
      </c>
      <c r="E9" s="2">
        <v>43.73</v>
      </c>
      <c r="F9" s="2" t="s">
        <v>10</v>
      </c>
      <c r="G9" s="2" t="s">
        <v>3</v>
      </c>
      <c r="H9">
        <f>VLOOKUP($A9,表1[#All],MATCH(表1_4[[#Headers],[能量kj]],表1_4[#Headers],0),)/品牌均值表[[#Totals],[能量kj]]*100</f>
        <v>100.23765265065062</v>
      </c>
      <c r="I9">
        <f>VLOOKUP($A9,表1[#All],MATCH(表1_4[[#Headers],[蛋白质g]],表1_4[#Headers],0),)/品牌均值表[[#Totals],[蛋白质g]]*100</f>
        <v>93.013470343651576</v>
      </c>
      <c r="J9">
        <f>VLOOKUP($A9,表1[#All],MATCH(表1_4[[#Headers],[脂肪g]],表1_4[#Headers],0),)/品牌均值表[[#Totals],[脂肪g]]*100</f>
        <v>100.68874880401751</v>
      </c>
      <c r="K9">
        <f>VLOOKUP($A9,表1[#All],MATCH(表1_4[[#Headers],[亚油酸g]],表1_4[#Headers],0),)/品牌均值表[[#Totals],[亚油酸g]]*100</f>
        <v>106.59832488346611</v>
      </c>
      <c r="L9">
        <f>VLOOKUP($A9,表1[#All],MATCH(表1_4[[#Headers],[a-亚麻酸mg]],表1_4[#Headers],0),)/品牌均值表[[#Totals],[a-亚麻酸mg]]*100</f>
        <v>98.166587901566601</v>
      </c>
      <c r="M9">
        <f>VLOOKUP($A9,表1[#All],MATCH(表1_4[[#Headers],[碳水化合物g]],表1_4[#Headers],0),)/品牌均值表[[#Totals],[碳水化合物g]]*100</f>
        <v>100.81352043849978</v>
      </c>
      <c r="N9">
        <f>VLOOKUP($A9,表1[#All],MATCH(表1_4[[#Headers],[维生素A（ug视黄醇）]],表1_4[#Headers],0),)/品牌均值表[[#Totals],[维生素A（ug视黄醇）]]*100</f>
        <v>87.187829224875983</v>
      </c>
      <c r="O9">
        <f>VLOOKUP($A9,表1[#All],MATCH(表1_4[[#Headers],[维生素D ug]],表1_4[#Headers],0),)/品牌均值表[[#Totals],[维生素D ug]]*100</f>
        <v>127.46972594008921</v>
      </c>
      <c r="P9">
        <f>VLOOKUP($A9,表1[#All],MATCH(表1_4[[#Headers],[维生素E mg]],表1_4[#Headers],0),)/品牌均值表[[#Totals],[维生素E mg]]*100</f>
        <v>83.507306889352819</v>
      </c>
      <c r="Q9">
        <f>VLOOKUP($A9,表1[#All],MATCH(表1_4[[#Headers],[维生素K1 ug]],表1_4[#Headers],0),)/品牌均值表[[#Totals],[维生素K1 ug]]*100</f>
        <v>134.86609723203392</v>
      </c>
      <c r="R9">
        <f>VLOOKUP($A9,表1[#All],MATCH(表1_4[[#Headers],[维生素B1 ug]],表1_4[#Headers],0),)/品牌均值表[[#Totals],[维生素B1 ug]]*100</f>
        <v>129.21364268877971</v>
      </c>
      <c r="S9">
        <f>VLOOKUP($A9,表1[#All],MATCH(表1_4[[#Headers],[维生素B2 ug]],表1_4[#Headers],0),)/品牌均值表[[#Totals],[维生素B2 ug]]*100</f>
        <v>65.142740151813598</v>
      </c>
      <c r="T9">
        <f>VLOOKUP($A9,表1[#All],MATCH(表1_4[[#Headers],[维生素B6 ug]],表1_4[#Headers],0),)/品牌均值表[[#Totals],[维生素B6 ug]]*100</f>
        <v>117.47734190731455</v>
      </c>
      <c r="U9">
        <f>VLOOKUP($A9,表1[#All],MATCH(表1_4[[#Headers],[维生素B12 ug]],表1_4[#Headers],0),)/品牌均值表[[#Totals],[维生素B12 ug]]*100</f>
        <v>92.860090796533214</v>
      </c>
      <c r="V9">
        <f>VLOOKUP($A9,表1[#All],MATCH(表1_4[[#Headers],[烟酸 ug]],表1_4[#Headers],0),)/品牌均值表[[#Totals],[烟酸 ug]]*100</f>
        <v>112.64458344399367</v>
      </c>
      <c r="W9">
        <f>VLOOKUP($A9,表1[#All],MATCH(表1_4[[#Headers],[叶酸 ug]],表1_4[#Headers],0),)/品牌均值表[[#Totals],[叶酸 ug]]*100</f>
        <v>77.974978178644164</v>
      </c>
      <c r="X9">
        <f>VLOOKUP($A9,表1[#All],MATCH(表1_4[[#Headers],[泛酸 ug]],表1_4[#Headers],0),)/品牌均值表[[#Totals],[泛酸 ug]]*100</f>
        <v>96.128519553261299</v>
      </c>
      <c r="Y9">
        <f>VLOOKUP($A9,表1[#All],MATCH(表1_4[[#Headers],[维生素C mg]],表1_4[#Headers],0),)/品牌均值表[[#Totals],[维生素C mg]]*100</f>
        <v>77.301494232624918</v>
      </c>
      <c r="Z9">
        <f>VLOOKUP($A9,表1[#All],MATCH(表1_4[[#Headers],[生物素 ug]],表1_4[#Headers],0),)/品牌均值表[[#Totals],[生物素 ug]]*100</f>
        <v>100.11963700672084</v>
      </c>
      <c r="AA9">
        <f>VLOOKUP($A9,表1[#All],MATCH(表1_4[[#Headers],[钠 mg]],表1_4[#Headers],0),)/品牌均值表[[#Totals],[钠 mg]]*100</f>
        <v>103.48701977094873</v>
      </c>
      <c r="AB9">
        <f>VLOOKUP($A9,表1[#All],MATCH(表1_4[[#Headers],[钾 mg]],表1_4[#Headers],0),)/品牌均值表[[#Totals],[钾 mg]]*100</f>
        <v>78.097228876559058</v>
      </c>
      <c r="AC9">
        <f>VLOOKUP($A9,表1[#All],MATCH(表1_4[[#Headers],[铜 ug]],表1_4[#Headers],0),)/品牌均值表[[#Totals],[铜 ug]]*100</f>
        <v>98.725633405530658</v>
      </c>
      <c r="AD9">
        <f>VLOOKUP($A9,表1[#All],MATCH(表1_4[[#Headers],[镁 mg]],表1_4[#Headers],0),)/品牌均值表[[#Totals],[镁 mg]]*100</f>
        <v>83.159054065759989</v>
      </c>
      <c r="AE9">
        <f>VLOOKUP($A9,表1[#All],MATCH(表1_4[[#Headers],[铁 mg ]],表1_4[#Headers],0),)/品牌均值表[[#Totals],[铁 mg ]]*100</f>
        <v>104.62752600741361</v>
      </c>
      <c r="AF9">
        <f>VLOOKUP($A9,表1[#All],MATCH(表1_4[[#Headers],[锌 mg]],表1_4[#Headers],0),)/品牌均值表[[#Totals],[锌 mg]]*100</f>
        <v>109.64848667683862</v>
      </c>
      <c r="AG9">
        <f>VLOOKUP($A9,表1[#All],MATCH(表1_4[[#Headers],[锰 ug]],表1_4[#Headers],0),)/品牌均值表[[#Totals],[锰 ug]]*100</f>
        <v>42.313543356269953</v>
      </c>
      <c r="AH9">
        <f>VLOOKUP($A9,表1[#All],MATCH(表1_4[[#Headers],[钙mg]],表1_4[#Headers],0),)/品牌均值表[[#Totals],[钙mg]]*100</f>
        <v>96.088417031573869</v>
      </c>
      <c r="AI9">
        <f>VLOOKUP($A9,表1[#All],MATCH(表1_4[[#Headers],[磷 mg]],表1_4[#Headers],0),)/品牌均值表[[#Totals],[磷 mg]]*100</f>
        <v>85.402913662737788</v>
      </c>
      <c r="AJ9">
        <f>VLOOKUP($A9,表1[#All],MATCH(表1_4[[#Headers],[碘 ug]],表1_4[#Headers],0),)/品牌均值表[[#Totals],[碘 ug]]*100</f>
        <v>114.61524599026851</v>
      </c>
      <c r="AK9">
        <f>VLOOKUP($A9,表1[#All],MATCH(表1_4[[#Headers],[氯 mg]],表1_4[#Headers],0),)/品牌均值表[[#Totals],[氯 mg]]*100</f>
        <v>84.52313784961926</v>
      </c>
      <c r="AL9">
        <f>VLOOKUP($A9,表1[#All],MATCH(表1_4[[#Headers],[硒 mg]],表1_4[#Headers],0),)/品牌均值表[[#Totals],[硒 mg]]*100</f>
        <v>109.6733849632017</v>
      </c>
      <c r="AM9">
        <f>VLOOKUP($A9,表1[#All],MATCH(表1_4[[#Headers],[胆碱 mg]],表1_4[#Headers],0),)/品牌均值表[[#Totals],[胆碱 mg]]*100</f>
        <v>175.58664997005496</v>
      </c>
      <c r="AN9">
        <f>VLOOKUP($A9,表1[#All],MATCH(表1_4[[#Headers],[肌醇 mg]],表1_4[#Headers],0),)/品牌均值表[[#Totals],[肌醇 mg]]*100</f>
        <v>111.12581029236672</v>
      </c>
      <c r="AO9">
        <f>VLOOKUP($A9,表1[#All],MATCH(表1_4[[#Headers],[牛磺酸 mg]],表1_4[#Headers],0),)/品牌均值表[[#Totals],[牛磺酸 mg]]*100</f>
        <v>126.89023517626295</v>
      </c>
      <c r="AP9">
        <f>VLOOKUP($A9,表1[#All],MATCH(表1_4[[#Headers],[左旋肉碱 mg]],表1_4[#Headers],0),)/品牌均值表[[#Totals],[左旋肉碱 mg]]*100</f>
        <v>88.487495874094932</v>
      </c>
      <c r="AQ9">
        <f>VLOOKUP($A9,表1[#All],MATCH(表1_4[[#Headers],[二十二碳六烯酸 mg]],表1_4[#Headers],0),)/品牌均值表[[#Totals],[二十二碳六烯酸 mg]]*100</f>
        <v>105.75549765048355</v>
      </c>
      <c r="AR9">
        <f>VLOOKUP($A9,表1[#All],MATCH(表1_4[[#Headers],[二十碳四烯酸 mg]],表1_4[#Headers],0),)/品牌均值表[[#Totals],[二十碳四烯酸 mg]]*100</f>
        <v>127.52202055509585</v>
      </c>
      <c r="AS9">
        <f>VLOOKUP($A9,表1[#All],MATCH(表1_4[[#Headers],[低聚半乳糖 g]],表1_4[#Headers],0),)/表1[[#Totals],[低聚半乳糖 g]]*100</f>
        <v>132.24921630094042</v>
      </c>
      <c r="AT9">
        <f>VLOOKUP($A9,表1[#All],MATCH(表1_4[[#Headers],[低聚果糖 g]],表1_4[#Headers],0),)/表1[[#Totals],[低聚果糖 g]]*50</f>
        <v>0</v>
      </c>
      <c r="AU9">
        <f>VLOOKUP($A9,表1[#All],MATCH(表1_4[[#Headers],[多聚果糖 g]],表1_4[#Headers],0),)/表1[[#Totals],[多聚果糖 g]]*100</f>
        <v>0</v>
      </c>
      <c r="AV9">
        <f>VLOOKUP($A9,表1[#All],MATCH(表1_4[[#Headers],[聚葡萄糖 g]],表1_4[#Headers],0),)/表1[[#Totals],[聚葡萄糖 g]]*100</f>
        <v>0</v>
      </c>
      <c r="AW9">
        <f>VLOOKUP($A9,表1[#All],MATCH(表1_4[[#Headers],[核苷酸 mg]],表1_4[#Headers],0),)/表1[[#Totals],[核苷酸 mg]]*100</f>
        <v>109.55056179775282</v>
      </c>
      <c r="AX9">
        <f>VLOOKUP($A9,表1[#All],MATCH(表1_4[[#Headers],[13二油酸 g]],表1_4[#Headers],0),)/表1[[#Totals],[13二油酸 g]]*100</f>
        <v>112.83185840707964</v>
      </c>
      <c r="AY9">
        <f>VLOOKUP($A9,表1[#All],MATCH(表1_4[[#Headers],[叶黄素 ug]],表1_4[#Headers],0),)/表1[[#Totals],[叶黄素 ug]]*100</f>
        <v>98.504837291116985</v>
      </c>
      <c r="AZ9">
        <f>VLOOKUP($A9,表1[#All],MATCH(表1_4[[#Headers],[乳铁蛋白 mg]],表1_4[#Headers],0),)/表1[[#Totals],[乳铁蛋白 mg]]*100</f>
        <v>28.612716763005778</v>
      </c>
      <c r="BA9">
        <f>VLOOKUP($A9,表1[#All],MATCH(表1_4[[#Headers],[酪蛋白磷酸肽 mg]],表1_4[#Headers],0),)/表1[[#Totals],[酪蛋白磷酸肽 mg]]*100</f>
        <v>88.888888888888886</v>
      </c>
      <c r="BB9">
        <f>VLOOKUP($A9,表1[#All],MATCH(表1_4[[#Headers],[b胡萝卜素 ug]],表1_4[#Headers],0),)/表1[[#Totals],[b胡萝卜素 ug]]*100</f>
        <v>0</v>
      </c>
      <c r="BC9">
        <f>AVERAGE(表1_4[[#This Row],[能量kj]:[碳水化合物g]])</f>
        <v>99.919717503642048</v>
      </c>
      <c r="BD9">
        <f>AVERAGE(N9:Z9,AM9)</f>
        <v>105.53433122972095</v>
      </c>
      <c r="BE9">
        <f>AVERAGE(表1_4[[#This Row],[钠 mg]:[硒 mg]])</f>
        <v>92.530132638060138</v>
      </c>
      <c r="BF9" s="4">
        <f>SUM(表1_4[[#This Row],[肌醇 mg]:[b胡萝卜素 ug]])/SUM(表1_4[[肌醇 mg]:[b胡萝卜素 ug]])*3400</f>
        <v>144.2483208450146</v>
      </c>
      <c r="BG9" s="4">
        <f>0.5*表1_4[[#This Row],[基础能量]]+表1_4[[#This Row],[维生素]]+表1_4[[#This Row],[微量元素]]+表1_4[[#This Row],[加分项]]+IF(COUNTIF(F9,"*A2*"),0.6,0)*表1_4[[#This Row],[基础能量]]</f>
        <v>392.27264346461675</v>
      </c>
      <c r="BH9" s="4">
        <f>表1_4[[#This Row],[总分]]/表1_4[[#This Row],[百克重量]]</f>
        <v>8.9703325740822493</v>
      </c>
    </row>
    <row r="10" spans="1:60" ht="48">
      <c r="A10" s="1" t="s">
        <v>15</v>
      </c>
      <c r="B10" s="2" t="s">
        <v>9</v>
      </c>
      <c r="C10" s="2">
        <v>700</v>
      </c>
      <c r="D10" s="2">
        <v>220</v>
      </c>
      <c r="E10" s="2">
        <v>31.4</v>
      </c>
      <c r="F10" s="2" t="s">
        <v>16</v>
      </c>
      <c r="G10" s="2" t="s">
        <v>3</v>
      </c>
      <c r="H10">
        <f>VLOOKUP($A10,表1[#All],MATCH(表1_4[[#Headers],[能量kj]],表1_4[#Headers],0),)/品牌均值表[[#Totals],[能量kj]]*100</f>
        <v>99.861173204075399</v>
      </c>
      <c r="I10">
        <f>VLOOKUP($A10,表1[#All],MATCH(表1_4[[#Headers],[蛋白质g]],表1_4[#Headers],0),)/品牌均值表[[#Totals],[蛋白质g]]*100</f>
        <v>97.664143860834145</v>
      </c>
      <c r="J10">
        <f>VLOOKUP($A10,表1[#All],MATCH(表1_4[[#Headers],[脂肪g]],表1_4[#Headers],0),)/品牌均值表[[#Totals],[脂肪g]]*100</f>
        <v>100.68874880401751</v>
      </c>
      <c r="K10">
        <f>VLOOKUP($A10,表1[#All],MATCH(表1_4[[#Headers],[亚油酸g]],表1_4[#Headers],0),)/品牌均值表[[#Totals],[亚油酸g]]*100</f>
        <v>106.59832488346611</v>
      </c>
      <c r="L10">
        <f>VLOOKUP($A10,表1[#All],MATCH(表1_4[[#Headers],[a-亚麻酸mg]],表1_4[#Headers],0),)/品牌均值表[[#Totals],[a-亚麻酸mg]]*100</f>
        <v>98.166587901566601</v>
      </c>
      <c r="M10">
        <f>VLOOKUP($A10,表1[#All],MATCH(表1_4[[#Headers],[碳水化合物g]],表1_4[#Headers],0),)/品牌均值表[[#Totals],[碳水化合物g]]*100</f>
        <v>98.970494470702704</v>
      </c>
      <c r="N10">
        <f>VLOOKUP($A10,表1[#All],MATCH(表1_4[[#Headers],[维生素A（ug视黄醇）]],表1_4[#Headers],0),)/品牌均值表[[#Totals],[维生素A（ug视黄醇）]]*100</f>
        <v>87.187829224875983</v>
      </c>
      <c r="O10">
        <f>VLOOKUP($A10,表1[#All],MATCH(表1_4[[#Headers],[维生素D ug]],表1_4[#Headers],0),)/品牌均值表[[#Totals],[维生素D ug]]*100</f>
        <v>127.46972594008921</v>
      </c>
      <c r="P10">
        <f>VLOOKUP($A10,表1[#All],MATCH(表1_4[[#Headers],[维生素E mg]],表1_4[#Headers],0),)/品牌均值表[[#Totals],[维生素E mg]]*100</f>
        <v>83.507306889352819</v>
      </c>
      <c r="Q10">
        <f>VLOOKUP($A10,表1[#All],MATCH(表1_4[[#Headers],[维生素K1 ug]],表1_4[#Headers],0),)/品牌均值表[[#Totals],[维生素K1 ug]]*100</f>
        <v>134.86609723203392</v>
      </c>
      <c r="R10">
        <f>VLOOKUP($A10,表1[#All],MATCH(表1_4[[#Headers],[维生素B1 ug]],表1_4[#Headers],0),)/品牌均值表[[#Totals],[维生素B1 ug]]*100</f>
        <v>129.21364268877971</v>
      </c>
      <c r="S10">
        <f>VLOOKUP($A10,表1[#All],MATCH(表1_4[[#Headers],[维生素B2 ug]],表1_4[#Headers],0),)/品牌均值表[[#Totals],[维生素B2 ug]]*100</f>
        <v>65.142740151813598</v>
      </c>
      <c r="T10">
        <f>VLOOKUP($A10,表1[#All],MATCH(表1_4[[#Headers],[维生素B6 ug]],表1_4[#Headers],0),)/品牌均值表[[#Totals],[维生素B6 ug]]*100</f>
        <v>117.47734190731455</v>
      </c>
      <c r="U10">
        <f>VLOOKUP($A10,表1[#All],MATCH(表1_4[[#Headers],[维生素B12 ug]],表1_4[#Headers],0),)/品牌均值表[[#Totals],[维生素B12 ug]]*100</f>
        <v>92.860090796533214</v>
      </c>
      <c r="V10">
        <f>VLOOKUP($A10,表1[#All],MATCH(表1_4[[#Headers],[烟酸 ug]],表1_4[#Headers],0),)/品牌均值表[[#Totals],[烟酸 ug]]*100</f>
        <v>112.64458344399367</v>
      </c>
      <c r="W10">
        <f>VLOOKUP($A10,表1[#All],MATCH(表1_4[[#Headers],[叶酸 ug]],表1_4[#Headers],0),)/品牌均值表[[#Totals],[叶酸 ug]]*100</f>
        <v>77.974978178644164</v>
      </c>
      <c r="X10">
        <f>VLOOKUP($A10,表1[#All],MATCH(表1_4[[#Headers],[泛酸 ug]],表1_4[#Headers],0),)/品牌均值表[[#Totals],[泛酸 ug]]*100</f>
        <v>96.128519553261299</v>
      </c>
      <c r="Y10">
        <f>VLOOKUP($A10,表1[#All],MATCH(表1_4[[#Headers],[维生素C mg]],表1_4[#Headers],0),)/品牌均值表[[#Totals],[维生素C mg]]*100</f>
        <v>77.301494232624918</v>
      </c>
      <c r="Z10">
        <f>VLOOKUP($A10,表1[#All],MATCH(表1_4[[#Headers],[生物素 ug]],表1_4[#Headers],0),)/品牌均值表[[#Totals],[生物素 ug]]*100</f>
        <v>100.11963700672084</v>
      </c>
      <c r="AA10">
        <f>VLOOKUP($A10,表1[#All],MATCH(表1_4[[#Headers],[钠 mg]],表1_4[#Headers],0),)/品牌均值表[[#Totals],[钠 mg]]*100</f>
        <v>103.48701977094873</v>
      </c>
      <c r="AB10">
        <f>VLOOKUP($A10,表1[#All],MATCH(表1_4[[#Headers],[钾 mg]],表1_4[#Headers],0),)/品牌均值表[[#Totals],[钾 mg]]*100</f>
        <v>78.097228876559058</v>
      </c>
      <c r="AC10">
        <f>VLOOKUP($A10,表1[#All],MATCH(表1_4[[#Headers],[铜 ug]],表1_4[#Headers],0),)/品牌均值表[[#Totals],[铜 ug]]*100</f>
        <v>98.725633405530658</v>
      </c>
      <c r="AD10">
        <f>VLOOKUP($A10,表1[#All],MATCH(表1_4[[#Headers],[镁 mg]],表1_4[#Headers],0),)/品牌均值表[[#Totals],[镁 mg]]*100</f>
        <v>83.159054065759989</v>
      </c>
      <c r="AE10">
        <f>VLOOKUP($A10,表1[#All],MATCH(表1_4[[#Headers],[铁 mg ]],表1_4[#Headers],0),)/品牌均值表[[#Totals],[铁 mg ]]*100</f>
        <v>104.62752600741361</v>
      </c>
      <c r="AF10">
        <f>VLOOKUP($A10,表1[#All],MATCH(表1_4[[#Headers],[锌 mg]],表1_4[#Headers],0),)/品牌均值表[[#Totals],[锌 mg]]*100</f>
        <v>109.64848667683862</v>
      </c>
      <c r="AG10">
        <f>VLOOKUP($A10,表1[#All],MATCH(表1_4[[#Headers],[锰 ug]],表1_4[#Headers],0),)/品牌均值表[[#Totals],[锰 ug]]*100</f>
        <v>42.313543356269953</v>
      </c>
      <c r="AH10">
        <f>VLOOKUP($A10,表1[#All],MATCH(表1_4[[#Headers],[钙mg]],表1_4[#Headers],0),)/品牌均值表[[#Totals],[钙mg]]*100</f>
        <v>96.088417031573869</v>
      </c>
      <c r="AI10">
        <f>VLOOKUP($A10,表1[#All],MATCH(表1_4[[#Headers],[磷 mg]],表1_4[#Headers],0),)/品牌均值表[[#Totals],[磷 mg]]*100</f>
        <v>85.402913662737788</v>
      </c>
      <c r="AJ10">
        <f>VLOOKUP($A10,表1[#All],MATCH(表1_4[[#Headers],[碘 ug]],表1_4[#Headers],0),)/品牌均值表[[#Totals],[碘 ug]]*100</f>
        <v>114.61524599026851</v>
      </c>
      <c r="AK10">
        <f>VLOOKUP($A10,表1[#All],MATCH(表1_4[[#Headers],[氯 mg]],表1_4[#Headers],0),)/品牌均值表[[#Totals],[氯 mg]]*100</f>
        <v>84.52313784961926</v>
      </c>
      <c r="AL10">
        <f>VLOOKUP($A10,表1[#All],MATCH(表1_4[[#Headers],[硒 mg]],表1_4[#Headers],0),)/品牌均值表[[#Totals],[硒 mg]]*100</f>
        <v>109.6733849632017</v>
      </c>
      <c r="AM10">
        <f>VLOOKUP($A10,表1[#All],MATCH(表1_4[[#Headers],[胆碱 mg]],表1_4[#Headers],0),)/品牌均值表[[#Totals],[胆碱 mg]]*100</f>
        <v>175.58664997005496</v>
      </c>
      <c r="AN10">
        <f>VLOOKUP($A10,表1[#All],MATCH(表1_4[[#Headers],[肌醇 mg]],表1_4[#Headers],0),)/品牌均值表[[#Totals],[肌醇 mg]]*100</f>
        <v>111.12581029236672</v>
      </c>
      <c r="AO10">
        <f>VLOOKUP($A10,表1[#All],MATCH(表1_4[[#Headers],[牛磺酸 mg]],表1_4[#Headers],0),)/品牌均值表[[#Totals],[牛磺酸 mg]]*100</f>
        <v>126.89023517626295</v>
      </c>
      <c r="AP10">
        <f>VLOOKUP($A10,表1[#All],MATCH(表1_4[[#Headers],[左旋肉碱 mg]],表1_4[#Headers],0),)/品牌均值表[[#Totals],[左旋肉碱 mg]]*100</f>
        <v>88.487495874094932</v>
      </c>
      <c r="AQ10">
        <f>VLOOKUP($A10,表1[#All],MATCH(表1_4[[#Headers],[二十二碳六烯酸 mg]],表1_4[#Headers],0),)/品牌均值表[[#Totals],[二十二碳六烯酸 mg]]*100</f>
        <v>105.75549765048355</v>
      </c>
      <c r="AR10">
        <f>VLOOKUP($A10,表1[#All],MATCH(表1_4[[#Headers],[二十碳四烯酸 mg]],表1_4[#Headers],0),)/品牌均值表[[#Totals],[二十碳四烯酸 mg]]*100</f>
        <v>127.52202055509585</v>
      </c>
      <c r="AS10">
        <f>VLOOKUP($A10,表1[#All],MATCH(表1_4[[#Headers],[低聚半乳糖 g]],表1_4[#Headers],0),)/表1[[#Totals],[低聚半乳糖 g]]*100</f>
        <v>132.24921630094042</v>
      </c>
      <c r="AT10">
        <f>VLOOKUP($A10,表1[#All],MATCH(表1_4[[#Headers],[低聚果糖 g]],表1_4[#Headers],0),)/表1[[#Totals],[低聚果糖 g]]*50</f>
        <v>0</v>
      </c>
      <c r="AU10">
        <f>VLOOKUP($A10,表1[#All],MATCH(表1_4[[#Headers],[多聚果糖 g]],表1_4[#Headers],0),)/表1[[#Totals],[多聚果糖 g]]*100</f>
        <v>0</v>
      </c>
      <c r="AV10">
        <f>VLOOKUP($A10,表1[#All],MATCH(表1_4[[#Headers],[聚葡萄糖 g]],表1_4[#Headers],0),)/表1[[#Totals],[聚葡萄糖 g]]*100</f>
        <v>0</v>
      </c>
      <c r="AW10">
        <f>VLOOKUP($A10,表1[#All],MATCH(表1_4[[#Headers],[核苷酸 mg]],表1_4[#Headers],0),)/表1[[#Totals],[核苷酸 mg]]*100</f>
        <v>109.55056179775282</v>
      </c>
      <c r="AX10">
        <f>VLOOKUP($A10,表1[#All],MATCH(表1_4[[#Headers],[13二油酸 g]],表1_4[#Headers],0),)/表1[[#Totals],[13二油酸 g]]*100</f>
        <v>112.83185840707964</v>
      </c>
      <c r="AY10">
        <f>VLOOKUP($A10,表1[#All],MATCH(表1_4[[#Headers],[叶黄素 ug]],表1_4[#Headers],0),)/表1[[#Totals],[叶黄素 ug]]*100</f>
        <v>98.504837291116985</v>
      </c>
      <c r="AZ10">
        <f>VLOOKUP($A10,表1[#All],MATCH(表1_4[[#Headers],[乳铁蛋白 mg]],表1_4[#Headers],0),)/表1[[#Totals],[乳铁蛋白 mg]]*100</f>
        <v>0</v>
      </c>
      <c r="BA10">
        <f>VLOOKUP($A10,表1[#All],MATCH(表1_4[[#Headers],[酪蛋白磷酸肽 mg]],表1_4[#Headers],0),)/表1[[#Totals],[酪蛋白磷酸肽 mg]]*100</f>
        <v>88.888888888888886</v>
      </c>
      <c r="BB10">
        <f>VLOOKUP($A10,表1[#All],MATCH(表1_4[[#Headers],[b胡萝卜素 ug]],表1_4[#Headers],0),)/表1[[#Totals],[b胡萝卜素 ug]]*100</f>
        <v>0</v>
      </c>
      <c r="BC10">
        <f>AVERAGE(表1_4[[#This Row],[能量kj]:[碳水化合物g]])</f>
        <v>100.32491218744376</v>
      </c>
      <c r="BD10">
        <f>AVERAGE(N10:Z10,AM10)</f>
        <v>105.53433122972095</v>
      </c>
      <c r="BE10">
        <f>AVERAGE(表1_4[[#This Row],[钠 mg]:[硒 mg]])</f>
        <v>92.530132638060138</v>
      </c>
      <c r="BF10" s="4">
        <f>SUM(表1_4[[#This Row],[肌醇 mg]:[b胡萝卜素 ug]])/SUM(表1_4[[肌醇 mg]:[b胡萝卜素 ug]])*3400</f>
        <v>140.59716508739058</v>
      </c>
      <c r="BG10" s="4">
        <f>0.5*表1_4[[#This Row],[基础能量]]+表1_4[[#This Row],[维生素]]+表1_4[[#This Row],[微量元素]]+表1_4[[#This Row],[加分项]]+IF(COUNTIF(F10,"*A2*"),0.6,0)*表1_4[[#This Row],[基础能量]]</f>
        <v>388.82408504889355</v>
      </c>
      <c r="BH10" s="4">
        <f>表1_4[[#This Row],[总分]]/表1_4[[#This Row],[百克重量]]</f>
        <v>12.382932644869221</v>
      </c>
    </row>
    <row r="11" spans="1:60" ht="64">
      <c r="A11" s="1" t="s">
        <v>54</v>
      </c>
      <c r="B11" s="2" t="s">
        <v>53</v>
      </c>
      <c r="C11" s="2">
        <v>820</v>
      </c>
      <c r="D11" s="2">
        <v>368</v>
      </c>
      <c r="E11" s="2">
        <v>44.88</v>
      </c>
      <c r="F11" s="2">
        <v>0</v>
      </c>
      <c r="G11" s="2" t="s">
        <v>3</v>
      </c>
      <c r="H11">
        <f>VLOOKUP($A11,表1[#All],MATCH(表1_4[[#Headers],[能量kj]],表1_4[#Headers],0),)/品牌均值表[[#Totals],[能量kj]]*100</f>
        <v>100.80237182051344</v>
      </c>
      <c r="I11">
        <f>VLOOKUP($A11,表1[#All],MATCH(表1_4[[#Headers],[蛋白质g]],表1_4[#Headers],0),)/品牌均值表[[#Totals],[蛋白质g]]*100</f>
        <v>109.29082765379059</v>
      </c>
      <c r="J11">
        <f>VLOOKUP($A11,表1[#All],MATCH(表1_4[[#Headers],[脂肪g]],表1_4[#Headers],0),)/品牌均值表[[#Totals],[脂肪g]]*100</f>
        <v>101.87332231935891</v>
      </c>
      <c r="K11">
        <f>VLOOKUP($A11,表1[#All],MATCH(表1_4[[#Headers],[亚油酸g]],表1_4[#Headers],0),)/品牌均值表[[#Totals],[亚油酸g]]*100</f>
        <v>103.73836982561704</v>
      </c>
      <c r="L11">
        <f>VLOOKUP($A11,表1[#All],MATCH(表1_4[[#Headers],[a-亚麻酸mg]],表1_4[#Headers],0),)/品牌均值表[[#Totals],[a-亚麻酸mg]]*100</f>
        <v>100.80032562575498</v>
      </c>
      <c r="M11">
        <f>VLOOKUP($A11,表1[#All],MATCH(表1_4[[#Headers],[碳水化合物g]],表1_4[#Headers],0),)/品牌均值表[[#Totals],[碳水化合物g]]*100</f>
        <v>99.154797067482406</v>
      </c>
      <c r="N11">
        <f>VLOOKUP($A11,表1[#All],MATCH(表1_4[[#Headers],[维生素A（ug视黄醇）]],表1_4[#Headers],0),)/品牌均值表[[#Totals],[维生素A（ug视黄醇）]]*100</f>
        <v>95.66442373285004</v>
      </c>
      <c r="O11">
        <f>VLOOKUP($A11,表1[#All],MATCH(表1_4[[#Headers],[维生素D ug]],表1_4[#Headers],0),)/品牌均值表[[#Totals],[维生素D ug]]*100</f>
        <v>65.990096582830802</v>
      </c>
      <c r="P11">
        <f>VLOOKUP($A11,表1[#All],MATCH(表1_4[[#Headers],[维生素E mg]],表1_4[#Headers],0),)/品牌均值表[[#Totals],[维生素E mg]]*100</f>
        <v>179.54070981210856</v>
      </c>
      <c r="Q11">
        <f>VLOOKUP($A11,表1[#All],MATCH(表1_4[[#Headers],[维生素K1 ug]],表1_4[#Headers],0),)/品牌均值表[[#Totals],[维生素K1 ug]]*100</f>
        <v>110.81497655898787</v>
      </c>
      <c r="R11">
        <f>VLOOKUP($A11,表1[#All],MATCH(表1_4[[#Headers],[维生素B1 ug]],表1_4[#Headers],0),)/品牌均值表[[#Totals],[维生素B1 ug]]*100</f>
        <v>86.672535711243</v>
      </c>
      <c r="S11">
        <f>VLOOKUP($A11,表1[#All],MATCH(表1_4[[#Headers],[维生素B2 ug]],表1_4[#Headers],0),)/品牌均值表[[#Totals],[维生素B2 ug]]*100</f>
        <v>97.974681188327665</v>
      </c>
      <c r="T11">
        <f>VLOOKUP($A11,表1[#All],MATCH(表1_4[[#Headers],[维生素B6 ug]],表1_4[#Headers],0),)/品牌均值表[[#Totals],[维生素B6 ug]]*100</f>
        <v>100.14943397598566</v>
      </c>
      <c r="U11">
        <f>VLOOKUP($A11,表1[#All],MATCH(表1_4[[#Headers],[维生素B12 ug]],表1_4[#Headers],0),)/品牌均值表[[#Totals],[维生素B12 ug]]*100</f>
        <v>138.67106892282294</v>
      </c>
      <c r="V11">
        <f>VLOOKUP($A11,表1[#All],MATCH(表1_4[[#Headers],[烟酸 ug]],表1_4[#Headers],0),)/品牌均值表[[#Totals],[烟酸 ug]]*100</f>
        <v>134.37674576209099</v>
      </c>
      <c r="W11">
        <f>VLOOKUP($A11,表1[#All],MATCH(表1_4[[#Headers],[叶酸 ug]],表1_4[#Headers],0),)/品牌均值表[[#Totals],[叶酸 ug]]*100</f>
        <v>87.285423334303161</v>
      </c>
      <c r="X11">
        <f>VLOOKUP($A11,表1[#All],MATCH(表1_4[[#Headers],[泛酸 ug]],表1_4[#Headers],0),)/品牌均值表[[#Totals],[泛酸 ug]]*100</f>
        <v>111.88729325051723</v>
      </c>
      <c r="Y11">
        <f>VLOOKUP($A11,表1[#All],MATCH(表1_4[[#Headers],[维生素C mg]],表1_4[#Headers],0),)/品牌均值表[[#Totals],[维生素C mg]]*100</f>
        <v>112.63932016753915</v>
      </c>
      <c r="Z11">
        <f>VLOOKUP($A11,表1[#All],MATCH(表1_4[[#Headers],[生物素 ug]],表1_4[#Headers],0),)/品牌均值表[[#Totals],[生物素 ug]]*100</f>
        <v>141.41898727199319</v>
      </c>
      <c r="AA11">
        <f>VLOOKUP($A11,表1[#All],MATCH(表1_4[[#Headers],[钠 mg]],表1_4[#Headers],0),)/品牌均值表[[#Totals],[钠 mg]]*100</f>
        <v>117.67952533953599</v>
      </c>
      <c r="AB11">
        <f>VLOOKUP($A11,表1[#All],MATCH(表1_4[[#Headers],[钾 mg]],表1_4[#Headers],0),)/品牌均值表[[#Totals],[钾 mg]]*100</f>
        <v>137.32941285566358</v>
      </c>
      <c r="AC11">
        <f>VLOOKUP($A11,表1[#All],MATCH(表1_4[[#Headers],[铜 ug]],表1_4[#Headers],0),)/品牌均值表[[#Totals],[铜 ug]]*100</f>
        <v>108.31612350778221</v>
      </c>
      <c r="AD11">
        <f>VLOOKUP($A11,表1[#All],MATCH(表1_4[[#Headers],[镁 mg]],表1_4[#Headers],0),)/品牌均值表[[#Totals],[镁 mg]]*100</f>
        <v>99.011248747045485</v>
      </c>
      <c r="AE11">
        <f>VLOOKUP($A11,表1[#All],MATCH(表1_4[[#Headers],[铁 mg ]],表1_4[#Headers],0),)/品牌均值表[[#Totals],[铁 mg ]]*100</f>
        <v>130.784407509267</v>
      </c>
      <c r="AF11">
        <f>VLOOKUP($A11,表1[#All],MATCH(表1_4[[#Headers],[锌 mg]],表1_4[#Headers],0),)/品牌均值表[[#Totals],[锌 mg]]*100</f>
        <v>100.3892811352389</v>
      </c>
      <c r="AG11">
        <f>VLOOKUP($A11,表1[#All],MATCH(表1_4[[#Headers],[锰 ug]],表1_4[#Headers],0),)/品牌均值表[[#Totals],[锰 ug]]*100</f>
        <v>103.66818122286139</v>
      </c>
      <c r="AH11">
        <f>VLOOKUP($A11,表1[#All],MATCH(表1_4[[#Headers],[钙mg]],表1_4[#Headers],0),)/品牌均值表[[#Totals],[钙mg]]*100</f>
        <v>113.65887043163309</v>
      </c>
      <c r="AI11">
        <f>VLOOKUP($A11,表1[#All],MATCH(表1_4[[#Headers],[磷 mg]],表1_4[#Headers],0),)/品牌均值表[[#Totals],[磷 mg]]*100</f>
        <v>141.34182211183105</v>
      </c>
      <c r="AJ11">
        <f>VLOOKUP($A11,表1[#All],MATCH(表1_4[[#Headers],[碘 ug]],表1_4[#Headers],0),)/品牌均值表[[#Totals],[碘 ug]]*100</f>
        <v>107.37069742295908</v>
      </c>
      <c r="AK11">
        <f>VLOOKUP($A11,表1[#All],MATCH(表1_4[[#Headers],[氯 mg]],表1_4[#Headers],0),)/品牌均值表[[#Totals],[氯 mg]]*100</f>
        <v>99.918423672228471</v>
      </c>
      <c r="AL11">
        <f>VLOOKUP($A11,表1[#All],MATCH(表1_4[[#Headers],[硒 mg]],表1_4[#Headers],0),)/品牌均值表[[#Totals],[硒 mg]]*100</f>
        <v>102.74664486026263</v>
      </c>
      <c r="AM11">
        <f>VLOOKUP($A11,表1[#All],MATCH(表1_4[[#Headers],[胆碱 mg]],表1_4[#Headers],0),)/品牌均值表[[#Totals],[胆碱 mg]]*100</f>
        <v>49.817607665922573</v>
      </c>
      <c r="AN11">
        <f>VLOOKUP($A11,表1[#All],MATCH(表1_4[[#Headers],[肌醇 mg]],表1_4[#Headers],0),)/品牌均值表[[#Totals],[肌醇 mg]]*100</f>
        <v>103.06918904617012</v>
      </c>
      <c r="AO11">
        <f>VLOOKUP($A11,表1[#All],MATCH(表1_4[[#Headers],[牛磺酸 mg]],表1_4[#Headers],0),)/品牌均值表[[#Totals],[牛磺酸 mg]]*100</f>
        <v>108.19062157133999</v>
      </c>
      <c r="AP11">
        <f>VLOOKUP($A11,表1[#All],MATCH(表1_4[[#Headers],[左旋肉碱 mg]],表1_4[#Headers],0),)/品牌均值表[[#Totals],[左旋肉碱 mg]]*100</f>
        <v>96.353051062903376</v>
      </c>
      <c r="AQ11">
        <f>VLOOKUP($A11,表1[#All],MATCH(表1_4[[#Headers],[二十二碳六烯酸 mg]],表1_4[#Headers],0),)/品牌均值表[[#Totals],[二十二碳六烯酸 mg]]*100</f>
        <v>56.693668843558186</v>
      </c>
      <c r="AR11">
        <f>VLOOKUP($A11,表1[#All],MATCH(表1_4[[#Headers],[二十碳四烯酸 mg]],表1_4[#Headers],0),)/品牌均值表[[#Totals],[二十碳四烯酸 mg]]*100</f>
        <v>81.199588588751155</v>
      </c>
      <c r="AS11">
        <f>VLOOKUP($A11,表1[#All],MATCH(表1_4[[#Headers],[低聚半乳糖 g]],表1_4[#Headers],0),)/表1[[#Totals],[低聚半乳糖 g]]*100</f>
        <v>49.813871473354219</v>
      </c>
      <c r="AT11">
        <f>VLOOKUP($A11,表1[#All],MATCH(表1_4[[#Headers],[低聚果糖 g]],表1_4[#Headers],0),)/表1[[#Totals],[低聚果糖 g]]*50</f>
        <v>0</v>
      </c>
      <c r="AU11">
        <f>VLOOKUP($A11,表1[#All],MATCH(表1_4[[#Headers],[多聚果糖 g]],表1_4[#Headers],0),)/表1[[#Totals],[多聚果糖 g]]*100</f>
        <v>0</v>
      </c>
      <c r="AV11">
        <f>VLOOKUP($A11,表1[#All],MATCH(表1_4[[#Headers],[聚葡萄糖 g]],表1_4[#Headers],0),)/表1[[#Totals],[聚葡萄糖 g]]*100</f>
        <v>0</v>
      </c>
      <c r="AW11">
        <f>VLOOKUP($A11,表1[#All],MATCH(表1_4[[#Headers],[核苷酸 mg]],表1_4[#Headers],0),)/表1[[#Totals],[核苷酸 mg]]*100</f>
        <v>197.92134831460677</v>
      </c>
      <c r="AX11">
        <f>VLOOKUP($A11,表1[#All],MATCH(表1_4[[#Headers],[13二油酸 g]],表1_4[#Headers],0),)/表1[[#Totals],[13二油酸 g]]*100</f>
        <v>0</v>
      </c>
      <c r="AY11">
        <f>VLOOKUP($A11,表1[#All],MATCH(表1_4[[#Headers],[叶黄素 ug]],表1_4[#Headers],0),)/表1[[#Totals],[叶黄素 ug]]*100</f>
        <v>105.89270008795076</v>
      </c>
      <c r="AZ11">
        <f>VLOOKUP($A11,表1[#All],MATCH(表1_4[[#Headers],[乳铁蛋白 mg]],表1_4[#Headers],0),)/表1[[#Totals],[乳铁蛋白 mg]]*100</f>
        <v>0</v>
      </c>
      <c r="BA11">
        <f>VLOOKUP($A11,表1[#All],MATCH(表1_4[[#Headers],[酪蛋白磷酸肽 mg]],表1_4[#Headers],0),)/表1[[#Totals],[酪蛋白磷酸肽 mg]]*100</f>
        <v>0</v>
      </c>
      <c r="BB11">
        <f>VLOOKUP($A11,表1[#All],MATCH(表1_4[[#Headers],[b胡萝卜素 ug]],表1_4[#Headers],0),)/表1[[#Totals],[b胡萝卜素 ug]]*100</f>
        <v>100</v>
      </c>
      <c r="BC11">
        <f>AVERAGE(表1_4[[#This Row],[能量kj]:[碳水化合物g]])</f>
        <v>102.61000238541955</v>
      </c>
      <c r="BD11">
        <f>AVERAGE(N11:Z11,AM11)</f>
        <v>108.06452170982304</v>
      </c>
      <c r="BE11">
        <f>AVERAGE(表1_4[[#This Row],[钠 mg]:[硒 mg]])</f>
        <v>113.51788656802574</v>
      </c>
      <c r="BF11" s="4">
        <f>SUM(表1_4[[#This Row],[肌醇 mg]:[b胡萝卜素 ug]])/SUM(表1_4[[肌醇 mg]:[b胡萝卜素 ug]])*3400</f>
        <v>114.73494287594548</v>
      </c>
      <c r="BG11" s="4">
        <f>0.5*表1_4[[#This Row],[基础能量]]+表1_4[[#This Row],[维生素]]+表1_4[[#This Row],[微量元素]]+表1_4[[#This Row],[加分项]]+IF(COUNTIF(F11,"*A2*"),0.6,0)*表1_4[[#This Row],[基础能量]]</f>
        <v>387.62235234650404</v>
      </c>
      <c r="BH11" s="4">
        <f>表1_4[[#This Row],[总分]]/表1_4[[#This Row],[百克重量]]</f>
        <v>8.6368616833000011</v>
      </c>
    </row>
    <row r="12" spans="1:60" ht="48">
      <c r="A12" s="1" t="s">
        <v>59</v>
      </c>
      <c r="B12" s="2" t="s">
        <v>20</v>
      </c>
      <c r="C12" s="2">
        <v>400</v>
      </c>
      <c r="D12" s="2">
        <v>80</v>
      </c>
      <c r="E12" s="2">
        <v>20</v>
      </c>
      <c r="F12" s="2" t="s">
        <v>2</v>
      </c>
      <c r="G12" s="2" t="s">
        <v>56</v>
      </c>
      <c r="H12">
        <f>VLOOKUP($A12,表1[#All],MATCH(表1_4[[#Headers],[能量kj]],表1_4[#Headers],0),)/品牌均值表[[#Totals],[能量kj]]*100</f>
        <v>101.79063036777336</v>
      </c>
      <c r="I12">
        <f>VLOOKUP($A12,表1[#All],MATCH(表1_4[[#Headers],[蛋白质g]],表1_4[#Headers],0),)/品牌均值表[[#Totals],[蛋白质g]]*100</f>
        <v>97.664143860834145</v>
      </c>
      <c r="J12">
        <f>VLOOKUP($A12,表1[#All],MATCH(表1_4[[#Headers],[脂肪g]],表1_4[#Headers],0),)/品牌均值表[[#Totals],[脂肪g]]*100</f>
        <v>103.28000336882678</v>
      </c>
      <c r="K12">
        <f>VLOOKUP($A12,表1[#All],MATCH(表1_4[[#Headers],[亚油酸g]],表1_4[#Headers],0),)/品牌均值表[[#Totals],[亚油酸g]]*100</f>
        <v>111.79824317046445</v>
      </c>
      <c r="L12">
        <f>VLOOKUP($A12,表1[#All],MATCH(表1_4[[#Headers],[a-亚麻酸mg]],表1_4[#Headers],0),)/品牌均值表[[#Totals],[a-亚麻酸mg]]*100</f>
        <v>102.95520194554545</v>
      </c>
      <c r="M12">
        <f>VLOOKUP($A12,表1[#All],MATCH(表1_4[[#Headers],[碳水化合物g]],表1_4[#Headers],0),)/品牌均值表[[#Totals],[碳水化合物g]]*100</f>
        <v>100.62921784172008</v>
      </c>
      <c r="N12">
        <f>VLOOKUP($A12,表1[#All],MATCH(表1_4[[#Headers],[维生素A（ug视黄醇）]],表1_4[#Headers],0),)/品牌均值表[[#Totals],[维生素A（ug视黄醇）]]*100</f>
        <v>93.242539587714589</v>
      </c>
      <c r="O12">
        <f>VLOOKUP($A12,表1[#All],MATCH(表1_4[[#Headers],[维生素D ug]],表1_4[#Headers],0),)/品牌均值表[[#Totals],[维生素D ug]]*100</f>
        <v>126.48918958670392</v>
      </c>
      <c r="P12">
        <f>VLOOKUP($A12,表1[#All],MATCH(表1_4[[#Headers],[维生素E mg]],表1_4[#Headers],0),)/品牌均值表[[#Totals],[维生素E mg]]*100</f>
        <v>97.42519137091162</v>
      </c>
      <c r="Q12">
        <f>VLOOKUP($A12,表1[#All],MATCH(表1_4[[#Headers],[维生素K1 ug]],表1_4[#Headers],0),)/品牌均值表[[#Totals],[维生素K1 ug]]*100</f>
        <v>157.34378010403958</v>
      </c>
      <c r="R12">
        <f>VLOOKUP($A12,表1[#All],MATCH(表1_4[[#Headers],[维生素B1 ug]],表1_4[#Headers],0),)/品牌均值表[[#Totals],[维生素B1 ug]]*100</f>
        <v>109.33462073665976</v>
      </c>
      <c r="S12">
        <f>VLOOKUP($A12,表1[#All],MATCH(表1_4[[#Headers],[维生素B2 ug]],表1_4[#Headers],0),)/品牌均值表[[#Totals],[维生素B2 ug]]*100</f>
        <v>78.171288182176326</v>
      </c>
      <c r="T12">
        <f>VLOOKUP($A12,表1[#All],MATCH(表1_4[[#Headers],[维生素B6 ug]],表1_4[#Headers],0),)/品牌均值表[[#Totals],[维生素B6 ug]]*100</f>
        <v>123.35120900268028</v>
      </c>
      <c r="U12">
        <f>VLOOKUP($A12,表1[#All],MATCH(表1_4[[#Headers],[维生素B12 ug]],表1_4[#Headers],0),)/品牌均值表[[#Totals],[维生素B12 ug]]*100</f>
        <v>160.95749071399089</v>
      </c>
      <c r="V12">
        <f>VLOOKUP($A12,表1[#All],MATCH(表1_4[[#Headers],[烟酸 ug]],表1_4[#Headers],0),)/品牌均值表[[#Totals],[烟酸 ug]]*100</f>
        <v>109.89715457950602</v>
      </c>
      <c r="W12">
        <f>VLOOKUP($A12,表1[#All],MATCH(表1_4[[#Headers],[叶酸 ug]],表1_4[#Headers],0),)/品牌均值表[[#Totals],[叶酸 ug]]*100</f>
        <v>91.940645912132652</v>
      </c>
      <c r="X12">
        <f>VLOOKUP($A12,表1[#All],MATCH(表1_4[[#Headers],[泛酸 ug]],表1_4[#Headers],0),)/品牌均值表[[#Totals],[泛酸 ug]]*100</f>
        <v>89.825010074358914</v>
      </c>
      <c r="Y12">
        <f>VLOOKUP($A12,表1[#All],MATCH(表1_4[[#Headers],[维生素C mg]],表1_4[#Headers],0),)/品牌均值表[[#Totals],[维生素C mg]]*100</f>
        <v>71.779958930294555</v>
      </c>
      <c r="Z12">
        <f>VLOOKUP($A12,表1[#All],MATCH(表1_4[[#Headers],[生物素 ug]],表1_4[#Headers],0),)/品牌均值表[[#Totals],[生物素 ug]]*100</f>
        <v>100.11963700672084</v>
      </c>
      <c r="AA12">
        <f>VLOOKUP($A12,表1[#All],MATCH(表1_4[[#Headers],[钠 mg]],表1_4[#Headers],0),)/品牌均值表[[#Totals],[钠 mg]]*100</f>
        <v>111.94338767223198</v>
      </c>
      <c r="AB12">
        <f>VLOOKUP($A12,表1[#All],MATCH(表1_4[[#Headers],[钾 mg]],表1_4[#Headers],0),)/品牌均值表[[#Totals],[钾 mg]]*100</f>
        <v>94.528074432406541</v>
      </c>
      <c r="AC12">
        <f>VLOOKUP($A12,表1[#All],MATCH(表1_4[[#Headers],[铜 ug]],表1_4[#Headers],0),)/品牌均值表[[#Totals],[铜 ug]]*100</f>
        <v>108.9084773082154</v>
      </c>
      <c r="AD12">
        <f>VLOOKUP($A12,表1[#All],MATCH(表1_4[[#Headers],[镁 mg]],表1_4[#Headers],0),)/品牌均值表[[#Totals],[镁 mg]]*100</f>
        <v>83.159054065759989</v>
      </c>
      <c r="AE12">
        <f>VLOOKUP($A12,表1[#All],MATCH(表1_4[[#Headers],[铁 mg ]],表1_4[#Headers],0),)/品牌均值表[[#Totals],[铁 mg ]]*100</f>
        <v>99.396149707042909</v>
      </c>
      <c r="AF12">
        <f>VLOOKUP($A12,表1[#All],MATCH(表1_4[[#Headers],[锌 mg]],表1_4[#Headers],0),)/品牌均值表[[#Totals],[锌 mg]]*100</f>
        <v>91.861065504818129</v>
      </c>
      <c r="AG12">
        <f>VLOOKUP($A12,表1[#All],MATCH(表1_4[[#Headers],[锰 ug]],表1_4[#Headers],0),)/品牌均值表[[#Totals],[锰 ug]]*100</f>
        <v>52.891929195337454</v>
      </c>
      <c r="AH12">
        <f>VLOOKUP($A12,表1[#All],MATCH(表1_4[[#Headers],[钙mg]],表1_4[#Headers],0),)/品牌均值表[[#Totals],[钙mg]]*100</f>
        <v>96.088417031573869</v>
      </c>
      <c r="AI12">
        <f>VLOOKUP($A12,表1[#All],MATCH(表1_4[[#Headers],[磷 mg]],表1_4[#Headers],0),)/品牌均值表[[#Totals],[磷 mg]]*100</f>
        <v>93.94320502901158</v>
      </c>
      <c r="AJ12">
        <f>VLOOKUP($A12,表1[#All],MATCH(表1_4[[#Headers],[碘 ug]],表1_4[#Headers],0),)/品牌均值表[[#Totals],[碘 ug]]*100</f>
        <v>105.96503874571994</v>
      </c>
      <c r="AK12">
        <f>VLOOKUP($A12,表1[#All],MATCH(表1_4[[#Headers],[氯 mg]],表1_4[#Headers],0),)/品牌均值表[[#Totals],[氯 mg]]*100</f>
        <v>98.107213575450913</v>
      </c>
      <c r="AL12">
        <f>VLOOKUP($A12,表1[#All],MATCH(表1_4[[#Headers],[硒 mg]],表1_4[#Headers],0),)/品牌均值表[[#Totals],[硒 mg]]*100</f>
        <v>112.55952667275963</v>
      </c>
      <c r="AM12">
        <f>VLOOKUP($A12,表1[#All],MATCH(表1_4[[#Headers],[胆碱 mg]],表1_4[#Headers],0),)/品牌均值表[[#Totals],[胆碱 mg]]*100</f>
        <v>106.16867207491696</v>
      </c>
      <c r="AN12">
        <f>VLOOKUP($A12,表1[#All],MATCH(表1_4[[#Headers],[肌醇 mg]],表1_4[#Headers],0),)/品牌均值表[[#Totals],[肌醇 mg]]*100</f>
        <v>125.01653657891256</v>
      </c>
      <c r="AO12">
        <f>VLOOKUP($A12,表1[#All],MATCH(表1_4[[#Headers],[牛磺酸 mg]],表1_4[#Headers],0),)/品牌均值表[[#Totals],[牛磺酸 mg]]*100</f>
        <v>133.56866860659258</v>
      </c>
      <c r="AP12">
        <f>VLOOKUP($A12,表1[#All],MATCH(表1_4[[#Headers],[左旋肉碱 mg]],表1_4[#Headers],0),)/品牌均值表[[#Totals],[左旋肉碱 mg]]*100</f>
        <v>108.15138384611602</v>
      </c>
      <c r="AQ12">
        <f>VLOOKUP($A12,表1[#All],MATCH(表1_4[[#Headers],[二十二碳六烯酸 mg]],表1_4[#Headers],0),)/品牌均值表[[#Totals],[二十二碳六烯酸 mg]]*100</f>
        <v>130.83154348513429</v>
      </c>
      <c r="AR12">
        <f>VLOOKUP($A12,表1[#All],MATCH(表1_4[[#Headers],[二十碳四烯酸 mg]],表1_4[#Headers],0),)/品牌均值表[[#Totals],[二十碳四烯酸 mg]]*100</f>
        <v>115.99941226964449</v>
      </c>
      <c r="AS12">
        <f>VLOOKUP($A12,表1[#All],MATCH(表1_4[[#Headers],[低聚半乳糖 g]],表1_4[#Headers],0),)/表1[[#Totals],[低聚半乳糖 g]]*100</f>
        <v>66.124608150470209</v>
      </c>
      <c r="AT12">
        <f>VLOOKUP($A12,表1[#All],MATCH(表1_4[[#Headers],[低聚果糖 g]],表1_4[#Headers],0),)/表1[[#Totals],[低聚果糖 g]]*50</f>
        <v>98.944591029023726</v>
      </c>
      <c r="AU12">
        <f>VLOOKUP($A12,表1[#All],MATCH(表1_4[[#Headers],[多聚果糖 g]],表1_4[#Headers],0),)/表1[[#Totals],[多聚果糖 g]]*100</f>
        <v>0</v>
      </c>
      <c r="AV12">
        <f>VLOOKUP($A12,表1[#All],MATCH(表1_4[[#Headers],[聚葡萄糖 g]],表1_4[#Headers],0),)/表1[[#Totals],[聚葡萄糖 g]]*100</f>
        <v>0</v>
      </c>
      <c r="AW12">
        <f>VLOOKUP($A12,表1[#All],MATCH(表1_4[[#Headers],[核苷酸 mg]],表1_4[#Headers],0),)/表1[[#Totals],[核苷酸 mg]]*100</f>
        <v>127.80898876404494</v>
      </c>
      <c r="AX12">
        <f>VLOOKUP($A12,表1[#All],MATCH(表1_4[[#Headers],[13二油酸 g]],表1_4[#Headers],0),)/表1[[#Totals],[13二油酸 g]]*100</f>
        <v>112.83185840707964</v>
      </c>
      <c r="AY12">
        <f>VLOOKUP($A12,表1[#All],MATCH(表1_4[[#Headers],[叶黄素 ug]],表1_4[#Headers],0),)/表1[[#Totals],[叶黄素 ug]]*100</f>
        <v>0</v>
      </c>
      <c r="AZ12">
        <f>VLOOKUP($A12,表1[#All],MATCH(表1_4[[#Headers],[乳铁蛋白 mg]],表1_4[#Headers],0),)/表1[[#Totals],[乳铁蛋白 mg]]*100</f>
        <v>0</v>
      </c>
      <c r="BA12">
        <f>VLOOKUP($A12,表1[#All],MATCH(表1_4[[#Headers],[酪蛋白磷酸肽 mg]],表1_4[#Headers],0),)/表1[[#Totals],[酪蛋白磷酸肽 mg]]*100</f>
        <v>0</v>
      </c>
      <c r="BB12">
        <f>VLOOKUP($A12,表1[#All],MATCH(表1_4[[#Headers],[b胡萝卜素 ug]],表1_4[#Headers],0),)/表1[[#Totals],[b胡萝卜素 ug]]*100</f>
        <v>0</v>
      </c>
      <c r="BC12">
        <f>AVERAGE(表1_4[[#This Row],[能量kj]:[碳水化合物g]])</f>
        <v>103.01957342586071</v>
      </c>
      <c r="BD12">
        <f>AVERAGE(N12:Z12,AM12)</f>
        <v>108.2890277044862</v>
      </c>
      <c r="BE12">
        <f>AVERAGE(表1_4[[#This Row],[钠 mg]:[硒 mg]])</f>
        <v>95.779294911694024</v>
      </c>
      <c r="BF12" s="4">
        <f>SUM(表1_4[[#This Row],[肌醇 mg]:[b胡萝卜素 ug]])/SUM(表1_4[[肌醇 mg]:[b胡萝卜素 ug]])*3400</f>
        <v>130.06598696383617</v>
      </c>
      <c r="BG12" s="4">
        <f>0.5*表1_4[[#This Row],[基础能量]]+表1_4[[#This Row],[维生素]]+表1_4[[#This Row],[微量元素]]+表1_4[[#This Row],[加分项]]+IF(COUNTIF(F12,"*A2*"),0.6,0)*表1_4[[#This Row],[基础能量]]</f>
        <v>385.64409629294676</v>
      </c>
      <c r="BH12" s="4">
        <f>表1_4[[#This Row],[总分]]/表1_4[[#This Row],[百克重量]]</f>
        <v>19.282204814647336</v>
      </c>
    </row>
    <row r="13" spans="1:60" ht="48">
      <c r="A13" s="1" t="s">
        <v>21</v>
      </c>
      <c r="B13" s="2" t="s">
        <v>20</v>
      </c>
      <c r="C13" s="2">
        <v>808</v>
      </c>
      <c r="D13" s="2">
        <v>306</v>
      </c>
      <c r="E13" s="2">
        <v>37.869999999999997</v>
      </c>
      <c r="F13" s="2" t="s">
        <v>2</v>
      </c>
      <c r="G13" s="2" t="s">
        <v>3</v>
      </c>
      <c r="H13">
        <f>VLOOKUP($A13,表1[#All],MATCH(表1_4[[#Headers],[能量kj]],表1_4[#Headers],0),)/品牌均值表[[#Totals],[能量kj]]*100</f>
        <v>101.79063036777336</v>
      </c>
      <c r="I13">
        <f>VLOOKUP($A13,表1[#All],MATCH(表1_4[[#Headers],[蛋白质g]],表1_4[#Headers],0),)/品牌均值表[[#Totals],[蛋白质g]]*100</f>
        <v>97.664143860834145</v>
      </c>
      <c r="J13">
        <f>VLOOKUP($A13,表1[#All],MATCH(表1_4[[#Headers],[脂肪g]],表1_4[#Headers],0),)/品牌均值表[[#Totals],[脂肪g]]*100</f>
        <v>103.28000336882678</v>
      </c>
      <c r="K13">
        <f>VLOOKUP($A13,表1[#All],MATCH(表1_4[[#Headers],[亚油酸g]],表1_4[#Headers],0),)/品牌均值表[[#Totals],[亚油酸g]]*100</f>
        <v>111.79824317046445</v>
      </c>
      <c r="L13">
        <f>VLOOKUP($A13,表1[#All],MATCH(表1_4[[#Headers],[a-亚麻酸mg]],表1_4[#Headers],0),)/品牌均值表[[#Totals],[a-亚麻酸mg]]*100</f>
        <v>102.95520194554545</v>
      </c>
      <c r="M13">
        <f>VLOOKUP($A13,表1[#All],MATCH(表1_4[[#Headers],[碳水化合物g]],表1_4[#Headers],0),)/品牌均值表[[#Totals],[碳水化合物g]]*100</f>
        <v>100.62921784172008</v>
      </c>
      <c r="N13">
        <f>VLOOKUP($A13,表1[#All],MATCH(表1_4[[#Headers],[维生素A（ug视黄醇）]],表1_4[#Headers],0),)/品牌均值表[[#Totals],[维生素A（ug视黄醇）]]*100</f>
        <v>93.242539587714589</v>
      </c>
      <c r="O13">
        <f>VLOOKUP($A13,表1[#All],MATCH(表1_4[[#Headers],[维生素D ug]],表1_4[#Headers],0),)/品牌均值表[[#Totals],[维生素D ug]]*100</f>
        <v>126.48918958670392</v>
      </c>
      <c r="P13">
        <f>VLOOKUP($A13,表1[#All],MATCH(表1_4[[#Headers],[维生素E mg]],表1_4[#Headers],0),)/品牌均值表[[#Totals],[维生素E mg]]*100</f>
        <v>97.42519137091162</v>
      </c>
      <c r="Q13">
        <f>VLOOKUP($A13,表1[#All],MATCH(表1_4[[#Headers],[维生素K1 ug]],表1_4[#Headers],0),)/品牌均值表[[#Totals],[维生素K1 ug]]*100</f>
        <v>157.34378010403958</v>
      </c>
      <c r="R13">
        <f>VLOOKUP($A13,表1[#All],MATCH(表1_4[[#Headers],[维生素B1 ug]],表1_4[#Headers],0),)/品牌均值表[[#Totals],[维生素B1 ug]]*100</f>
        <v>109.33462073665976</v>
      </c>
      <c r="S13">
        <f>VLOOKUP($A13,表1[#All],MATCH(表1_4[[#Headers],[维生素B2 ug]],表1_4[#Headers],0),)/品牌均值表[[#Totals],[维生素B2 ug]]*100</f>
        <v>78.171288182176326</v>
      </c>
      <c r="T13">
        <f>VLOOKUP($A13,表1[#All],MATCH(表1_4[[#Headers],[维生素B6 ug]],表1_4[#Headers],0),)/品牌均值表[[#Totals],[维生素B6 ug]]*100</f>
        <v>123.35120900268028</v>
      </c>
      <c r="U13">
        <f>VLOOKUP($A13,表1[#All],MATCH(表1_4[[#Headers],[维生素B12 ug]],表1_4[#Headers],0),)/品牌均值表[[#Totals],[维生素B12 ug]]*100</f>
        <v>160.95749071399089</v>
      </c>
      <c r="V13">
        <f>VLOOKUP($A13,表1[#All],MATCH(表1_4[[#Headers],[烟酸 ug]],表1_4[#Headers],0),)/品牌均值表[[#Totals],[烟酸 ug]]*100</f>
        <v>109.89715457950602</v>
      </c>
      <c r="W13">
        <f>VLOOKUP($A13,表1[#All],MATCH(表1_4[[#Headers],[叶酸 ug]],表1_4[#Headers],0),)/品牌均值表[[#Totals],[叶酸 ug]]*100</f>
        <v>91.940645912132652</v>
      </c>
      <c r="X13">
        <f>VLOOKUP($A13,表1[#All],MATCH(表1_4[[#Headers],[泛酸 ug]],表1_4[#Headers],0),)/品牌均值表[[#Totals],[泛酸 ug]]*100</f>
        <v>89.825010074358914</v>
      </c>
      <c r="Y13">
        <f>VLOOKUP($A13,表1[#All],MATCH(表1_4[[#Headers],[维生素C mg]],表1_4[#Headers],0),)/品牌均值表[[#Totals],[维生素C mg]]*100</f>
        <v>71.779958930294555</v>
      </c>
      <c r="Z13">
        <f>VLOOKUP($A13,表1[#All],MATCH(表1_4[[#Headers],[生物素 ug]],表1_4[#Headers],0),)/品牌均值表[[#Totals],[生物素 ug]]*100</f>
        <v>100.11963700672084</v>
      </c>
      <c r="AA13">
        <f>VLOOKUP($A13,表1[#All],MATCH(表1_4[[#Headers],[钠 mg]],表1_4[#Headers],0),)/品牌均值表[[#Totals],[钠 mg]]*100</f>
        <v>111.94338767223198</v>
      </c>
      <c r="AB13">
        <f>VLOOKUP($A13,表1[#All],MATCH(表1_4[[#Headers],[钾 mg]],表1_4[#Headers],0),)/品牌均值表[[#Totals],[钾 mg]]*100</f>
        <v>94.528074432406541</v>
      </c>
      <c r="AC13">
        <f>VLOOKUP($A13,表1[#All],MATCH(表1_4[[#Headers],[铜 ug]],表1_4[#Headers],0),)/品牌均值表[[#Totals],[铜 ug]]*100</f>
        <v>108.9084773082154</v>
      </c>
      <c r="AD13">
        <f>VLOOKUP($A13,表1[#All],MATCH(表1_4[[#Headers],[镁 mg]],表1_4[#Headers],0),)/品牌均值表[[#Totals],[镁 mg]]*100</f>
        <v>83.159054065759989</v>
      </c>
      <c r="AE13">
        <f>VLOOKUP($A13,表1[#All],MATCH(表1_4[[#Headers],[铁 mg ]],表1_4[#Headers],0),)/品牌均值表[[#Totals],[铁 mg ]]*100</f>
        <v>99.396149707042909</v>
      </c>
      <c r="AF13">
        <f>VLOOKUP($A13,表1[#All],MATCH(表1_4[[#Headers],[锌 mg]],表1_4[#Headers],0),)/品牌均值表[[#Totals],[锌 mg]]*100</f>
        <v>91.861065504818129</v>
      </c>
      <c r="AG13">
        <f>VLOOKUP($A13,表1[#All],MATCH(表1_4[[#Headers],[锰 ug]],表1_4[#Headers],0),)/品牌均值表[[#Totals],[锰 ug]]*100</f>
        <v>52.891929195337454</v>
      </c>
      <c r="AH13">
        <f>VLOOKUP($A13,表1[#All],MATCH(表1_4[[#Headers],[钙mg]],表1_4[#Headers],0),)/品牌均值表[[#Totals],[钙mg]]*100</f>
        <v>96.088417031573869</v>
      </c>
      <c r="AI13">
        <f>VLOOKUP($A13,表1[#All],MATCH(表1_4[[#Headers],[磷 mg]],表1_4[#Headers],0),)/品牌均值表[[#Totals],[磷 mg]]*100</f>
        <v>93.94320502901158</v>
      </c>
      <c r="AJ13">
        <f>VLOOKUP($A13,表1[#All],MATCH(表1_4[[#Headers],[碘 ug]],表1_4[#Headers],0),)/品牌均值表[[#Totals],[碘 ug]]*100</f>
        <v>105.96503874571994</v>
      </c>
      <c r="AK13">
        <f>VLOOKUP($A13,表1[#All],MATCH(表1_4[[#Headers],[氯 mg]],表1_4[#Headers],0),)/品牌均值表[[#Totals],[氯 mg]]*100</f>
        <v>98.107213575450913</v>
      </c>
      <c r="AL13">
        <f>VLOOKUP($A13,表1[#All],MATCH(表1_4[[#Headers],[硒 mg]],表1_4[#Headers],0),)/品牌均值表[[#Totals],[硒 mg]]*100</f>
        <v>112.55952667275963</v>
      </c>
      <c r="AM13">
        <f>VLOOKUP($A13,表1[#All],MATCH(表1_4[[#Headers],[胆碱 mg]],表1_4[#Headers],0),)/品牌均值表[[#Totals],[胆碱 mg]]*100</f>
        <v>106.16867207491696</v>
      </c>
      <c r="AN13">
        <f>VLOOKUP($A13,表1[#All],MATCH(表1_4[[#Headers],[肌醇 mg]],表1_4[#Headers],0),)/品牌均值表[[#Totals],[肌醇 mg]]*100</f>
        <v>125.01653657891256</v>
      </c>
      <c r="AO13">
        <f>VLOOKUP($A13,表1[#All],MATCH(表1_4[[#Headers],[牛磺酸 mg]],表1_4[#Headers],0),)/品牌均值表[[#Totals],[牛磺酸 mg]]*100</f>
        <v>133.56866860659258</v>
      </c>
      <c r="AP13">
        <f>VLOOKUP($A13,表1[#All],MATCH(表1_4[[#Headers],[左旋肉碱 mg]],表1_4[#Headers],0),)/品牌均值表[[#Totals],[左旋肉碱 mg]]*100</f>
        <v>108.15138384611602</v>
      </c>
      <c r="AQ13">
        <f>VLOOKUP($A13,表1[#All],MATCH(表1_4[[#Headers],[二十二碳六烯酸 mg]],表1_4[#Headers],0),)/品牌均值表[[#Totals],[二十二碳六烯酸 mg]]*100</f>
        <v>109.0262862376119</v>
      </c>
      <c r="AR13">
        <f>VLOOKUP($A13,表1[#All],MATCH(表1_4[[#Headers],[二十碳四烯酸 mg]],表1_4[#Headers],0),)/品牌均值表[[#Totals],[二十碳四烯酸 mg]]*100</f>
        <v>92.799529815715601</v>
      </c>
      <c r="AS13">
        <f>VLOOKUP($A13,表1[#All],MATCH(表1_4[[#Headers],[低聚半乳糖 g]],表1_4[#Headers],0),)/表1[[#Totals],[低聚半乳糖 g]]*100</f>
        <v>66.124608150470209</v>
      </c>
      <c r="AT13">
        <f>VLOOKUP($A13,表1[#All],MATCH(表1_4[[#Headers],[低聚果糖 g]],表1_4[#Headers],0),)/表1[[#Totals],[低聚果糖 g]]*50</f>
        <v>98.944591029023726</v>
      </c>
      <c r="AU13">
        <f>VLOOKUP($A13,表1[#All],MATCH(表1_4[[#Headers],[多聚果糖 g]],表1_4[#Headers],0),)/表1[[#Totals],[多聚果糖 g]]*100</f>
        <v>0</v>
      </c>
      <c r="AV13">
        <f>VLOOKUP($A13,表1[#All],MATCH(表1_4[[#Headers],[聚葡萄糖 g]],表1_4[#Headers],0),)/表1[[#Totals],[聚葡萄糖 g]]*100</f>
        <v>0</v>
      </c>
      <c r="AW13">
        <f>VLOOKUP($A13,表1[#All],MATCH(表1_4[[#Headers],[核苷酸 mg]],表1_4[#Headers],0),)/表1[[#Totals],[核苷酸 mg]]*100</f>
        <v>127.80898876404494</v>
      </c>
      <c r="AX13">
        <f>VLOOKUP($A13,表1[#All],MATCH(表1_4[[#Headers],[13二油酸 g]],表1_4[#Headers],0),)/表1[[#Totals],[13二油酸 g]]*100</f>
        <v>150.44247787610618</v>
      </c>
      <c r="AY13">
        <f>VLOOKUP($A13,表1[#All],MATCH(表1_4[[#Headers],[叶黄素 ug]],表1_4[#Headers],0),)/表1[[#Totals],[叶黄素 ug]]*100</f>
        <v>0</v>
      </c>
      <c r="AZ13">
        <f>VLOOKUP($A13,表1[#All],MATCH(表1_4[[#Headers],[乳铁蛋白 mg]],表1_4[#Headers],0),)/表1[[#Totals],[乳铁蛋白 mg]]*100</f>
        <v>0</v>
      </c>
      <c r="BA13">
        <f>VLOOKUP($A13,表1[#All],MATCH(表1_4[[#Headers],[酪蛋白磷酸肽 mg]],表1_4[#Headers],0),)/表1[[#Totals],[酪蛋白磷酸肽 mg]]*100</f>
        <v>0</v>
      </c>
      <c r="BB13">
        <f>VLOOKUP($A13,表1[#All],MATCH(表1_4[[#Headers],[b胡萝卜素 ug]],表1_4[#Headers],0),)/表1[[#Totals],[b胡萝卜素 ug]]*100</f>
        <v>0</v>
      </c>
      <c r="BC13">
        <f>AVERAGE(表1_4[[#This Row],[能量kj]:[碳水化合物g]])</f>
        <v>103.01957342586071</v>
      </c>
      <c r="BD13">
        <f>AVERAGE(N13:Z13,AM13)</f>
        <v>108.2890277044862</v>
      </c>
      <c r="BE13">
        <f>AVERAGE(表1_4[[#This Row],[钠 mg]:[硒 mg]])</f>
        <v>95.779294911694024</v>
      </c>
      <c r="BF13" s="4">
        <f>SUM(表1_4[[#This Row],[肌醇 mg]:[b胡萝卜素 ug]])/SUM(表1_4[[肌醇 mg]:[b胡萝卜素 ug]])*3400</f>
        <v>129.12240144746912</v>
      </c>
      <c r="BG13" s="4">
        <f>0.5*表1_4[[#This Row],[基础能量]]+表1_4[[#This Row],[维生素]]+表1_4[[#This Row],[微量元素]]+表1_4[[#This Row],[加分项]]+IF(COUNTIF(F13,"*A2*"),0.6,0)*表1_4[[#This Row],[基础能量]]</f>
        <v>384.70051077657968</v>
      </c>
      <c r="BH13" s="4">
        <f>表1_4[[#This Row],[总分]]/表1_4[[#This Row],[百克重量]]</f>
        <v>10.158450244958534</v>
      </c>
    </row>
    <row r="14" spans="1:60" ht="48">
      <c r="A14" s="1" t="s">
        <v>19</v>
      </c>
      <c r="B14" s="2" t="s">
        <v>20</v>
      </c>
      <c r="C14" s="2">
        <v>900</v>
      </c>
      <c r="D14" s="2">
        <v>342</v>
      </c>
      <c r="E14" s="2">
        <v>38</v>
      </c>
      <c r="F14" s="2" t="s">
        <v>2</v>
      </c>
      <c r="G14" s="2" t="s">
        <v>3</v>
      </c>
      <c r="H14">
        <f>VLOOKUP($A14,表1[#All],MATCH(表1_4[[#Headers],[能量kj]],表1_4[#Headers],0),)/品牌均值表[[#Totals],[能量kj]]*100</f>
        <v>101.79063036777336</v>
      </c>
      <c r="I14">
        <f>VLOOKUP($A14,表1[#All],MATCH(表1_4[[#Headers],[蛋白质g]],表1_4[#Headers],0),)/品牌均值表[[#Totals],[蛋白质g]]*100</f>
        <v>97.664143860834145</v>
      </c>
      <c r="J14">
        <f>VLOOKUP($A14,表1[#All],MATCH(表1_4[[#Headers],[脂肪g]],表1_4[#Headers],0),)/品牌均值表[[#Totals],[脂肪g]]*100</f>
        <v>103.28000336882678</v>
      </c>
      <c r="K14">
        <f>VLOOKUP($A14,表1[#All],MATCH(表1_4[[#Headers],[亚油酸g]],表1_4[#Headers],0),)/品牌均值表[[#Totals],[亚油酸g]]*100</f>
        <v>111.79824317046445</v>
      </c>
      <c r="L14">
        <f>VLOOKUP($A14,表1[#All],MATCH(表1_4[[#Headers],[a-亚麻酸mg]],表1_4[#Headers],0),)/品牌均值表[[#Totals],[a-亚麻酸mg]]*100</f>
        <v>102.95520194554545</v>
      </c>
      <c r="M14">
        <f>VLOOKUP($A14,表1[#All],MATCH(表1_4[[#Headers],[碳水化合物g]],表1_4[#Headers],0),)/品牌均值表[[#Totals],[碳水化合物g]]*100</f>
        <v>100.62921784172008</v>
      </c>
      <c r="N14">
        <f>VLOOKUP($A14,表1[#All],MATCH(表1_4[[#Headers],[维生素A（ug视黄醇）]],表1_4[#Headers],0),)/品牌均值表[[#Totals],[维生素A（ug视黄醇）]]*100</f>
        <v>93.242539587714589</v>
      </c>
      <c r="O14">
        <f>VLOOKUP($A14,表1[#All],MATCH(表1_4[[#Headers],[维生素D ug]],表1_4[#Headers],0),)/品牌均值表[[#Totals],[维生素D ug]]*100</f>
        <v>126.48918958670392</v>
      </c>
      <c r="P14">
        <f>VLOOKUP($A14,表1[#All],MATCH(表1_4[[#Headers],[维生素E mg]],表1_4[#Headers],0),)/品牌均值表[[#Totals],[维生素E mg]]*100</f>
        <v>97.42519137091162</v>
      </c>
      <c r="Q14">
        <f>VLOOKUP($A14,表1[#All],MATCH(表1_4[[#Headers],[维生素K1 ug]],表1_4[#Headers],0),)/品牌均值表[[#Totals],[维生素K1 ug]]*100</f>
        <v>157.34378010403958</v>
      </c>
      <c r="R14">
        <f>VLOOKUP($A14,表1[#All],MATCH(表1_4[[#Headers],[维生素B1 ug]],表1_4[#Headers],0),)/品牌均值表[[#Totals],[维生素B1 ug]]*100</f>
        <v>109.33462073665976</v>
      </c>
      <c r="S14">
        <f>VLOOKUP($A14,表1[#All],MATCH(表1_4[[#Headers],[维生素B2 ug]],表1_4[#Headers],0),)/品牌均值表[[#Totals],[维生素B2 ug]]*100</f>
        <v>78.171288182176326</v>
      </c>
      <c r="T14">
        <f>VLOOKUP($A14,表1[#All],MATCH(表1_4[[#Headers],[维生素B6 ug]],表1_4[#Headers],0),)/品牌均值表[[#Totals],[维生素B6 ug]]*100</f>
        <v>123.35120900268028</v>
      </c>
      <c r="U14">
        <f>VLOOKUP($A14,表1[#All],MATCH(表1_4[[#Headers],[维生素B12 ug]],表1_4[#Headers],0),)/品牌均值表[[#Totals],[维生素B12 ug]]*100</f>
        <v>160.95749071399089</v>
      </c>
      <c r="V14">
        <f>VLOOKUP($A14,表1[#All],MATCH(表1_4[[#Headers],[烟酸 ug]],表1_4[#Headers],0),)/品牌均值表[[#Totals],[烟酸 ug]]*100</f>
        <v>109.89715457950602</v>
      </c>
      <c r="W14">
        <f>VLOOKUP($A14,表1[#All],MATCH(表1_4[[#Headers],[叶酸 ug]],表1_4[#Headers],0),)/品牌均值表[[#Totals],[叶酸 ug]]*100</f>
        <v>91.940645912132652</v>
      </c>
      <c r="X14">
        <f>VLOOKUP($A14,表1[#All],MATCH(表1_4[[#Headers],[泛酸 ug]],表1_4[#Headers],0),)/品牌均值表[[#Totals],[泛酸 ug]]*100</f>
        <v>89.825010074358914</v>
      </c>
      <c r="Y14">
        <f>VLOOKUP($A14,表1[#All],MATCH(表1_4[[#Headers],[维生素C mg]],表1_4[#Headers],0),)/品牌均值表[[#Totals],[维生素C mg]]*100</f>
        <v>71.779958930294555</v>
      </c>
      <c r="Z14">
        <f>VLOOKUP($A14,表1[#All],MATCH(表1_4[[#Headers],[生物素 ug]],表1_4[#Headers],0),)/品牌均值表[[#Totals],[生物素 ug]]*100</f>
        <v>100.11963700672084</v>
      </c>
      <c r="AA14">
        <f>VLOOKUP($A14,表1[#All],MATCH(表1_4[[#Headers],[钠 mg]],表1_4[#Headers],0),)/品牌均值表[[#Totals],[钠 mg]]*100</f>
        <v>111.94338767223198</v>
      </c>
      <c r="AB14">
        <f>VLOOKUP($A14,表1[#All],MATCH(表1_4[[#Headers],[钾 mg]],表1_4[#Headers],0),)/品牌均值表[[#Totals],[钾 mg]]*100</f>
        <v>94.528074432406541</v>
      </c>
      <c r="AC14">
        <f>VLOOKUP($A14,表1[#All],MATCH(表1_4[[#Headers],[铜 ug]],表1_4[#Headers],0),)/品牌均值表[[#Totals],[铜 ug]]*100</f>
        <v>108.9084773082154</v>
      </c>
      <c r="AD14">
        <f>VLOOKUP($A14,表1[#All],MATCH(表1_4[[#Headers],[镁 mg]],表1_4[#Headers],0),)/品牌均值表[[#Totals],[镁 mg]]*100</f>
        <v>83.159054065759989</v>
      </c>
      <c r="AE14">
        <f>VLOOKUP($A14,表1[#All],MATCH(表1_4[[#Headers],[铁 mg ]],表1_4[#Headers],0),)/品牌均值表[[#Totals],[铁 mg ]]*100</f>
        <v>99.396149707042909</v>
      </c>
      <c r="AF14">
        <f>VLOOKUP($A14,表1[#All],MATCH(表1_4[[#Headers],[锌 mg]],表1_4[#Headers],0),)/品牌均值表[[#Totals],[锌 mg]]*100</f>
        <v>91.861065504818129</v>
      </c>
      <c r="AG14">
        <f>VLOOKUP($A14,表1[#All],MATCH(表1_4[[#Headers],[锰 ug]],表1_4[#Headers],0),)/品牌均值表[[#Totals],[锰 ug]]*100</f>
        <v>52.891929195337454</v>
      </c>
      <c r="AH14">
        <f>VLOOKUP($A14,表1[#All],MATCH(表1_4[[#Headers],[钙mg]],表1_4[#Headers],0),)/品牌均值表[[#Totals],[钙mg]]*100</f>
        <v>96.088417031573869</v>
      </c>
      <c r="AI14">
        <f>VLOOKUP($A14,表1[#All],MATCH(表1_4[[#Headers],[磷 mg]],表1_4[#Headers],0),)/品牌均值表[[#Totals],[磷 mg]]*100</f>
        <v>93.94320502901158</v>
      </c>
      <c r="AJ14">
        <f>VLOOKUP($A14,表1[#All],MATCH(表1_4[[#Headers],[碘 ug]],表1_4[#Headers],0),)/品牌均值表[[#Totals],[碘 ug]]*100</f>
        <v>105.96503874571994</v>
      </c>
      <c r="AK14">
        <f>VLOOKUP($A14,表1[#All],MATCH(表1_4[[#Headers],[氯 mg]],表1_4[#Headers],0),)/品牌均值表[[#Totals],[氯 mg]]*100</f>
        <v>98.107213575450913</v>
      </c>
      <c r="AL14">
        <f>VLOOKUP($A14,表1[#All],MATCH(表1_4[[#Headers],[硒 mg]],表1_4[#Headers],0),)/品牌均值表[[#Totals],[硒 mg]]*100</f>
        <v>112.55952667275963</v>
      </c>
      <c r="AM14">
        <f>VLOOKUP($A14,表1[#All],MATCH(表1_4[[#Headers],[胆碱 mg]],表1_4[#Headers],0),)/品牌均值表[[#Totals],[胆碱 mg]]*100</f>
        <v>106.16867207491696</v>
      </c>
      <c r="AN14">
        <f>VLOOKUP($A14,表1[#All],MATCH(表1_4[[#Headers],[肌醇 mg]],表1_4[#Headers],0),)/品牌均值表[[#Totals],[肌醇 mg]]*100</f>
        <v>125.01653657891256</v>
      </c>
      <c r="AO14">
        <f>VLOOKUP($A14,表1[#All],MATCH(表1_4[[#Headers],[牛磺酸 mg]],表1_4[#Headers],0),)/品牌均值表[[#Totals],[牛磺酸 mg]]*100</f>
        <v>133.56866860659258</v>
      </c>
      <c r="AP14">
        <f>VLOOKUP($A14,表1[#All],MATCH(表1_4[[#Headers],[左旋肉碱 mg]],表1_4[#Headers],0),)/品牌均值表[[#Totals],[左旋肉碱 mg]]*100</f>
        <v>108.15138384611602</v>
      </c>
      <c r="AQ14">
        <f>VLOOKUP($A14,表1[#All],MATCH(表1_4[[#Headers],[二十二碳六烯酸 mg]],表1_4[#Headers],0),)/品牌均值表[[#Totals],[二十二碳六烯酸 mg]]*100</f>
        <v>109.0262862376119</v>
      </c>
      <c r="AR14">
        <f>VLOOKUP($A14,表1[#All],MATCH(表1_4[[#Headers],[二十碳四烯酸 mg]],表1_4[#Headers],0),)/品牌均值表[[#Totals],[二十碳四烯酸 mg]]*100</f>
        <v>92.799529815715601</v>
      </c>
      <c r="AS14">
        <f>VLOOKUP($A14,表1[#All],MATCH(表1_4[[#Headers],[低聚半乳糖 g]],表1_4[#Headers],0),)/表1[[#Totals],[低聚半乳糖 g]]*100</f>
        <v>66.124608150470209</v>
      </c>
      <c r="AT14">
        <f>VLOOKUP($A14,表1[#All],MATCH(表1_4[[#Headers],[低聚果糖 g]],表1_4[#Headers],0),)/表1[[#Totals],[低聚果糖 g]]*50</f>
        <v>98.944591029023726</v>
      </c>
      <c r="AU14">
        <f>VLOOKUP($A14,表1[#All],MATCH(表1_4[[#Headers],[多聚果糖 g]],表1_4[#Headers],0),)/表1[[#Totals],[多聚果糖 g]]*100</f>
        <v>0</v>
      </c>
      <c r="AV14">
        <f>VLOOKUP($A14,表1[#All],MATCH(表1_4[[#Headers],[聚葡萄糖 g]],表1_4[#Headers],0),)/表1[[#Totals],[聚葡萄糖 g]]*100</f>
        <v>0</v>
      </c>
      <c r="AW14">
        <f>VLOOKUP($A14,表1[#All],MATCH(表1_4[[#Headers],[核苷酸 mg]],表1_4[#Headers],0),)/表1[[#Totals],[核苷酸 mg]]*100</f>
        <v>127.80898876404494</v>
      </c>
      <c r="AX14">
        <f>VLOOKUP($A14,表1[#All],MATCH(表1_4[[#Headers],[13二油酸 g]],表1_4[#Headers],0),)/表1[[#Totals],[13二油酸 g]]*100</f>
        <v>150.44247787610618</v>
      </c>
      <c r="AY14">
        <f>VLOOKUP($A14,表1[#All],MATCH(表1_4[[#Headers],[叶黄素 ug]],表1_4[#Headers],0),)/表1[[#Totals],[叶黄素 ug]]*100</f>
        <v>0</v>
      </c>
      <c r="AZ14">
        <f>VLOOKUP($A14,表1[#All],MATCH(表1_4[[#Headers],[乳铁蛋白 mg]],表1_4[#Headers],0),)/表1[[#Totals],[乳铁蛋白 mg]]*100</f>
        <v>0</v>
      </c>
      <c r="BA14">
        <f>VLOOKUP($A14,表1[#All],MATCH(表1_4[[#Headers],[酪蛋白磷酸肽 mg]],表1_4[#Headers],0),)/表1[[#Totals],[酪蛋白磷酸肽 mg]]*100</f>
        <v>0</v>
      </c>
      <c r="BB14">
        <f>VLOOKUP($A14,表1[#All],MATCH(表1_4[[#Headers],[b胡萝卜素 ug]],表1_4[#Headers],0),)/表1[[#Totals],[b胡萝卜素 ug]]*100</f>
        <v>0</v>
      </c>
      <c r="BC14">
        <f>AVERAGE(表1_4[[#This Row],[能量kj]:[碳水化合物g]])</f>
        <v>103.01957342586071</v>
      </c>
      <c r="BD14">
        <f>AVERAGE(N14:Z14,AM14)</f>
        <v>108.2890277044862</v>
      </c>
      <c r="BE14">
        <f>AVERAGE(表1_4[[#This Row],[钠 mg]:[硒 mg]])</f>
        <v>95.779294911694024</v>
      </c>
      <c r="BF14" s="4">
        <f>SUM(表1_4[[#This Row],[肌醇 mg]:[b胡萝卜素 ug]])/SUM(表1_4[[肌醇 mg]:[b胡萝卜素 ug]])*3400</f>
        <v>129.12240144746912</v>
      </c>
      <c r="BG14" s="4">
        <f>0.5*表1_4[[#This Row],[基础能量]]+表1_4[[#This Row],[维生素]]+表1_4[[#This Row],[微量元素]]+表1_4[[#This Row],[加分项]]+IF(COUNTIF(F14,"*A2*"),0.6,0)*表1_4[[#This Row],[基础能量]]</f>
        <v>384.70051077657968</v>
      </c>
      <c r="BH14" s="4">
        <f>表1_4[[#This Row],[总分]]/表1_4[[#This Row],[百克重量]]</f>
        <v>10.123697652015254</v>
      </c>
    </row>
    <row r="15" spans="1:60" ht="48">
      <c r="A15" s="1" t="s">
        <v>39</v>
      </c>
      <c r="B15" s="2" t="s">
        <v>40</v>
      </c>
      <c r="C15" s="2">
        <v>820</v>
      </c>
      <c r="D15" s="2">
        <v>323</v>
      </c>
      <c r="E15" s="2">
        <v>39.35</v>
      </c>
      <c r="F15" s="2" t="s">
        <v>41</v>
      </c>
      <c r="G15" s="2" t="s">
        <v>3</v>
      </c>
      <c r="H15">
        <f>VLOOKUP($A15,表1[#All],MATCH(表1_4[[#Headers],[能量kj]],表1_4[#Headers],0),)/品牌均值表[[#Totals],[能量kj]]*100</f>
        <v>99.955293065719204</v>
      </c>
      <c r="I15">
        <f>VLOOKUP($A15,表1[#All],MATCH(表1_4[[#Headers],[蛋白质g]],表1_4[#Headers],0),)/品牌均值表[[#Totals],[蛋白质g]]*100</f>
        <v>98.594278564270653</v>
      </c>
      <c r="J15">
        <f>VLOOKUP($A15,表1[#All],MATCH(表1_4[[#Headers],[脂肪g]],表1_4[#Headers],0),)/品牌均值表[[#Totals],[脂肪g]]*100</f>
        <v>99.948390356929153</v>
      </c>
      <c r="K15">
        <f>VLOOKUP($A15,表1[#All],MATCH(表1_4[[#Headers],[亚油酸g]],表1_4[#Headers],0),)/品牌均值表[[#Totals],[亚油酸g]]*100</f>
        <v>106.59832488346611</v>
      </c>
      <c r="L15">
        <f>VLOOKUP($A15,表1[#All],MATCH(表1_4[[#Headers],[a-亚麻酸mg]],表1_4[#Headers],0),)/品牌均值表[[#Totals],[a-亚麻酸mg]]*100</f>
        <v>86.19505279161946</v>
      </c>
      <c r="M15">
        <f>VLOOKUP($A15,表1[#All],MATCH(表1_4[[#Headers],[碳水化合物g]],表1_4[#Headers],0),)/品牌均值表[[#Totals],[碳水化合物g]]*100</f>
        <v>99.523402261041809</v>
      </c>
      <c r="N15">
        <f>VLOOKUP($A15,表1[#All],MATCH(表1_4[[#Headers],[维生素A（ug视黄醇）]],表1_4[#Headers],0),)/品牌均值表[[#Totals],[维生素A（ug视黄醇）]]*100</f>
        <v>101.71913409568864</v>
      </c>
      <c r="O15">
        <f>VLOOKUP($A15,表1[#All],MATCH(表1_4[[#Headers],[维生素D ug]],表1_4[#Headers],0),)/品牌均值表[[#Totals],[维生素D ug]]*100</f>
        <v>76.481835564053526</v>
      </c>
      <c r="P15">
        <f>VLOOKUP($A15,表1[#All],MATCH(表1_4[[#Headers],[维生素E mg]],表1_4[#Headers],0),)/品牌均值表[[#Totals],[维生素E mg]]*100</f>
        <v>89.074460681976348</v>
      </c>
      <c r="Q15">
        <f>VLOOKUP($A15,表1[#All],MATCH(表1_4[[#Headers],[维生素K1 ug]],表1_4[#Headers],0),)/品牌均值表[[#Totals],[维生素K1 ug]]*100</f>
        <v>80.919658339220348</v>
      </c>
      <c r="R15">
        <f>VLOOKUP($A15,表1[#All],MATCH(表1_4[[#Headers],[维生素B1 ug]],表1_4[#Headers],0),)/品牌均值表[[#Totals],[维生素B1 ug]]*100</f>
        <v>85.4797943941158</v>
      </c>
      <c r="S15">
        <f>VLOOKUP($A15,表1[#All],MATCH(表1_4[[#Headers],[维生素B2 ug]],表1_4[#Headers],0),)/品牌均值表[[#Totals],[维生素B2 ug]]*100</f>
        <v>112.04551306111941</v>
      </c>
      <c r="T15">
        <f>VLOOKUP($A15,表1[#All],MATCH(表1_4[[#Headers],[维生素B6 ug]],表1_4[#Headers],0),)/品牌均值表[[#Totals],[维生素B6 ug]]*100</f>
        <v>88.108006430485915</v>
      </c>
      <c r="U15">
        <f>VLOOKUP($A15,表1[#All],MATCH(表1_4[[#Headers],[维生素B12 ug]],表1_4[#Headers],0),)/品牌均值表[[#Totals],[维生素B12 ug]]*100</f>
        <v>96.574494428394544</v>
      </c>
      <c r="V15">
        <f>VLOOKUP($A15,表1[#All],MATCH(表1_4[[#Headers],[烟酸 ug]],表1_4[#Headers],0),)/品牌均值表[[#Totals],[烟酸 ug]]*100</f>
        <v>90.665152528092463</v>
      </c>
      <c r="W15">
        <f>VLOOKUP($A15,表1[#All],MATCH(表1_4[[#Headers],[叶酸 ug]],表1_4[#Headers],0),)/品牌均值表[[#Totals],[叶酸 ug]]*100</f>
        <v>105.90631364562117</v>
      </c>
      <c r="X15">
        <f>VLOOKUP($A15,表1[#All],MATCH(表1_4[[#Headers],[泛酸 ug]],表1_4[#Headers],0),)/品牌均值表[[#Totals],[泛酸 ug]]*100</f>
        <v>91.400887444084503</v>
      </c>
      <c r="Y15">
        <f>VLOOKUP($A15,表1[#All],MATCH(表1_4[[#Headers],[维生素C mg]],表1_4[#Headers],0),)/品牌均值表[[#Totals],[维生素C mg]]*100</f>
        <v>100.49194250241239</v>
      </c>
      <c r="Z15">
        <f>VLOOKUP($A15,表1[#All],MATCH(表1_4[[#Headers],[生物素 ug]],表1_4[#Headers],0),)/品牌均值表[[#Totals],[生物素 ug]]*100</f>
        <v>85.101691455712697</v>
      </c>
      <c r="AA15">
        <f>VLOOKUP($A15,表1[#All],MATCH(表1_4[[#Headers],[钠 mg]],表1_4[#Headers],0),)/品牌均值表[[#Totals],[钠 mg]]*100</f>
        <v>83.38097021545012</v>
      </c>
      <c r="AB15">
        <f>VLOOKUP($A15,表1[#All],MATCH(表1_4[[#Headers],[钾 mg]],表1_4[#Headers],0),)/品牌均值表[[#Totals],[钾 mg]]*100</f>
        <v>113.59596927499499</v>
      </c>
      <c r="AC15">
        <f>VLOOKUP($A15,表1[#All],MATCH(表1_4[[#Headers],[铜 ug]],表1_4[#Headers],0),)/品牌均值表[[#Totals],[铜 ug]]*100</f>
        <v>93.084168639500334</v>
      </c>
      <c r="AD15">
        <f>VLOOKUP($A15,表1[#All],MATCH(表1_4[[#Headers],[镁 mg]],表1_4[#Headers],0),)/品牌均值表[[#Totals],[镁 mg]]*100</f>
        <v>103.94881758219998</v>
      </c>
      <c r="AE15">
        <f>VLOOKUP($A15,表1[#All],MATCH(表1_4[[#Headers],[铁 mg ]],表1_4[#Headers],0),)/品牌均值表[[#Totals],[铁 mg ]]*100</f>
        <v>104.62752600741361</v>
      </c>
      <c r="AF15">
        <f>VLOOKUP($A15,表1[#All],MATCH(表1_4[[#Headers],[锌 mg]],表1_4[#Headers],0),)/品牌均值表[[#Totals],[锌 mg]]*100</f>
        <v>97.465321490523209</v>
      </c>
      <c r="AG15">
        <f>VLOOKUP($A15,表1[#All],MATCH(表1_4[[#Headers],[锰 ug]],表1_4[#Headers],0),)/品牌均值表[[#Totals],[锰 ug]]*100</f>
        <v>96.263311135514158</v>
      </c>
      <c r="AH15">
        <f>VLOOKUP($A15,表1[#All],MATCH(表1_4[[#Headers],[钙mg]],表1_4[#Headers],0),)/品牌均值表[[#Totals],[钙mg]]*100</f>
        <v>109.81533375037014</v>
      </c>
      <c r="AI15">
        <f>VLOOKUP($A15,表1[#All],MATCH(表1_4[[#Headers],[磷 mg]],表1_4[#Headers],0),)/品牌均值表[[#Totals],[磷 mg]]*100</f>
        <v>102.48349639528536</v>
      </c>
      <c r="AJ15">
        <f>VLOOKUP($A15,表1[#All],MATCH(表1_4[[#Headers],[碘 ug]],表1_4[#Headers],0),)/品牌均值表[[#Totals],[碘 ug]]*100</f>
        <v>92.989727878897099</v>
      </c>
      <c r="AK15">
        <f>VLOOKUP($A15,表1[#All],MATCH(表1_4[[#Headers],[氯 mg]],表1_4[#Headers],0),)/品牌均值表[[#Totals],[氯 mg]]*100</f>
        <v>99.616555322765549</v>
      </c>
      <c r="AL15">
        <f>VLOOKUP($A15,表1[#All],MATCH(表1_4[[#Headers],[硒 mg]],表1_4[#Headers],0),)/品牌均值表[[#Totals],[硒 mg]]*100</f>
        <v>78.503054499975946</v>
      </c>
      <c r="AM15">
        <f>VLOOKUP($A15,表1[#All],MATCH(表1_4[[#Headers],[胆碱 mg]],表1_4[#Headers],0),)/品牌均值表[[#Totals],[胆碱 mg]]*100</f>
        <v>98.818533238961166</v>
      </c>
      <c r="AN15">
        <f>VLOOKUP($A15,表1[#All],MATCH(表1_4[[#Headers],[肌醇 mg]],表1_4[#Headers],0),)/品牌均值表[[#Totals],[肌醇 mg]]*100</f>
        <v>119.46024606429421</v>
      </c>
      <c r="AO15">
        <f>VLOOKUP($A15,表1[#All],MATCH(表1_4[[#Headers],[牛磺酸 mg]],表1_4[#Headers],0),)/品牌均值表[[#Totals],[牛磺酸 mg]]*100</f>
        <v>100.17650145494443</v>
      </c>
      <c r="AP15">
        <f>VLOOKUP($A15,表1[#All],MATCH(表1_4[[#Headers],[左旋肉碱 mg]],表1_4[#Headers],0),)/品牌均值表[[#Totals],[左旋肉碱 mg]]*100</f>
        <v>99.302634258706519</v>
      </c>
      <c r="AQ15">
        <f>VLOOKUP($A15,表1[#All],MATCH(表1_4[[#Headers],[二十二碳六烯酸 mg]],表1_4[#Headers],0),)/品牌均值表[[#Totals],[二十二碳六烯酸 mg]]*100</f>
        <v>88.311291852465629</v>
      </c>
      <c r="AR15">
        <f>VLOOKUP($A15,表1[#All],MATCH(表1_4[[#Headers],[二十碳四烯酸 mg]],表1_4[#Headers],0),)/品牌均值表[[#Totals],[二十碳四烯酸 mg]]*100</f>
        <v>125.27936525121606</v>
      </c>
      <c r="AS15">
        <f>VLOOKUP($A15,表1[#All],MATCH(表1_4[[#Headers],[低聚半乳糖 g]],表1_4[#Headers],0),)/表1[[#Totals],[低聚半乳糖 g]]*100</f>
        <v>68.769592476489009</v>
      </c>
      <c r="AT15">
        <f>VLOOKUP($A15,表1[#All],MATCH(表1_4[[#Headers],[低聚果糖 g]],表1_4[#Headers],0),)/表1[[#Totals],[低聚果糖 g]]*50</f>
        <v>0</v>
      </c>
      <c r="AU15">
        <f>VLOOKUP($A15,表1[#All],MATCH(表1_4[[#Headers],[多聚果糖 g]],表1_4[#Headers],0),)/表1[[#Totals],[多聚果糖 g]]*100</f>
        <v>0</v>
      </c>
      <c r="AV15">
        <f>VLOOKUP($A15,表1[#All],MATCH(表1_4[[#Headers],[聚葡萄糖 g]],表1_4[#Headers],0),)/表1[[#Totals],[聚葡萄糖 g]]*100</f>
        <v>100</v>
      </c>
      <c r="AW15">
        <f>VLOOKUP($A15,表1[#All],MATCH(表1_4[[#Headers],[核苷酸 mg]],表1_4[#Headers],0),)/表1[[#Totals],[核苷酸 mg]]*100</f>
        <v>56.235955056179776</v>
      </c>
      <c r="AX15">
        <f>VLOOKUP($A15,表1[#All],MATCH(表1_4[[#Headers],[13二油酸 g]],表1_4[#Headers],0),)/表1[[#Totals],[13二油酸 g]]*100</f>
        <v>0</v>
      </c>
      <c r="AY15">
        <f>VLOOKUP($A15,表1[#All],MATCH(表1_4[[#Headers],[叶黄素 ug]],表1_4[#Headers],0),)/表1[[#Totals],[叶黄素 ug]]*100</f>
        <v>0</v>
      </c>
      <c r="AZ15">
        <f>VLOOKUP($A15,表1[#All],MATCH(表1_4[[#Headers],[乳铁蛋白 mg]],表1_4[#Headers],0),)/表1[[#Totals],[乳铁蛋白 mg]]*100</f>
        <v>286.12716763005778</v>
      </c>
      <c r="BA15">
        <f>VLOOKUP($A15,表1[#All],MATCH(表1_4[[#Headers],[酪蛋白磷酸肽 mg]],表1_4[#Headers],0),)/表1[[#Totals],[酪蛋白磷酸肽 mg]]*100</f>
        <v>0</v>
      </c>
      <c r="BB15">
        <f>VLOOKUP($A15,表1[#All],MATCH(表1_4[[#Headers],[b胡萝卜素 ug]],表1_4[#Headers],0),)/表1[[#Totals],[b胡萝卜素 ug]]*100</f>
        <v>0</v>
      </c>
      <c r="BC15">
        <f>AVERAGE(表1_4[[#This Row],[能量kj]:[碳水化合物g]])</f>
        <v>98.469123653841052</v>
      </c>
      <c r="BD15">
        <f>AVERAGE(N15:Z15,AM15)</f>
        <v>93.056244129281353</v>
      </c>
      <c r="BE15">
        <f>AVERAGE(表1_4[[#This Row],[钠 mg]:[硒 mg]])</f>
        <v>97.981187682740881</v>
      </c>
      <c r="BF15" s="4">
        <f>SUM(表1_4[[#This Row],[肌醇 mg]:[b胡萝卜素 ug]])/SUM(表1_4[[肌醇 mg]:[b胡萝卜素 ug]])*3400</f>
        <v>133.17768127399796</v>
      </c>
      <c r="BG15" s="4">
        <f>0.5*表1_4[[#This Row],[基础能量]]+表1_4[[#This Row],[维生素]]+表1_4[[#This Row],[微量元素]]+表1_4[[#This Row],[加分项]]+IF(COUNTIF(F15,"*A2*"),0.6,0)*表1_4[[#This Row],[基础能量]]</f>
        <v>373.44967491294074</v>
      </c>
      <c r="BH15" s="4">
        <f>表1_4[[#This Row],[总分]]/表1_4[[#This Row],[百克重量]]</f>
        <v>9.4904618783466503</v>
      </c>
    </row>
    <row r="16" spans="1:60" ht="48">
      <c r="A16" s="1" t="s">
        <v>34</v>
      </c>
      <c r="B16" s="2" t="s">
        <v>33</v>
      </c>
      <c r="C16" s="2">
        <v>800</v>
      </c>
      <c r="D16" s="2">
        <v>180</v>
      </c>
      <c r="E16" s="2">
        <v>22.5</v>
      </c>
      <c r="F16" s="2">
        <v>0</v>
      </c>
      <c r="G16" s="2" t="s">
        <v>3</v>
      </c>
      <c r="H16">
        <f>VLOOKUP($A16,表1[#All],MATCH(表1_4[[#Headers],[能量kj]],表1_4[#Headers],0),)/品牌均值表[[#Totals],[能量kj]]*100</f>
        <v>100.33177251229442</v>
      </c>
      <c r="I16">
        <f>VLOOKUP($A16,表1[#All],MATCH(表1_4[[#Headers],[蛋白质g]],表1_4[#Headers],0),)/品牌均值表[[#Totals],[蛋白质g]]*100</f>
        <v>101.3846826745802</v>
      </c>
      <c r="J16">
        <f>VLOOKUP($A16,表1[#All],MATCH(表1_4[[#Headers],[脂肪g]],表1_4[#Headers],0),)/品牌均值表[[#Totals],[脂肪g]]*100</f>
        <v>99.948390356929153</v>
      </c>
      <c r="K16">
        <f>VLOOKUP($A16,表1[#All],MATCH(表1_4[[#Headers],[亚油酸g]],表1_4[#Headers],0),)/品牌均值表[[#Totals],[亚油酸g]]*100</f>
        <v>77.9987743049752</v>
      </c>
      <c r="L16">
        <f>VLOOKUP($A16,表1[#All],MATCH(表1_4[[#Headers],[a-亚麻酸mg]],表1_4[#Headers],0),)/品牌均值表[[#Totals],[a-亚麻酸mg]]*100</f>
        <v>103.91292475434125</v>
      </c>
      <c r="M16">
        <f>VLOOKUP($A16,表1[#All],MATCH(表1_4[[#Headers],[碳水化合物g]],表1_4[#Headers],0),)/品牌均值表[[#Totals],[碳水化合物g]]*100</f>
        <v>101.18212563205917</v>
      </c>
      <c r="N16">
        <f>VLOOKUP($A16,表1[#All],MATCH(表1_4[[#Headers],[维生素A（ug视黄醇）]],表1_4[#Headers],0),)/品牌均值表[[#Totals],[维生素A（ug视黄醇）]]*100</f>
        <v>89.367524955497885</v>
      </c>
      <c r="O16">
        <f>VLOOKUP($A16,表1[#All],MATCH(表1_4[[#Headers],[维生素D ug]],表1_4[#Headers],0),)/品牌均值表[[#Totals],[维生素D ug]]*100</f>
        <v>140.21669853409816</v>
      </c>
      <c r="P16">
        <f>VLOOKUP($A16,表1[#All],MATCH(表1_4[[#Headers],[维生素E mg]],表1_4[#Headers],0),)/品牌均值表[[#Totals],[维生素E mg]]*100</f>
        <v>97.42519137091162</v>
      </c>
      <c r="Q16">
        <f>VLOOKUP($A16,表1[#All],MATCH(表1_4[[#Headers],[维生素K1 ug]],表1_4[#Headers],0),)/品牌均值表[[#Totals],[维生素K1 ug]]*100</f>
        <v>56.194207180014132</v>
      </c>
      <c r="R16">
        <f>VLOOKUP($A16,表1[#All],MATCH(表1_4[[#Headers],[维生素B1 ug]],表1_4[#Headers],0),)/品牌均值表[[#Totals],[维生素B1 ug]]*100</f>
        <v>70.570527930025833</v>
      </c>
      <c r="S16">
        <f>VLOOKUP($A16,表1[#All],MATCH(表1_4[[#Headers],[维生素B2 ug]],表1_4[#Headers],0),)/品牌均值表[[#Totals],[维生素B2 ug]]*100</f>
        <v>133.28204635061064</v>
      </c>
      <c r="T16">
        <f>VLOOKUP($A16,表1[#All],MATCH(表1_4[[#Headers],[维生素B6 ug]],表1_4[#Headers],0),)/品牌均值表[[#Totals],[维生素B6 ug]]*100</f>
        <v>67.255778241937577</v>
      </c>
      <c r="U16">
        <f>VLOOKUP($A16,表1[#All],MATCH(表1_4[[#Headers],[维生素B12 ug]],表1_4[#Headers],0),)/品牌均值表[[#Totals],[维生素B12 ug]]*100</f>
        <v>43.334709038382165</v>
      </c>
      <c r="V16">
        <f>VLOOKUP($A16,表1[#All],MATCH(表1_4[[#Headers],[烟酸 ug]],表1_4[#Headers],0),)/品牌均值表[[#Totals],[烟酸 ug]]*100</f>
        <v>91.76412407388753</v>
      </c>
      <c r="W16">
        <f>VLOOKUP($A16,表1[#All],MATCH(表1_4[[#Headers],[叶酸 ug]],表1_4[#Headers],0),)/品牌均值表[[#Totals],[叶酸 ug]]*100</f>
        <v>164.09659586848994</v>
      </c>
      <c r="X16">
        <f>VLOOKUP($A16,表1[#All],MATCH(表1_4[[#Headers],[泛酸 ug]],表1_4[#Headers],0),)/品牌均值表[[#Totals],[泛酸 ug]]*100</f>
        <v>105.26860829766973</v>
      </c>
      <c r="Y16">
        <f>VLOOKUP($A16,表1[#All],MATCH(表1_4[[#Headers],[维生素C mg]],表1_4[#Headers],0),)/品牌均值表[[#Totals],[维生素C mg]]*100</f>
        <v>72.884265990760625</v>
      </c>
      <c r="Z16">
        <f>VLOOKUP($A16,表1[#All],MATCH(表1_4[[#Headers],[生物素 ug]],表1_4[#Headers],0),)/品牌均值表[[#Totals],[生物素 ug]]*100</f>
        <v>65.703511785660552</v>
      </c>
      <c r="AA16">
        <f>VLOOKUP($A16,表1[#All],MATCH(表1_4[[#Headers],[钠 mg]],表1_4[#Headers],0),)/品牌均值表[[#Totals],[钠 mg]]*100</f>
        <v>89.885868601052621</v>
      </c>
      <c r="AB16">
        <f>VLOOKUP($A16,表1[#All],MATCH(表1_4[[#Headers],[钾 mg]],表1_4[#Headers],0),)/品牌均值表[[#Totals],[钾 mg]]*100</f>
        <v>78.705778711960804</v>
      </c>
      <c r="AC16">
        <f>VLOOKUP($A16,表1[#All],MATCH(表1_4[[#Headers],[铜 ug]],表1_4[#Headers],0),)/品牌均值表[[#Totals],[铜 ug]]*100</f>
        <v>98.725633405530658</v>
      </c>
      <c r="AD16">
        <f>VLOOKUP($A16,表1[#All],MATCH(表1_4[[#Headers],[镁 mg]],表1_4[#Headers],0),)/品牌均值表[[#Totals],[镁 mg]]*100</f>
        <v>83.159054065759989</v>
      </c>
      <c r="AE16">
        <f>VLOOKUP($A16,表1[#All],MATCH(表1_4[[#Headers],[铁 mg ]],表1_4[#Headers],0),)/品牌均值表[[#Totals],[铁 mg ]]*100</f>
        <v>62.776515604448157</v>
      </c>
      <c r="AF16">
        <f>VLOOKUP($A16,表1[#All],MATCH(表1_4[[#Headers],[锌 mg]],表1_4[#Headers],0),)/品牌均值表[[#Totals],[锌 mg]]*100</f>
        <v>77.972257192418581</v>
      </c>
      <c r="AG16">
        <f>VLOOKUP($A16,表1[#All],MATCH(表1_4[[#Headers],[锰 ug]],表1_4[#Headers],0),)/品牌均值表[[#Totals],[锰 ug]]*100</f>
        <v>63.470315034404933</v>
      </c>
      <c r="AH16">
        <f>VLOOKUP($A16,表1[#All],MATCH(表1_4[[#Headers],[钙mg]],表1_4[#Headers],0),)/品牌均值表[[#Totals],[钙mg]]*100</f>
        <v>77.694348628386876</v>
      </c>
      <c r="AI16">
        <f>VLOOKUP($A16,表1[#All],MATCH(表1_4[[#Headers],[磷 mg]],表1_4[#Headers],0),)/品牌均值表[[#Totals],[磷 mg]]*100</f>
        <v>85.402913662737788</v>
      </c>
      <c r="AJ16">
        <f>VLOOKUP($A16,表1[#All],MATCH(表1_4[[#Headers],[碘 ug]],表1_4[#Headers],0),)/品牌均值表[[#Totals],[碘 ug]]*100</f>
        <v>113.53397008469994</v>
      </c>
      <c r="AK16">
        <f>VLOOKUP($A16,表1[#All],MATCH(表1_4[[#Headers],[氯 mg]],表1_4[#Headers],0),)/品牌均值表[[#Totals],[氯 mg]]*100</f>
        <v>108.67260580665332</v>
      </c>
      <c r="AL16">
        <f>VLOOKUP($A16,表1[#All],MATCH(表1_4[[#Headers],[硒 mg]],表1_4[#Headers],0),)/品牌均值表[[#Totals],[硒 mg]]*100</f>
        <v>109.6733849632017</v>
      </c>
      <c r="AM16">
        <f>VLOOKUP($A16,表1[#All],MATCH(表1_4[[#Headers],[胆碱 mg]],表1_4[#Headers],0),)/品牌均值表[[#Totals],[胆碱 mg]]*100</f>
        <v>133.93586323297217</v>
      </c>
      <c r="AN16">
        <f>VLOOKUP($A16,表1[#All],MATCH(表1_4[[#Headers],[肌醇 mg]],表1_4[#Headers],0),)/品牌均值表[[#Totals],[肌醇 mg]]*100</f>
        <v>69.453631432729196</v>
      </c>
      <c r="AO16">
        <f>VLOOKUP($A16,表1[#All],MATCH(表1_4[[#Headers],[牛磺酸 mg]],表1_4[#Headers],0),)/品牌均值表[[#Totals],[牛磺酸 mg]]*100</f>
        <v>83.480417879120367</v>
      </c>
      <c r="AP16">
        <f>VLOOKUP($A16,表1[#All],MATCH(表1_4[[#Headers],[左旋肉碱 mg]],表1_4[#Headers],0),)/品牌均值表[[#Totals],[左旋肉碱 mg]]*100</f>
        <v>101.26902305590866</v>
      </c>
      <c r="AQ16">
        <f>VLOOKUP($A16,表1[#All],MATCH(表1_4[[#Headers],[二十二碳六烯酸 mg]],表1_4[#Headers],0),)/品牌均值表[[#Totals],[二十二碳六烯酸 mg]]*100</f>
        <v>117.74838913662084</v>
      </c>
      <c r="AR16">
        <f>VLOOKUP($A16,表1[#All],MATCH(表1_4[[#Headers],[二十碳四烯酸 mg]],表1_4[#Headers],0),)/品牌均值表[[#Totals],[二十碳四烯酸 mg]]*100</f>
        <v>88.932882740060776</v>
      </c>
      <c r="AS16">
        <f>VLOOKUP($A16,表1[#All],MATCH(表1_4[[#Headers],[低聚半乳糖 g]],表1_4[#Headers],0),)/表1[[#Totals],[低聚半乳糖 g]]*100</f>
        <v>37.47061128526645</v>
      </c>
      <c r="AT16">
        <f>VLOOKUP($A16,表1[#All],MATCH(表1_4[[#Headers],[低聚果糖 g]],表1_4[#Headers],0),)/表1[[#Totals],[低聚果糖 g]]*50</f>
        <v>26.385224274406333</v>
      </c>
      <c r="AU16">
        <f>VLOOKUP($A16,表1[#All],MATCH(表1_4[[#Headers],[多聚果糖 g]],表1_4[#Headers],0),)/表1[[#Totals],[多聚果糖 g]]*100</f>
        <v>90.497737556561091</v>
      </c>
      <c r="AV16">
        <f>VLOOKUP($A16,表1[#All],MATCH(表1_4[[#Headers],[聚葡萄糖 g]],表1_4[#Headers],0),)/表1[[#Totals],[聚葡萄糖 g]]*100</f>
        <v>0</v>
      </c>
      <c r="AW16">
        <f>VLOOKUP($A16,表1[#All],MATCH(表1_4[[#Headers],[核苷酸 mg]],表1_4[#Headers],0),)/表1[[#Totals],[核苷酸 mg]]*100</f>
        <v>91.292134831460686</v>
      </c>
      <c r="AX16">
        <f>VLOOKUP($A16,表1[#All],MATCH(表1_4[[#Headers],[13二油酸 g]],表1_4[#Headers],0),)/表1[[#Totals],[13二油酸 g]]*100</f>
        <v>78.982300884955748</v>
      </c>
      <c r="AY16">
        <f>VLOOKUP($A16,表1[#All],MATCH(表1_4[[#Headers],[叶黄素 ug]],表1_4[#Headers],0),)/表1[[#Totals],[叶黄素 ug]]*100</f>
        <v>100.9674582233949</v>
      </c>
      <c r="AZ16">
        <f>VLOOKUP($A16,表1[#All],MATCH(表1_4[[#Headers],[乳铁蛋白 mg]],表1_4[#Headers],0),)/表1[[#Totals],[乳铁蛋白 mg]]*100</f>
        <v>0</v>
      </c>
      <c r="BA16">
        <f>VLOOKUP($A16,表1[#All],MATCH(表1_4[[#Headers],[酪蛋白磷酸肽 mg]],表1_4[#Headers],0),)/表1[[#Totals],[酪蛋白磷酸肽 mg]]*100</f>
        <v>166.66666666666669</v>
      </c>
      <c r="BB16">
        <f>VLOOKUP($A16,表1[#All],MATCH(表1_4[[#Headers],[b胡萝卜素 ug]],表1_4[#Headers],0),)/表1[[#Totals],[b胡萝卜素 ug]]*100</f>
        <v>0</v>
      </c>
      <c r="BC16">
        <f>AVERAGE(表1_4[[#This Row],[能量kj]:[碳水化合物g]])</f>
        <v>97.459778372529897</v>
      </c>
      <c r="BD16">
        <f>AVERAGE(N16:Z16,AM16)</f>
        <v>95.092832346494191</v>
      </c>
      <c r="BE16">
        <f>AVERAGE(表1_4[[#This Row],[钠 mg]:[硒 mg]])</f>
        <v>87.472720480104613</v>
      </c>
      <c r="BF16" s="4">
        <f>SUM(表1_4[[#This Row],[肌醇 mg]:[b胡萝卜素 ug]])/SUM(表1_4[[肌醇 mg]:[b胡萝卜素 ug]])*3400</f>
        <v>134.38786182033499</v>
      </c>
      <c r="BG16" s="4">
        <f>0.5*表1_4[[#This Row],[基础能量]]+表1_4[[#This Row],[维生素]]+表1_4[[#This Row],[微量元素]]+表1_4[[#This Row],[加分项]]+IF(COUNTIF(F16,"*A2*"),0.6,0)*表1_4[[#This Row],[基础能量]]</f>
        <v>365.68330383319875</v>
      </c>
      <c r="BH16" s="4">
        <f>表1_4[[#This Row],[总分]]/表1_4[[#This Row],[百克重量]]</f>
        <v>16.2525912814755</v>
      </c>
    </row>
    <row r="17" spans="1:60" ht="64">
      <c r="A17" s="1" t="s">
        <v>4</v>
      </c>
      <c r="B17" s="2" t="s">
        <v>1</v>
      </c>
      <c r="C17" s="2">
        <v>800</v>
      </c>
      <c r="D17" s="2">
        <v>375</v>
      </c>
      <c r="E17" s="2">
        <v>46.88</v>
      </c>
      <c r="F17" s="2" t="s">
        <v>5</v>
      </c>
      <c r="G17" s="2" t="s">
        <v>3</v>
      </c>
      <c r="H17">
        <f>VLOOKUP($A17,表1[#All],MATCH(表1_4[[#Headers],[能量kj]],表1_4[#Headers],0),)/品牌均值表[[#Totals],[能量kj]]*100</f>
        <v>98.025835902021228</v>
      </c>
      <c r="I17">
        <f>VLOOKUP($A17,表1[#All],MATCH(表1_4[[#Headers],[蛋白质g]],表1_4[#Headers],0),)/品牌均值表[[#Totals],[蛋白质g]]*100</f>
        <v>96.734009157397637</v>
      </c>
      <c r="J17">
        <f>VLOOKUP($A17,表1[#All],MATCH(表1_4[[#Headers],[脂肪g]],表1_4[#Headers],0),)/品牌均值表[[#Totals],[脂肪g]]*100</f>
        <v>98.097494239208231</v>
      </c>
      <c r="K17">
        <f>VLOOKUP($A17,表1[#All],MATCH(表1_4[[#Headers],[亚油酸g]],表1_4[#Headers],0),)/品牌均值表[[#Totals],[亚油酸g]]*100</f>
        <v>78.258770219325115</v>
      </c>
      <c r="L17">
        <f>VLOOKUP($A17,表1[#All],MATCH(表1_4[[#Headers],[a-亚麻酸mg]],表1_4[#Headers],0),)/品牌均值表[[#Totals],[a-亚麻酸mg]]*100</f>
        <v>84.519037876226861</v>
      </c>
      <c r="M17">
        <f>VLOOKUP($A17,表1[#All],MATCH(表1_4[[#Headers],[碳水化合物g]],表1_4[#Headers],0),)/品牌均值表[[#Totals],[碳水化合物g]]*100</f>
        <v>95.284442535108553</v>
      </c>
      <c r="N17">
        <f>VLOOKUP($A17,表1[#All],MATCH(表1_4[[#Headers],[维生素A（ug视黄醇）]],表1_4[#Headers],0),)/品牌均值表[[#Totals],[维生素A（ug视黄醇）]]*100</f>
        <v>82.828437763632195</v>
      </c>
      <c r="O17">
        <f>VLOOKUP($A17,表1[#All],MATCH(表1_4[[#Headers],[维生素D ug]],表1_4[#Headers],0),)/品牌均值表[[#Totals],[维生素D ug]]*100</f>
        <v>125.50865323331861</v>
      </c>
      <c r="P17">
        <f>VLOOKUP($A17,表1[#All],MATCH(表1_4[[#Headers],[维生素E mg]],表1_4[#Headers],0),)/品牌均值表[[#Totals],[维生素E mg]]*100</f>
        <v>77.94015309672929</v>
      </c>
      <c r="Q17">
        <f>VLOOKUP($A17,表1[#All],MATCH(表1_4[[#Headers],[维生素K1 ug]],表1_4[#Headers],0),)/品牌均值表[[#Totals],[维生素K1 ug]]*100</f>
        <v>71.92858519041809</v>
      </c>
      <c r="R17">
        <f>VLOOKUP($A17,表1[#All],MATCH(表1_4[[#Headers],[维生素B1 ug]],表1_4[#Headers],0),)/品牌均值表[[#Totals],[维生素B1 ug]]*100</f>
        <v>86.2749552722006</v>
      </c>
      <c r="S17">
        <f>VLOOKUP($A17,表1[#All],MATCH(表1_4[[#Headers],[维生素B2 ug]],表1_4[#Headers],0),)/品牌均值表[[#Totals],[维生素B2 ug]]*100</f>
        <v>114.13008074597744</v>
      </c>
      <c r="T17">
        <f>VLOOKUP($A17,表1[#All],MATCH(表1_4[[#Headers],[维生素B6 ug]],表1_4[#Headers],0),)/品牌均值表[[#Totals],[维生素B6 ug]]*100</f>
        <v>78.122432368364187</v>
      </c>
      <c r="U17">
        <f>VLOOKUP($A17,表1[#All],MATCH(表1_4[[#Headers],[维生素B12 ug]],表1_4[#Headers],0),)/品牌均值表[[#Totals],[维生素B12 ug]]*100</f>
        <v>133.71853074700783</v>
      </c>
      <c r="V17">
        <f>VLOOKUP($A17,表1[#All],MATCH(表1_4[[#Headers],[烟酸 ug]],表1_4[#Headers],0),)/品牌均值表[[#Totals],[烟酸 ug]]*100</f>
        <v>76.570842453270814</v>
      </c>
      <c r="W17">
        <f>VLOOKUP($A17,表1[#All],MATCH(表1_4[[#Headers],[叶酸 ug]],表1_4[#Headers],0),)/品牌均值表[[#Totals],[叶酸 ug]]*100</f>
        <v>93.104451556590035</v>
      </c>
      <c r="X17">
        <f>VLOOKUP($A17,表1[#All],MATCH(表1_4[[#Headers],[泛酸 ug]],表1_4[#Headers],0),)/品牌均值表[[#Totals],[泛酸 ug]]*100</f>
        <v>97.074045975096652</v>
      </c>
      <c r="Y17">
        <f>VLOOKUP($A17,表1[#All],MATCH(表1_4[[#Headers],[维生素C mg]],表1_4[#Headers],0),)/品牌均值表[[#Totals],[维生素C mg]]*100</f>
        <v>83.927336595421338</v>
      </c>
      <c r="Z17">
        <f>VLOOKUP($A17,表1[#All],MATCH(表1_4[[#Headers],[生物素 ug]],表1_4[#Headers],0),)/品牌均值表[[#Totals],[生物素 ug]]*100</f>
        <v>70.709493635996594</v>
      </c>
      <c r="AA17">
        <f>VLOOKUP($A17,表1[#All],MATCH(表1_4[[#Headers],[钠 mg]],表1_4[#Headers],0),)/品牌均值表[[#Totals],[钠 mg]]*100</f>
        <v>115.31410774477145</v>
      </c>
      <c r="AB17">
        <f>VLOOKUP($A17,表1[#All],MATCH(表1_4[[#Headers],[钾 mg]],表1_4[#Headers],0),)/品牌均值表[[#Totals],[钾 mg]]*100</f>
        <v>120.29001746441432</v>
      </c>
      <c r="AC17">
        <f>VLOOKUP($A17,表1[#All],MATCH(表1_4[[#Headers],[铜 ug]],表1_4[#Headers],0),)/品牌均值表[[#Totals],[铜 ug]]*100</f>
        <v>106.05953760137008</v>
      </c>
      <c r="AD17">
        <f>VLOOKUP($A17,表1[#All],MATCH(表1_4[[#Headers],[镁 mg]],表1_4[#Headers],0),)/品牌均值表[[#Totals],[镁 mg]]*100</f>
        <v>93.553935823979984</v>
      </c>
      <c r="AE17">
        <f>VLOOKUP($A17,表1[#All],MATCH(表1_4[[#Headers],[铁 mg ]],表1_4[#Headers],0),)/品牌均值表[[#Totals],[铁 mg ]]*100</f>
        <v>71.146717685041239</v>
      </c>
      <c r="AF17">
        <f>VLOOKUP($A17,表1[#All],MATCH(表1_4[[#Headers],[锌 mg]],表1_4[#Headers],0),)/品牌均值表[[#Totals],[锌 mg]]*100</f>
        <v>80.896216837134276</v>
      </c>
      <c r="AG17">
        <f>VLOOKUP($A17,表1[#All],MATCH(表1_4[[#Headers],[锰 ug]],表1_4[#Headers],0),)/品牌均值表[[#Totals],[锰 ug]]*100</f>
        <v>37.024350436736214</v>
      </c>
      <c r="AH17">
        <f>VLOOKUP($A17,表1[#All],MATCH(表1_4[[#Headers],[钙mg]],表1_4[#Headers],0),)/品牌均值表[[#Totals],[钙mg]]*100</f>
        <v>93.068495353438692</v>
      </c>
      <c r="AI17">
        <f>VLOOKUP($A17,表1[#All],MATCH(表1_4[[#Headers],[磷 mg]],表1_4[#Headers],0),)/品牌均值表[[#Totals],[磷 mg]]*100</f>
        <v>102.91051096359905</v>
      </c>
      <c r="AJ17">
        <f>VLOOKUP($A17,表1[#All],MATCH(表1_4[[#Headers],[碘 ug]],表1_4[#Headers],0),)/品牌均值表[[#Totals],[碘 ug]]*100</f>
        <v>101.63993512344567</v>
      </c>
      <c r="AK17">
        <f>VLOOKUP($A17,表1[#All],MATCH(表1_4[[#Headers],[氯 mg]],表1_4[#Headers],0),)/品牌均值表[[#Totals],[氯 mg]]*100</f>
        <v>127.99218017228058</v>
      </c>
      <c r="AL17">
        <f>VLOOKUP($A17,表1[#All],MATCH(表1_4[[#Headers],[硒 mg]],表1_4[#Headers],0),)/品牌均值表[[#Totals],[硒 mg]]*100</f>
        <v>98.706046466881531</v>
      </c>
      <c r="AM17">
        <f>VLOOKUP($A17,表1[#All],MATCH(表1_4[[#Headers],[胆碱 mg]],表1_4[#Headers],0),)/品牌均值表[[#Totals],[胆碱 mg]]*100</f>
        <v>119.2355855610606</v>
      </c>
      <c r="AN17">
        <f>VLOOKUP($A17,表1[#All],MATCH(表1_4[[#Headers],[肌醇 mg]],表1_4[#Headers],0),)/品牌均值表[[#Totals],[肌醇 mg]]*100</f>
        <v>108.34766503505755</v>
      </c>
      <c r="AO17">
        <f>VLOOKUP($A17,表1[#All],MATCH(表1_4[[#Headers],[牛磺酸 mg]],表1_4[#Headers],0),)/品牌均值表[[#Totals],[牛磺酸 mg]]*100</f>
        <v>113.5333683156037</v>
      </c>
      <c r="AP17">
        <f>VLOOKUP($A17,表1[#All],MATCH(表1_4[[#Headers],[左旋肉碱 mg]],表1_4[#Headers],0),)/品牌均值表[[#Totals],[左旋肉碱 mg]]*100</f>
        <v>140.59679899995083</v>
      </c>
      <c r="AQ17">
        <f>VLOOKUP($A17,表1[#All],MATCH(表1_4[[#Headers],[二十二碳六烯酸 mg]],表1_4[#Headers],0),)/品牌均值表[[#Totals],[二十二碳六烯酸 mg]]*100</f>
        <v>101.39444620097906</v>
      </c>
      <c r="AR17">
        <f>VLOOKUP($A17,表1[#All],MATCH(表1_4[[#Headers],[二十碳四烯酸 mg]],表1_4[#Headers],0),)/品牌均值表[[#Totals],[二十碳四烯酸 mg]]*100</f>
        <v>95.892847476239453</v>
      </c>
      <c r="AS17">
        <f>VLOOKUP($A17,表1[#All],MATCH(表1_4[[#Headers],[低聚半乳糖 g]],表1_4[#Headers],0),)/表1[[#Totals],[低聚半乳糖 g]]*100</f>
        <v>234.08111285266452</v>
      </c>
      <c r="AT17">
        <f>VLOOKUP($A17,表1[#All],MATCH(表1_4[[#Headers],[低聚果糖 g]],表1_4[#Headers],0),)/表1[[#Totals],[低聚果糖 g]]*50</f>
        <v>0</v>
      </c>
      <c r="AU17">
        <f>VLOOKUP($A17,表1[#All],MATCH(表1_4[[#Headers],[多聚果糖 g]],表1_4[#Headers],0),)/表1[[#Totals],[多聚果糖 g]]*100</f>
        <v>108.5972850678733</v>
      </c>
      <c r="AV17">
        <f>VLOOKUP($A17,表1[#All],MATCH(表1_4[[#Headers],[聚葡萄糖 g]],表1_4[#Headers],0),)/表1[[#Totals],[聚葡萄糖 g]]*100</f>
        <v>0</v>
      </c>
      <c r="AW17">
        <f>VLOOKUP($A17,表1[#All],MATCH(表1_4[[#Headers],[核苷酸 mg]],表1_4[#Headers],0),)/表1[[#Totals],[核苷酸 mg]]*100</f>
        <v>65.730337078651687</v>
      </c>
      <c r="AX17">
        <f>VLOOKUP($A17,表1[#All],MATCH(表1_4[[#Headers],[13二油酸 g]],表1_4[#Headers],0),)/表1[[#Totals],[13二油酸 g]]*100</f>
        <v>0</v>
      </c>
      <c r="AY17">
        <f>VLOOKUP($A17,表1[#All],MATCH(表1_4[[#Headers],[叶黄素 ug]],表1_4[#Headers],0),)/表1[[#Totals],[叶黄素 ug]]*100</f>
        <v>0</v>
      </c>
      <c r="AZ17">
        <f>VLOOKUP($A17,表1[#All],MATCH(表1_4[[#Headers],[乳铁蛋白 mg]],表1_4[#Headers],0),)/表1[[#Totals],[乳铁蛋白 mg]]*100</f>
        <v>0</v>
      </c>
      <c r="BA17">
        <f>VLOOKUP($A17,表1[#All],MATCH(表1_4[[#Headers],[酪蛋白磷酸肽 mg]],表1_4[#Headers],0),)/表1[[#Totals],[酪蛋白磷酸肽 mg]]*100</f>
        <v>0</v>
      </c>
      <c r="BB17">
        <f>VLOOKUP($A17,表1[#All],MATCH(表1_4[[#Headers],[b胡萝卜素 ug]],表1_4[#Headers],0),)/表1[[#Totals],[b胡萝卜素 ug]]*100</f>
        <v>0</v>
      </c>
      <c r="BC17">
        <f>AVERAGE(表1_4[[#This Row],[能量kj]:[碳水化合物g]])</f>
        <v>91.819931654881273</v>
      </c>
      <c r="BD17">
        <f>AVERAGE(N17:Z17,AM17)</f>
        <v>93.648113156791737</v>
      </c>
      <c r="BE17">
        <f>AVERAGE(表1_4[[#This Row],[钠 mg]:[硒 mg]])</f>
        <v>95.71683763942444</v>
      </c>
      <c r="BF17" s="4">
        <f>SUM(表1_4[[#This Row],[肌醇 mg]:[b胡萝卜素 ug]])/SUM(表1_4[[肌醇 mg]:[b胡萝卜素 ug]])*3400</f>
        <v>123.54484183900733</v>
      </c>
      <c r="BG17" s="4">
        <f>0.5*表1_4[[#This Row],[基础能量]]+表1_4[[#This Row],[维生素]]+表1_4[[#This Row],[微量元素]]+表1_4[[#This Row],[加分项]]+IF(COUNTIF(F17,"*A2*"),0.6,0)*表1_4[[#This Row],[基础能量]]</f>
        <v>358.81975846266414</v>
      </c>
      <c r="BH17" s="4">
        <f>表1_4[[#This Row],[总分]]/表1_4[[#This Row],[百克重量]]</f>
        <v>7.6540050866609244</v>
      </c>
    </row>
    <row r="18" spans="1:60" ht="48">
      <c r="A18" s="1" t="s">
        <v>32</v>
      </c>
      <c r="B18" s="2" t="s">
        <v>33</v>
      </c>
      <c r="C18" s="2">
        <v>808</v>
      </c>
      <c r="D18" s="2">
        <v>182</v>
      </c>
      <c r="E18" s="2">
        <v>22.52</v>
      </c>
      <c r="F18" s="2" t="s">
        <v>29</v>
      </c>
      <c r="G18" s="2" t="s">
        <v>3</v>
      </c>
      <c r="H18">
        <f>VLOOKUP($A18,表1[#All],MATCH(表1_4[[#Headers],[能量kj]],表1_4[#Headers],0),)/品牌均值表[[#Totals],[能量kj]]*100</f>
        <v>100.56707216640393</v>
      </c>
      <c r="I18">
        <f>VLOOKUP($A18,表1[#All],MATCH(表1_4[[#Headers],[蛋白质g]],表1_4[#Headers],0),)/品牌均值表[[#Totals],[蛋白质g]]*100</f>
        <v>103.24495208145323</v>
      </c>
      <c r="J18">
        <f>VLOOKUP($A18,表1[#All],MATCH(表1_4[[#Headers],[脂肪g]],表1_4[#Headers],0),)/品牌均值表[[#Totals],[脂肪g]]*100</f>
        <v>101.05892802756169</v>
      </c>
      <c r="K18">
        <f>VLOOKUP($A18,表1[#All],MATCH(表1_4[[#Headers],[亚油酸g]],表1_4[#Headers],0),)/品牌均值表[[#Totals],[亚油酸g]]*100</f>
        <v>101.39840659646777</v>
      </c>
      <c r="L18">
        <f>VLOOKUP($A18,表1[#All],MATCH(表1_4[[#Headers],[a-亚麻酸mg]],表1_4[#Headers],0),)/品牌均值表[[#Totals],[a-亚麻酸mg]]*100</f>
        <v>117.32104407748206</v>
      </c>
      <c r="M18">
        <f>VLOOKUP($A18,表1[#All],MATCH(表1_4[[#Headers],[碳水化合物g]],表1_4[#Headers],0),)/品牌均值表[[#Totals],[碳水化合物g]]*100</f>
        <v>100.26061264816065</v>
      </c>
      <c r="N18">
        <f>VLOOKUP($A18,表1[#All],MATCH(表1_4[[#Headers],[维生素A（ug视黄醇）]],表1_4[#Headers],0),)/品牌均值表[[#Totals],[维生素A（ug视黄醇）]]*100</f>
        <v>89.367524955497885</v>
      </c>
      <c r="O18">
        <f>VLOOKUP($A18,表1[#All],MATCH(表1_4[[#Headers],[维生素D ug]],表1_4[#Headers],0),)/品牌均值表[[#Totals],[维生素D ug]]*100</f>
        <v>139.23616218071282</v>
      </c>
      <c r="P18">
        <f>VLOOKUP($A18,表1[#All],MATCH(表1_4[[#Headers],[维生素E mg]],表1_4[#Headers],0),)/品牌均值表[[#Totals],[维生素E mg]]*100</f>
        <v>97.42519137091162</v>
      </c>
      <c r="Q18">
        <f>VLOOKUP($A18,表1[#All],MATCH(表1_4[[#Headers],[维生素K1 ug]],表1_4[#Headers],0),)/品牌均值表[[#Totals],[维生素K1 ug]]*100</f>
        <v>58.441975467214704</v>
      </c>
      <c r="R18">
        <f>VLOOKUP($A18,表1[#All],MATCH(表1_4[[#Headers],[维生素B1 ug]],表1_4[#Headers],0),)/品牌均值表[[#Totals],[维生素B1 ug]]*100</f>
        <v>101.38301195581177</v>
      </c>
      <c r="S18">
        <f>VLOOKUP($A18,表1[#All],MATCH(表1_4[[#Headers],[维生素B2 ug]],表1_4[#Headers],0),)/品牌均值表[[#Totals],[维生素B2 ug]]*100</f>
        <v>150.8705861916003</v>
      </c>
      <c r="T18">
        <f>VLOOKUP($A18,表1[#All],MATCH(表1_4[[#Headers],[维生素B6 ug]],表1_4[#Headers],0),)/品牌均值表[[#Totals],[维生素B6 ug]]*100</f>
        <v>94.862953590156508</v>
      </c>
      <c r="U18">
        <f>VLOOKUP($A18,表1[#All],MATCH(表1_4[[#Headers],[维生素B12 ug]],表1_4[#Headers],0),)/品牌均值表[[#Totals],[维生素B12 ug]]*100</f>
        <v>43.334709038382165</v>
      </c>
      <c r="V18">
        <f>VLOOKUP($A18,表1[#All],MATCH(表1_4[[#Headers],[烟酸 ug]],表1_4[#Headers],0),)/品牌均值表[[#Totals],[烟酸 ug]]*100</f>
        <v>90.115666755194937</v>
      </c>
      <c r="W18">
        <f>VLOOKUP($A18,表1[#All],MATCH(表1_4[[#Headers],[叶酸 ug]],表1_4[#Headers],0),)/品牌均值表[[#Totals],[叶酸 ug]]*100</f>
        <v>157.1137620017457</v>
      </c>
      <c r="X18">
        <f>VLOOKUP($A18,表1[#All],MATCH(表1_4[[#Headers],[泛酸 ug]],表1_4[#Headers],0),)/品牌均值表[[#Totals],[泛酸 ug]]*100</f>
        <v>106.52931019345021</v>
      </c>
      <c r="Y18">
        <f>VLOOKUP($A18,表1[#All],MATCH(表1_4[[#Headers],[维生素C mg]],表1_4[#Headers],0),)/品牌均值表[[#Totals],[维生素C mg]]*100</f>
        <v>115.95224134893736</v>
      </c>
      <c r="Z18">
        <f>VLOOKUP($A18,表1[#All],MATCH(表1_4[[#Headers],[生物素 ug]],表1_4[#Headers],0),)/品牌均值表[[#Totals],[生物素 ug]]*100</f>
        <v>65.703511785660552</v>
      </c>
      <c r="AA18">
        <f>VLOOKUP($A18,表1[#All],MATCH(表1_4[[#Headers],[钠 mg]],表1_4[#Headers],0),)/品牌均值表[[#Totals],[钠 mg]]*100</f>
        <v>92.842640594508296</v>
      </c>
      <c r="AB18">
        <f>VLOOKUP($A18,表1[#All],MATCH(表1_4[[#Headers],[钾 mg]],表1_4[#Headers],0),)/品牌均值表[[#Totals],[钾 mg]]*100</f>
        <v>80.531428218166084</v>
      </c>
      <c r="AC18">
        <f>VLOOKUP($A18,表1[#All],MATCH(表1_4[[#Headers],[铜 ug]],表1_4[#Headers],0),)/品牌均值表[[#Totals],[铜 ug]]*100</f>
        <v>98.725633405530658</v>
      </c>
      <c r="AD18">
        <f>VLOOKUP($A18,表1[#All],MATCH(表1_4[[#Headers],[镁 mg]],表1_4[#Headers],0),)/品牌均值表[[#Totals],[镁 mg]]*100</f>
        <v>85.757774505314984</v>
      </c>
      <c r="AE18">
        <f>VLOOKUP($A18,表1[#All],MATCH(表1_4[[#Headers],[铁 mg ]],表1_4[#Headers],0),)/品牌均值表[[#Totals],[铁 mg ]]*100</f>
        <v>62.776515604448157</v>
      </c>
      <c r="AF18">
        <f>VLOOKUP($A18,表1[#All],MATCH(表1_4[[#Headers],[锌 mg]],表1_4[#Headers],0),)/品牌均值表[[#Totals],[锌 mg]]*100</f>
        <v>77.972257192418581</v>
      </c>
      <c r="AG18">
        <f>VLOOKUP($A18,表1[#All],MATCH(表1_4[[#Headers],[锰 ug]],表1_4[#Headers],0),)/品牌均值表[[#Totals],[锰 ug]]*100</f>
        <v>62.41247645049819</v>
      </c>
      <c r="AH18">
        <f>VLOOKUP($A18,表1[#All],MATCH(表1_4[[#Headers],[钙mg]],表1_4[#Headers],0),)/品牌均值表[[#Totals],[钙mg]]*100</f>
        <v>74.948965284627619</v>
      </c>
      <c r="AI18">
        <f>VLOOKUP($A18,表1[#All],MATCH(表1_4[[#Headers],[磷 mg]],表1_4[#Headers],0),)/品牌均值表[[#Totals],[磷 mg]]*100</f>
        <v>86.683957367678872</v>
      </c>
      <c r="AJ18">
        <f>VLOOKUP($A18,表1[#All],MATCH(表1_4[[#Headers],[碘 ug]],表1_4[#Headers],0),)/品牌均值表[[#Totals],[碘 ug]]*100</f>
        <v>113.53397008469994</v>
      </c>
      <c r="AK18">
        <f>VLOOKUP($A18,表1[#All],MATCH(表1_4[[#Headers],[氯 mg]],表1_4[#Headers],0),)/品牌均值表[[#Totals],[氯 mg]]*100</f>
        <v>105.65392231202406</v>
      </c>
      <c r="AL18">
        <f>VLOOKUP($A18,表1[#All],MATCH(表1_4[[#Headers],[硒 mg]],表1_4[#Headers],0),)/品牌均值表[[#Totals],[硒 mg]]*100</f>
        <v>92.35653470585406</v>
      </c>
      <c r="AM18">
        <f>VLOOKUP($A18,表1[#All],MATCH(表1_4[[#Headers],[胆碱 mg]],表1_4[#Headers],0),)/品牌均值表[[#Totals],[胆碱 mg]]*100</f>
        <v>131.48581695432026</v>
      </c>
      <c r="AN18">
        <f>VLOOKUP($A18,表1[#All],MATCH(表1_4[[#Headers],[肌醇 mg]],表1_4[#Headers],0),)/品牌均值表[[#Totals],[肌醇 mg]]*100</f>
        <v>72.231776690038359</v>
      </c>
      <c r="AO18">
        <f>VLOOKUP($A18,表1[#All],MATCH(表1_4[[#Headers],[牛磺酸 mg]],表1_4[#Headers],0),)/品牌均值表[[#Totals],[牛磺酸 mg]]*100</f>
        <v>90.15885130945</v>
      </c>
      <c r="AP18">
        <f>VLOOKUP($A18,表1[#All],MATCH(表1_4[[#Headers],[左旋肉碱 mg]],表1_4[#Headers],0),)/品牌均值表[[#Totals],[左旋肉碱 mg]]*100</f>
        <v>103.23541185311076</v>
      </c>
      <c r="AQ18">
        <f>VLOOKUP($A18,表1[#All],MATCH(表1_4[[#Headers],[二十二碳六烯酸 mg]],表1_4[#Headers],0),)/品牌均值表[[#Totals],[二十二碳六烯酸 mg]]*100</f>
        <v>114.47760054949249</v>
      </c>
      <c r="AR18">
        <f>VLOOKUP($A18,表1[#All],MATCH(表1_4[[#Headers],[二十碳四烯酸 mg]],表1_4[#Headers],0),)/品牌均值表[[#Totals],[二十碳四烯酸 mg]]*100</f>
        <v>95.892847476239453</v>
      </c>
      <c r="AS18">
        <f>VLOOKUP($A18,表1[#All],MATCH(表1_4[[#Headers],[低聚半乳糖 g]],表1_4[#Headers],0),)/表1[[#Totals],[低聚半乳糖 g]]*100</f>
        <v>37.47061128526645</v>
      </c>
      <c r="AT18">
        <f>VLOOKUP($A18,表1[#All],MATCH(表1_4[[#Headers],[低聚果糖 g]],表1_4[#Headers],0),)/表1[[#Totals],[低聚果糖 g]]*50</f>
        <v>56.068601583113441</v>
      </c>
      <c r="AU18">
        <f>VLOOKUP($A18,表1[#All],MATCH(表1_4[[#Headers],[多聚果糖 g]],表1_4[#Headers],0),)/表1[[#Totals],[多聚果糖 g]]*100</f>
        <v>0</v>
      </c>
      <c r="AV18">
        <f>VLOOKUP($A18,表1[#All],MATCH(表1_4[[#Headers],[聚葡萄糖 g]],表1_4[#Headers],0),)/表1[[#Totals],[聚葡萄糖 g]]*100</f>
        <v>0</v>
      </c>
      <c r="AW18">
        <f>VLOOKUP($A18,表1[#All],MATCH(表1_4[[#Headers],[核苷酸 mg]],表1_4[#Headers],0),)/表1[[#Totals],[核苷酸 mg]]*100</f>
        <v>127.80898876404494</v>
      </c>
      <c r="AX18">
        <f>VLOOKUP($A18,表1[#All],MATCH(表1_4[[#Headers],[13二油酸 g]],表1_4[#Headers],0),)/表1[[#Totals],[13二油酸 g]]*100</f>
        <v>122.23451327433628</v>
      </c>
      <c r="AY18">
        <f>VLOOKUP($A18,表1[#All],MATCH(表1_4[[#Headers],[叶黄素 ug]],表1_4[#Headers],0),)/表1[[#Totals],[叶黄素 ug]]*100</f>
        <v>100.9674582233949</v>
      </c>
      <c r="AZ18">
        <f>VLOOKUP($A18,表1[#All],MATCH(表1_4[[#Headers],[乳铁蛋白 mg]],表1_4[#Headers],0),)/表1[[#Totals],[乳铁蛋白 mg]]*100</f>
        <v>0</v>
      </c>
      <c r="BA18">
        <f>VLOOKUP($A18,表1[#All],MATCH(表1_4[[#Headers],[酪蛋白磷酸肽 mg]],表1_4[#Headers],0),)/表1[[#Totals],[酪蛋白磷酸肽 mg]]*100</f>
        <v>0</v>
      </c>
      <c r="BB18">
        <f>VLOOKUP($A18,表1[#All],MATCH(表1_4[[#Headers],[b胡萝卜素 ug]],表1_4[#Headers],0),)/表1[[#Totals],[b胡萝卜素 ug]]*100</f>
        <v>0</v>
      </c>
      <c r="BC18">
        <f>AVERAGE(表1_4[[#This Row],[能量kj]:[碳水化合物g]])</f>
        <v>103.97516926625489</v>
      </c>
      <c r="BD18">
        <f>AVERAGE(N18:Z18,AM18)</f>
        <v>102.9873159849712</v>
      </c>
      <c r="BE18">
        <f>AVERAGE(表1_4[[#This Row],[钠 mg]:[硒 mg]])</f>
        <v>86.183006310480792</v>
      </c>
      <c r="BF18" s="4">
        <f>SUM(表1_4[[#This Row],[肌醇 mg]:[b胡萝卜素 ug]])/SUM(表1_4[[肌醇 mg]:[b胡萝卜素 ug]])*3400</f>
        <v>117.46732298585145</v>
      </c>
      <c r="BG18" s="4">
        <f>0.5*表1_4[[#This Row],[基础能量]]+表1_4[[#This Row],[维生素]]+表1_4[[#This Row],[微量元素]]+表1_4[[#This Row],[加分项]]+IF(COUNTIF(F18,"*A2*"),0.6,0)*表1_4[[#This Row],[基础能量]]</f>
        <v>358.62522991443092</v>
      </c>
      <c r="BH18" s="4">
        <f>表1_4[[#This Row],[总分]]/表1_4[[#This Row],[百克重量]]</f>
        <v>15.924743779504038</v>
      </c>
    </row>
    <row r="19" spans="1:60" ht="48">
      <c r="A19" s="1" t="s">
        <v>55</v>
      </c>
      <c r="B19" s="2" t="s">
        <v>9</v>
      </c>
      <c r="C19" s="2">
        <v>900</v>
      </c>
      <c r="D19" s="2">
        <v>228</v>
      </c>
      <c r="E19" s="2">
        <v>25.33</v>
      </c>
      <c r="F19" s="2" t="s">
        <v>29</v>
      </c>
      <c r="G19" s="2" t="s">
        <v>56</v>
      </c>
      <c r="H19">
        <f>VLOOKUP($A19,表1[#All],MATCH(表1_4[[#Headers],[能量kj]],表1_4[#Headers],0),)/品牌均值表[[#Totals],[能量kj]]*100</f>
        <v>101.03767147462295</v>
      </c>
      <c r="I19">
        <f>VLOOKUP($A19,表1[#All],MATCH(表1_4[[#Headers],[蛋白质g]],表1_4[#Headers],0),)/品牌均值表[[#Totals],[蛋白质g]]*100</f>
        <v>97.664143860834145</v>
      </c>
      <c r="J19">
        <f>VLOOKUP($A19,表1[#All],MATCH(表1_4[[#Headers],[脂肪g]],表1_4[#Headers],0),)/品牌均值表[[#Totals],[脂肪g]]*100</f>
        <v>98.097494239208231</v>
      </c>
      <c r="K19">
        <f>VLOOKUP($A19,表1[#All],MATCH(表1_4[[#Headers],[亚油酸g]],表1_4[#Headers],0),)/品牌均值表[[#Totals],[亚油酸g]]*100</f>
        <v>98.798447452968588</v>
      </c>
      <c r="L19">
        <f>VLOOKUP($A19,表1[#All],MATCH(表1_4[[#Headers],[a-亚麻酸mg]],表1_4[#Headers],0),)/品牌均值表[[#Totals],[a-亚麻酸mg]]*100</f>
        <v>101.27918703015285</v>
      </c>
      <c r="M19">
        <f>VLOOKUP($A19,表1[#All],MATCH(表1_4[[#Headers],[碳水化合物g]],表1_4[#Headers],0),)/品牌均值表[[#Totals],[碳水化合物g]]*100</f>
        <v>104.4995723740939</v>
      </c>
      <c r="N19">
        <f>VLOOKUP($A19,表1[#All],MATCH(表1_4[[#Headers],[维生素A（ug视黄醇）]],表1_4[#Headers],0),)/品牌均值表[[#Totals],[维生素A（ug视黄醇）]]*100</f>
        <v>87.187829224875983</v>
      </c>
      <c r="O19">
        <f>VLOOKUP($A19,表1[#All],MATCH(表1_4[[#Headers],[维生素D ug]],表1_4[#Headers],0),)/品牌均值表[[#Totals],[维生素D ug]]*100</f>
        <v>127.46972594008921</v>
      </c>
      <c r="P19">
        <f>VLOOKUP($A19,表1[#All],MATCH(表1_4[[#Headers],[维生素E mg]],表1_4[#Headers],0),)/品牌均值表[[#Totals],[维生素E mg]]*100</f>
        <v>83.507306889352819</v>
      </c>
      <c r="Q19">
        <f>VLOOKUP($A19,表1[#All],MATCH(表1_4[[#Headers],[维生素K1 ug]],表1_4[#Headers],0),)/品牌均值表[[#Totals],[维生素K1 ug]]*100</f>
        <v>123.62725579603109</v>
      </c>
      <c r="R19">
        <f>VLOOKUP($A19,表1[#All],MATCH(表1_4[[#Headers],[维生素B1 ug]],表1_4[#Headers],0),)/品牌均值表[[#Totals],[维生素B1 ug]]*100</f>
        <v>121.26203390793174</v>
      </c>
      <c r="S19">
        <f>VLOOKUP($A19,表1[#All],MATCH(表1_4[[#Headers],[维生素B2 ug]],表1_4[#Headers],0),)/品牌均值表[[#Totals],[维生素B2 ug]]*100</f>
        <v>78.171288182176326</v>
      </c>
      <c r="T19">
        <f>VLOOKUP($A19,表1[#All],MATCH(表1_4[[#Headers],[维生素B6 ug]],表1_4[#Headers],0),)/品牌均值表[[#Totals],[维生素B6 ug]]*100</f>
        <v>1.1747734190731456</v>
      </c>
      <c r="U19">
        <f>VLOOKUP($A19,表1[#All],MATCH(表1_4[[#Headers],[维生素B12 ug]],表1_4[#Headers],0),)/品牌均值表[[#Totals],[维生素B12 ug]]*100</f>
        <v>92.860090796533214</v>
      </c>
      <c r="V19">
        <f>VLOOKUP($A19,表1[#All],MATCH(表1_4[[#Headers],[烟酸 ug]],表1_4[#Headers],0),)/品牌均值表[[#Totals],[烟酸 ug]]*100</f>
        <v>112.64458344399367</v>
      </c>
      <c r="W19">
        <f>VLOOKUP($A19,表1[#All],MATCH(表1_4[[#Headers],[叶酸 ug]],表1_4[#Headers],0),)/品牌均值表[[#Totals],[叶酸 ug]]*100</f>
        <v>83.794006400931025</v>
      </c>
      <c r="X19">
        <f>VLOOKUP($A19,表1[#All],MATCH(表1_4[[#Headers],[泛酸 ug]],表1_4[#Headers],0),)/品牌均值表[[#Totals],[泛酸 ug]]*100</f>
        <v>95.246028226214946</v>
      </c>
      <c r="Y19">
        <f>VLOOKUP($A19,表1[#All],MATCH(表1_4[[#Headers],[维生素C mg]],表1_4[#Headers],0),)/品牌均值表[[#Totals],[维生素C mg]]*100</f>
        <v>78.405801293090988</v>
      </c>
      <c r="Z19">
        <f>VLOOKUP($A19,表1[#All],MATCH(表1_4[[#Headers],[生物素 ug]],表1_4[#Headers],0),)/品牌均值表[[#Totals],[生物素 ug]]*100</f>
        <v>93.862159693800777</v>
      </c>
      <c r="AA19">
        <f>VLOOKUP($A19,表1[#All],MATCH(表1_4[[#Headers],[钠 mg]],表1_4[#Headers],0),)/品牌均值表[[#Totals],[钠 mg]]*100</f>
        <v>103.48701977094873</v>
      </c>
      <c r="AB19">
        <f>VLOOKUP($A19,表1[#All],MATCH(表1_4[[#Headers],[钾 mg]],表1_4[#Headers],0),)/品牌均值表[[#Totals],[钾 mg]]*100</f>
        <v>81.139978053567845</v>
      </c>
      <c r="AC19">
        <f>VLOOKUP($A19,表1[#All],MATCH(表1_4[[#Headers],[铜 ug]],表1_4[#Headers],0),)/品牌均值表[[#Totals],[铜 ug]]*100</f>
        <v>101.54636578854581</v>
      </c>
      <c r="AD19">
        <f>VLOOKUP($A19,表1[#All],MATCH(表1_4[[#Headers],[镁 mg]],表1_4[#Headers],0),)/品牌均值表[[#Totals],[镁 mg]]*100</f>
        <v>77.961613186649998</v>
      </c>
      <c r="AE19">
        <f>VLOOKUP($A19,表1[#All],MATCH(表1_4[[#Headers],[铁 mg ]],表1_4[#Headers],0),)/品牌均值表[[#Totals],[铁 mg ]]*100</f>
        <v>94.164773406672239</v>
      </c>
      <c r="AF19">
        <f>VLOOKUP($A19,表1[#All],MATCH(表1_4[[#Headers],[锌 mg]],表1_4[#Headers],0),)/品牌均值表[[#Totals],[锌 mg]]*100</f>
        <v>97.465321490523209</v>
      </c>
      <c r="AG19">
        <f>VLOOKUP($A19,表1[#All],MATCH(表1_4[[#Headers],[锰 ug]],表1_4[#Headers],0),)/品牌均值表[[#Totals],[锰 ug]]*100</f>
        <v>45.487059107990206</v>
      </c>
      <c r="AH19">
        <f>VLOOKUP($A19,表1[#All],MATCH(表1_4[[#Headers],[钙mg]],表1_4[#Headers],0),)/品牌均值表[[#Totals],[钙mg]]*100</f>
        <v>96.088417031573869</v>
      </c>
      <c r="AI19">
        <f>VLOOKUP($A19,表1[#All],MATCH(表1_4[[#Headers],[磷 mg]],表1_4[#Headers],0),)/品牌均值表[[#Totals],[磷 mg]]*100</f>
        <v>89.673059345874691</v>
      </c>
      <c r="AJ19">
        <f>VLOOKUP($A19,表1[#All],MATCH(表1_4[[#Headers],[碘 ug]],表1_4[#Headers],0),)/品牌均值表[[#Totals],[碘 ug]]*100</f>
        <v>114.61524599026851</v>
      </c>
      <c r="AK19">
        <f>VLOOKUP($A19,表1[#All],MATCH(表1_4[[#Headers],[氯 mg]],表1_4[#Headers],0),)/品牌均值表[[#Totals],[氯 mg]]*100</f>
        <v>90.560504838877776</v>
      </c>
      <c r="AL19">
        <f>VLOOKUP($A19,表1[#All],MATCH(表1_4[[#Headers],[硒 mg]],表1_4[#Headers],0),)/品牌均值表[[#Totals],[硒 mg]]*100</f>
        <v>109.6733849632017</v>
      </c>
      <c r="AM19">
        <f>VLOOKUP($A19,表1[#All],MATCH(表1_4[[#Headers],[胆碱 mg]],表1_4[#Headers],0),)/品牌均值表[[#Totals],[胆碱 mg]]*100</f>
        <v>175.58664997005496</v>
      </c>
      <c r="AN19">
        <f>VLOOKUP($A19,表1[#All],MATCH(表1_4[[#Headers],[肌醇 mg]],表1_4[#Headers],0),)/品牌均值表[[#Totals],[肌醇 mg]]*100</f>
        <v>111.12581029236672</v>
      </c>
      <c r="AO19">
        <f>VLOOKUP($A19,表1[#All],MATCH(表1_4[[#Headers],[牛磺酸 mg]],表1_4[#Headers],0),)/品牌均值表[[#Totals],[牛磺酸 mg]]*100</f>
        <v>126.89023517626295</v>
      </c>
      <c r="AP19">
        <f>VLOOKUP($A19,表1[#All],MATCH(表1_4[[#Headers],[左旋肉碱 mg]],表1_4[#Headers],0),)/品牌均值表[[#Totals],[左旋肉碱 mg]]*100</f>
        <v>88.487495874094932</v>
      </c>
      <c r="AQ19">
        <f>VLOOKUP($A19,表1[#All],MATCH(表1_4[[#Headers],[二十二碳六烯酸 mg]],表1_4[#Headers],0),)/品牌均值表[[#Totals],[二十二碳六烯酸 mg]]*100</f>
        <v>105.75549765048355</v>
      </c>
      <c r="AR19">
        <f>VLOOKUP($A19,表1[#All],MATCH(表1_4[[#Headers],[二十碳四烯酸 mg]],表1_4[#Headers],0),)/品牌均值表[[#Totals],[二十碳四烯酸 mg]]*100</f>
        <v>127.52202055509585</v>
      </c>
      <c r="AS19">
        <f>VLOOKUP($A19,表1[#All],MATCH(表1_4[[#Headers],[低聚半乳糖 g]],表1_4[#Headers],0),)/表1[[#Totals],[低聚半乳糖 g]]*100</f>
        <v>119.02429467084639</v>
      </c>
      <c r="AT19">
        <f>VLOOKUP($A19,表1[#All],MATCH(表1_4[[#Headers],[低聚果糖 g]],表1_4[#Headers],0),)/表1[[#Totals],[低聚果糖 g]]*50</f>
        <v>19.788918205804745</v>
      </c>
      <c r="AU19">
        <f>VLOOKUP($A19,表1[#All],MATCH(表1_4[[#Headers],[多聚果糖 g]],表1_4[#Headers],0),)/表1[[#Totals],[多聚果糖 g]]*100</f>
        <v>0</v>
      </c>
      <c r="AV19">
        <f>VLOOKUP($A19,表1[#All],MATCH(表1_4[[#Headers],[聚葡萄糖 g]],表1_4[#Headers],0),)/表1[[#Totals],[聚葡萄糖 g]]*100</f>
        <v>0</v>
      </c>
      <c r="AW19">
        <f>VLOOKUP($A19,表1[#All],MATCH(表1_4[[#Headers],[核苷酸 mg]],表1_4[#Headers],0),)/表1[[#Totals],[核苷酸 mg]]*100</f>
        <v>109.55056179775282</v>
      </c>
      <c r="AX19">
        <f>VLOOKUP($A19,表1[#All],MATCH(表1_4[[#Headers],[13二油酸 g]],表1_4[#Headers],0),)/表1[[#Totals],[13二油酸 g]]*100</f>
        <v>0</v>
      </c>
      <c r="AY19">
        <f>VLOOKUP($A19,表1[#All],MATCH(表1_4[[#Headers],[叶黄素 ug]],表1_4[#Headers],0),)/表1[[#Totals],[叶黄素 ug]]*100</f>
        <v>81.266490765171511</v>
      </c>
      <c r="AZ19">
        <f>VLOOKUP($A19,表1[#All],MATCH(表1_4[[#Headers],[乳铁蛋白 mg]],表1_4[#Headers],0),)/表1[[#Totals],[乳铁蛋白 mg]]*100</f>
        <v>28.612716763005778</v>
      </c>
      <c r="BA19">
        <f>VLOOKUP($A19,表1[#All],MATCH(表1_4[[#Headers],[酪蛋白磷酸肽 mg]],表1_4[#Headers],0),)/表1[[#Totals],[酪蛋白磷酸肽 mg]]*100</f>
        <v>0</v>
      </c>
      <c r="BB19">
        <f>VLOOKUP($A19,表1[#All],MATCH(表1_4[[#Headers],[b胡萝卜素 ug]],表1_4[#Headers],0),)/表1[[#Totals],[b胡萝卜素 ug]]*100</f>
        <v>0</v>
      </c>
      <c r="BC19">
        <f>AVERAGE(表1_4[[#This Row],[能量kj]:[碳水化合物g]])</f>
        <v>100.22941940531346</v>
      </c>
      <c r="BD19">
        <f>AVERAGE(N19:Z19,AM19)</f>
        <v>96.771395227439271</v>
      </c>
      <c r="BE19">
        <f>AVERAGE(表1_4[[#This Row],[钠 mg]:[硒 mg]])</f>
        <v>91.82189524789122</v>
      </c>
      <c r="BF19" s="4">
        <f>SUM(表1_4[[#This Row],[肌醇 mg]:[b胡萝卜素 ug]])/SUM(表1_4[[肌醇 mg]:[b胡萝卜素 ug]])*3400</f>
        <v>117.14542150746426</v>
      </c>
      <c r="BG19" s="4">
        <f>0.5*表1_4[[#This Row],[基础能量]]+表1_4[[#This Row],[维生素]]+表1_4[[#This Row],[微量元素]]+表1_4[[#This Row],[加分项]]+IF(COUNTIF(F19,"*A2*"),0.6,0)*表1_4[[#This Row],[基础能量]]</f>
        <v>355.85342168545151</v>
      </c>
      <c r="BH19" s="4">
        <f>表1_4[[#This Row],[总分]]/表1_4[[#This Row],[百克重量]]</f>
        <v>14.048694105229037</v>
      </c>
    </row>
    <row r="20" spans="1:60" ht="48">
      <c r="A20" s="1" t="s">
        <v>36</v>
      </c>
      <c r="B20" s="2" t="s">
        <v>33</v>
      </c>
      <c r="C20" s="2">
        <v>800</v>
      </c>
      <c r="D20" s="2">
        <v>276</v>
      </c>
      <c r="E20" s="2">
        <v>34.5</v>
      </c>
      <c r="F20" s="2" t="s">
        <v>29</v>
      </c>
      <c r="G20" s="2" t="s">
        <v>3</v>
      </c>
      <c r="H20">
        <f>VLOOKUP($A20,表1[#All],MATCH(表1_4[[#Headers],[能量kj]],表1_4[#Headers],0),)/品牌均值表[[#Totals],[能量kj]]*100</f>
        <v>99.155274241746866</v>
      </c>
      <c r="I20">
        <f>VLOOKUP($A20,表1[#All],MATCH(表1_4[[#Headers],[蛋白质g]],表1_4[#Headers],0),)/品牌均值表[[#Totals],[蛋白质g]]*100</f>
        <v>97.664143860834145</v>
      </c>
      <c r="J20">
        <f>VLOOKUP($A20,表1[#All],MATCH(表1_4[[#Headers],[脂肪g]],表1_4[#Headers],0),)/品牌均值表[[#Totals],[脂肪g]]*100</f>
        <v>96.246598121487324</v>
      </c>
      <c r="K20">
        <f>VLOOKUP($A20,表1[#All],MATCH(表1_4[[#Headers],[亚油酸g]],表1_4[#Headers],0),)/品牌均值表[[#Totals],[亚油酸g]]*100</f>
        <v>93.598529165970248</v>
      </c>
      <c r="L20">
        <f>VLOOKUP($A20,表1[#All],MATCH(表1_4[[#Headers],[a-亚麻酸mg]],表1_4[#Headers],0),)/品牌均值表[[#Totals],[a-亚麻酸mg]]*100</f>
        <v>93.377973857587747</v>
      </c>
      <c r="M20">
        <f>VLOOKUP($A20,表1[#All],MATCH(表1_4[[#Headers],[碳水化合物g]],表1_4[#Headers],0),)/品牌均值表[[#Totals],[碳水化合物g]]*100</f>
        <v>103.20945419663596</v>
      </c>
      <c r="N20">
        <f>VLOOKUP($A20,表1[#All],MATCH(表1_4[[#Headers],[维生素A（ug视黄醇）]],表1_4[#Headers],0),)/品牌均值表[[#Totals],[维生素A（ug视黄醇）]]*100</f>
        <v>87.187829224875983</v>
      </c>
      <c r="O20">
        <f>VLOOKUP($A20,表1[#All],MATCH(表1_4[[#Headers],[维生素D ug]],表1_4[#Headers],0),)/品牌均值表[[#Totals],[维生素D ug]]*100</f>
        <v>127.46972594008921</v>
      </c>
      <c r="P20">
        <f>VLOOKUP($A20,表1[#All],MATCH(表1_4[[#Headers],[维生素E mg]],表1_4[#Headers],0),)/品牌均值表[[#Totals],[维生素E mg]]*100</f>
        <v>83.507306889352819</v>
      </c>
      <c r="Q20">
        <f>VLOOKUP($A20,表1[#All],MATCH(表1_4[[#Headers],[维生素K1 ug]],表1_4[#Headers],0),)/品牌均值表[[#Totals],[维生素K1 ug]]*100</f>
        <v>101.14957292402545</v>
      </c>
      <c r="R20">
        <f>VLOOKUP($A20,表1[#All],MATCH(表1_4[[#Headers],[维生素B1 ug]],表1_4[#Headers],0),)/品牌均值表[[#Totals],[维生素B1 ug]]*100</f>
        <v>89.455598784539802</v>
      </c>
      <c r="S20">
        <f>VLOOKUP($A20,表1[#All],MATCH(表1_4[[#Headers],[维生素B2 ug]],表1_4[#Headers],0),)/品牌均值表[[#Totals],[维生素B2 ug]]*100</f>
        <v>115.95407747022821</v>
      </c>
      <c r="T20">
        <f>VLOOKUP($A20,表1[#All],MATCH(表1_4[[#Headers],[维生素B6 ug]],表1_4[#Headers],0),)/品牌均值表[[#Totals],[维生素B6 ug]]*100</f>
        <v>102.79267416890023</v>
      </c>
      <c r="U20">
        <f>VLOOKUP($A20,表1[#All],MATCH(表1_4[[#Headers],[维生素B12 ug]],表1_4[#Headers],0),)/品牌均值表[[#Totals],[维生素B12 ug]]*100</f>
        <v>123.8134543953776</v>
      </c>
      <c r="V20">
        <f>VLOOKUP($A20,表1[#All],MATCH(表1_4[[#Headers],[烟酸 ug]],表1_4[#Headers],0),)/品牌均值表[[#Totals],[烟酸 ug]]*100</f>
        <v>90.665152528092463</v>
      </c>
      <c r="W20">
        <f>VLOOKUP($A20,表1[#All],MATCH(表1_4[[#Headers],[叶酸 ug]],表1_4[#Headers],0),)/品牌均值表[[#Totals],[叶酸 ug]]*100</f>
        <v>104.74250800116378</v>
      </c>
      <c r="X20">
        <f>VLOOKUP($A20,表1[#All],MATCH(表1_4[[#Headers],[泛酸 ug]],表1_4[#Headers],0),)/品牌均值表[[#Totals],[泛酸 ug]]*100</f>
        <v>107.15966114134045</v>
      </c>
      <c r="Y20">
        <f>VLOOKUP($A20,表1[#All],MATCH(表1_4[[#Headers],[维生素C mg]],表1_4[#Headers],0),)/品牌均值表[[#Totals],[维生素C mg]]*100</f>
        <v>72.884265990760625</v>
      </c>
      <c r="Z20">
        <f>VLOOKUP($A20,表1[#All],MATCH(表1_4[[#Headers],[生物素 ug]],表1_4[#Headers],0),)/品牌均值表[[#Totals],[生物素 ug]]*100</f>
        <v>125.14954625840105</v>
      </c>
      <c r="AA20">
        <f>VLOOKUP($A20,表1[#All],MATCH(表1_4[[#Headers],[钠 mg]],表1_4[#Headers],0),)/品牌均值表[[#Totals],[钠 mg]]*100</f>
        <v>88.703159803670346</v>
      </c>
      <c r="AB20">
        <f>VLOOKUP($A20,表1[#All],MATCH(表1_4[[#Headers],[钾 mg]],表1_4[#Headers],0),)/品牌均值表[[#Totals],[钾 mg]]*100</f>
        <v>77.082979150889457</v>
      </c>
      <c r="AC20">
        <f>VLOOKUP($A20,表1[#All],MATCH(表1_4[[#Headers],[铜 ug]],表1_4[#Headers],0),)/品牌均值表[[#Totals],[铜 ug]]*100</f>
        <v>90.263436256485178</v>
      </c>
      <c r="AD20">
        <f>VLOOKUP($A20,表1[#All],MATCH(表1_4[[#Headers],[镁 mg]],表1_4[#Headers],0),)/品牌均值表[[#Totals],[镁 mg]]*100</f>
        <v>80.560333626204994</v>
      </c>
      <c r="AE20">
        <f>VLOOKUP($A20,表1[#All],MATCH(表1_4[[#Headers],[铁 mg ]],表1_4[#Headers],0),)/品牌均值表[[#Totals],[铁 mg ]]*100</f>
        <v>83.702020805930871</v>
      </c>
      <c r="AF20">
        <f>VLOOKUP($A20,表1[#All],MATCH(表1_4[[#Headers],[锌 mg]],表1_4[#Headers],0),)/品牌均值表[[#Totals],[锌 mg]]*100</f>
        <v>73.09899111789241</v>
      </c>
      <c r="AG20">
        <f>VLOOKUP($A20,表1[#All],MATCH(表1_4[[#Headers],[锰 ug]],表1_4[#Headers],0),)/品牌均值表[[#Totals],[锰 ug]]*100</f>
        <v>52.891929195337454</v>
      </c>
      <c r="AH20">
        <f>VLOOKUP($A20,表1[#All],MATCH(表1_4[[#Headers],[钙mg]],表1_4[#Headers],0),)/品牌均值表[[#Totals],[钙mg]]*100</f>
        <v>94.99026369407018</v>
      </c>
      <c r="AI20">
        <f>VLOOKUP($A20,表1[#All],MATCH(表1_4[[#Headers],[磷 mg]],表1_4[#Headers],0),)/品牌均值表[[#Totals],[磷 mg]]*100</f>
        <v>96.078277870580024</v>
      </c>
      <c r="AJ20">
        <f>VLOOKUP($A20,表1[#All],MATCH(表1_4[[#Headers],[碘 ug]],表1_4[#Headers],0),)/品牌均值表[[#Totals],[碘 ug]]*100</f>
        <v>97.314831501171383</v>
      </c>
      <c r="AK20">
        <f>VLOOKUP($A20,表1[#All],MATCH(表1_4[[#Headers],[氯 mg]],表1_4[#Headers],0),)/品牌均值表[[#Totals],[氯 mg]]*100</f>
        <v>105.65392231202406</v>
      </c>
      <c r="AL20">
        <f>VLOOKUP($A20,表1[#All],MATCH(表1_4[[#Headers],[硒 mg]],表1_4[#Headers],0),)/品牌均值表[[#Totals],[硒 mg]]*100</f>
        <v>92.35653470585406</v>
      </c>
      <c r="AM20">
        <f>VLOOKUP($A20,表1[#All],MATCH(表1_4[[#Headers],[胆碱 mg]],表1_4[#Headers],0),)/品牌均值表[[#Totals],[胆碱 mg]]*100</f>
        <v>122.50231393259649</v>
      </c>
      <c r="AN20">
        <f>VLOOKUP($A20,表1[#All],MATCH(表1_4[[#Headers],[肌醇 mg]],表1_4[#Headers],0),)/品牌均值表[[#Totals],[肌醇 mg]]*100</f>
        <v>116.68210080698506</v>
      </c>
      <c r="AO20">
        <f>VLOOKUP($A20,表1[#All],MATCH(表1_4[[#Headers],[牛磺酸 mg]],表1_4[#Headers],0),)/品牌均值表[[#Totals],[牛磺酸 mg]]*100</f>
        <v>70.1235510184611</v>
      </c>
      <c r="AP20">
        <f>VLOOKUP($A20,表1[#All],MATCH(表1_4[[#Headers],[左旋肉碱 mg]],表1_4[#Headers],0),)/品牌均值表[[#Totals],[左旋肉碱 mg]]*100</f>
        <v>98.319439860105476</v>
      </c>
      <c r="AQ20">
        <f>VLOOKUP($A20,表1[#All],MATCH(表1_4[[#Headers],[二十二碳六烯酸 mg]],表1_4[#Headers],0),)/品牌均值表[[#Totals],[二十二碳六烯酸 mg]]*100</f>
        <v>109.0262862376119</v>
      </c>
      <c r="AR20">
        <f>VLOOKUP($A20,表1[#All],MATCH(表1_4[[#Headers],[二十碳四烯酸 mg]],表1_4[#Headers],0),)/品牌均值表[[#Totals],[二十碳四烯酸 mg]]*100</f>
        <v>85.066235664405966</v>
      </c>
      <c r="AS20">
        <f>VLOOKUP($A20,表1[#All],MATCH(表1_4[[#Headers],[低聚半乳糖 g]],表1_4[#Headers],0),)/表1[[#Totals],[低聚半乳糖 g]]*100</f>
        <v>70.532915360501562</v>
      </c>
      <c r="AT20">
        <f>VLOOKUP($A20,表1[#All],MATCH(表1_4[[#Headers],[低聚果糖 g]],表1_4[#Headers],0),)/表1[[#Totals],[低聚果糖 g]]*50</f>
        <v>13.192612137203167</v>
      </c>
      <c r="AU20">
        <f>VLOOKUP($A20,表1[#All],MATCH(表1_4[[#Headers],[多聚果糖 g]],表1_4[#Headers],0),)/表1[[#Totals],[多聚果糖 g]]*100</f>
        <v>0</v>
      </c>
      <c r="AV20">
        <f>VLOOKUP($A20,表1[#All],MATCH(表1_4[[#Headers],[聚葡萄糖 g]],表1_4[#Headers],0),)/表1[[#Totals],[聚葡萄糖 g]]*100</f>
        <v>0</v>
      </c>
      <c r="AW20">
        <f>VLOOKUP($A20,表1[#All],MATCH(表1_4[[#Headers],[核苷酸 mg]],表1_4[#Headers],0),)/表1[[#Totals],[核苷酸 mg]]*100</f>
        <v>73.033707865168537</v>
      </c>
      <c r="AX20">
        <f>VLOOKUP($A20,表1[#All],MATCH(表1_4[[#Headers],[13二油酸 g]],表1_4[#Headers],0),)/表1[[#Totals],[13二油酸 g]]*100</f>
        <v>75.221238938053091</v>
      </c>
      <c r="AY20">
        <f>VLOOKUP($A20,表1[#All],MATCH(表1_4[[#Headers],[叶黄素 ug]],表1_4[#Headers],0),)/表1[[#Totals],[叶黄素 ug]]*100</f>
        <v>135.44415127528583</v>
      </c>
      <c r="AZ20">
        <f>VLOOKUP($A20,表1[#All],MATCH(表1_4[[#Headers],[乳铁蛋白 mg]],表1_4[#Headers],0),)/表1[[#Totals],[乳铁蛋白 mg]]*100</f>
        <v>63.583815028901739</v>
      </c>
      <c r="BA20">
        <f>VLOOKUP($A20,表1[#All],MATCH(表1_4[[#Headers],[酪蛋白磷酸肽 mg]],表1_4[#Headers],0),)/表1[[#Totals],[酪蛋白磷酸肽 mg]]*100</f>
        <v>0</v>
      </c>
      <c r="BB20">
        <f>VLOOKUP($A20,表1[#All],MATCH(表1_4[[#Headers],[b胡萝卜素 ug]],表1_4[#Headers],0),)/表1[[#Totals],[b胡萝卜素 ug]]*100</f>
        <v>0</v>
      </c>
      <c r="BC20">
        <f>AVERAGE(表1_4[[#This Row],[能量kj]:[碳水化合物g]])</f>
        <v>97.208662240710382</v>
      </c>
      <c r="BD20">
        <f>AVERAGE(N20:Z20,AM20)</f>
        <v>103.88812054641029</v>
      </c>
      <c r="BE20">
        <f>AVERAGE(表1_4[[#This Row],[钠 mg]:[硒 mg]])</f>
        <v>86.058056670009208</v>
      </c>
      <c r="BF20" s="4">
        <f>SUM(表1_4[[#This Row],[肌醇 mg]:[b胡萝卜素 ug]])/SUM(表1_4[[肌醇 mg]:[b胡萝卜素 ug]])*3400</f>
        <v>116.15035111946736</v>
      </c>
      <c r="BG20" s="4">
        <f>0.5*表1_4[[#This Row],[基础能量]]+表1_4[[#This Row],[维生素]]+表1_4[[#This Row],[微量元素]]+表1_4[[#This Row],[加分项]]+IF(COUNTIF(F20,"*A2*"),0.6,0)*表1_4[[#This Row],[基础能量]]</f>
        <v>354.70085945624203</v>
      </c>
      <c r="BH20" s="4">
        <f>表1_4[[#This Row],[总分]]/表1_4[[#This Row],[百克重量]]</f>
        <v>10.281184332064987</v>
      </c>
    </row>
    <row r="21" spans="1:60" ht="64">
      <c r="A21" s="1" t="s">
        <v>6</v>
      </c>
      <c r="B21" s="2" t="s">
        <v>1</v>
      </c>
      <c r="C21" s="2">
        <v>800</v>
      </c>
      <c r="D21" s="2">
        <v>385</v>
      </c>
      <c r="E21" s="2">
        <v>48.13</v>
      </c>
      <c r="F21" s="2" t="s">
        <v>7</v>
      </c>
      <c r="G21" s="2" t="s">
        <v>3</v>
      </c>
      <c r="H21">
        <f>VLOOKUP($A21,表1[#All],MATCH(表1_4[[#Headers],[能量kj]],表1_4[#Headers],0),)/品牌均值表[[#Totals],[能量kj]]*100</f>
        <v>98.261135556130739</v>
      </c>
      <c r="I21">
        <f>VLOOKUP($A21,表1[#All],MATCH(表1_4[[#Headers],[蛋白质g]],表1_4[#Headers],0),)/品牌均值表[[#Totals],[蛋白质g]]*100</f>
        <v>101.3846826745802</v>
      </c>
      <c r="J21">
        <f>VLOOKUP($A21,表1[#All],MATCH(表1_4[[#Headers],[脂肪g]],表1_4[#Headers],0),)/品牌均值表[[#Totals],[脂肪g]]*100</f>
        <v>96.246598121487324</v>
      </c>
      <c r="K21">
        <f>VLOOKUP($A21,表1[#All],MATCH(表1_4[[#Headers],[亚油酸g]],表1_4[#Headers],0),)/品牌均值表[[#Totals],[亚油酸g]]*100</f>
        <v>94.118520994670092</v>
      </c>
      <c r="L21">
        <f>VLOOKUP($A21,表1[#All],MATCH(表1_4[[#Headers],[a-亚麻酸mg]],表1_4[#Headers],0),)/品牌均值表[[#Totals],[a-亚麻酸mg]]*100</f>
        <v>90.983666835598314</v>
      </c>
      <c r="M21">
        <f>VLOOKUP($A21,表1[#All],MATCH(表1_4[[#Headers],[碳水化合物g]],表1_4[#Headers],0),)/品牌均值表[[#Totals],[碳水化合物g]]*100</f>
        <v>99.70770485782154</v>
      </c>
      <c r="N21">
        <f>VLOOKUP($A21,表1[#All],MATCH(表1_4[[#Headers],[维生素A（ug视黄醇）]],表1_4[#Headers],0),)/品牌均值表[[#Totals],[维生素A（ug视黄醇）]]*100</f>
        <v>91.547220686119772</v>
      </c>
      <c r="O21">
        <f>VLOOKUP($A21,表1[#All],MATCH(表1_4[[#Headers],[维生素D ug]],表1_4[#Headers],0),)/品牌均值表[[#Totals],[维生素D ug]]*100</f>
        <v>122.56704417316271</v>
      </c>
      <c r="P21">
        <f>VLOOKUP($A21,表1[#All],MATCH(表1_4[[#Headers],[维生素E mg]],表1_4[#Headers],0),)/品牌均值表[[#Totals],[维生素E mg]]*100</f>
        <v>84.899095337508683</v>
      </c>
      <c r="Q21">
        <f>VLOOKUP($A21,表1[#All],MATCH(表1_4[[#Headers],[维生素K1 ug]],表1_4[#Headers],0),)/品牌均值表[[#Totals],[维生素K1 ug]]*100</f>
        <v>123.62725579603109</v>
      </c>
      <c r="R21">
        <f>VLOOKUP($A21,表1[#All],MATCH(表1_4[[#Headers],[维生素B1 ug]],表1_4[#Headers],0),)/品牌均值表[[#Totals],[维生素B1 ug]]*100</f>
        <v>93.23261295544259</v>
      </c>
      <c r="S21">
        <f>VLOOKUP($A21,表1[#All],MATCH(表1_4[[#Headers],[维生素B2 ug]],表1_4[#Headers],0),)/品牌均值表[[#Totals],[维生素B2 ug]]*100</f>
        <v>88.72441208677013</v>
      </c>
      <c r="T21">
        <f>VLOOKUP($A21,表1[#All],MATCH(表1_4[[#Headers],[维生素B6 ug]],表1_4[#Headers],0),)/品牌均值表[[#Totals],[维生素B6 ug]]*100</f>
        <v>99.268353911680791</v>
      </c>
      <c r="U21">
        <f>VLOOKUP($A21,表1[#All],MATCH(表1_4[[#Headers],[维生素B12 ug]],表1_4[#Headers],0),)/品牌均值表[[#Totals],[维生素B12 ug]]*100</f>
        <v>80.478745356995447</v>
      </c>
      <c r="V21">
        <f>VLOOKUP($A21,表1[#All],MATCH(表1_4[[#Headers],[烟酸 ug]],表1_4[#Headers],0),)/品牌均值表[[#Totals],[烟酸 ug]]*100</f>
        <v>81.516214409348592</v>
      </c>
      <c r="W21">
        <f>VLOOKUP($A21,表1[#All],MATCH(表1_4[[#Headers],[叶酸 ug]],表1_4[#Headers],0),)/品牌均值表[[#Totals],[叶酸 ug]]*100</f>
        <v>122.19959266802442</v>
      </c>
      <c r="X21">
        <f>VLOOKUP($A21,表1[#All],MATCH(表1_4[[#Headers],[泛酸 ug]],表1_4[#Headers],0),)/品牌均值表[[#Totals],[泛酸 ug]]*100</f>
        <v>92.850694624232062</v>
      </c>
      <c r="Y21">
        <f>VLOOKUP($A21,表1[#All],MATCH(表1_4[[#Headers],[维生素C mg]],表1_4[#Headers],0),)/品牌均值表[[#Totals],[维生素C mg]]*100</f>
        <v>142.45561080012303</v>
      </c>
      <c r="Z21">
        <f>VLOOKUP($A21,表1[#All],MATCH(表1_4[[#Headers],[生物素 ug]],表1_4[#Headers],0),)/品牌均值表[[#Totals],[生物素 ug]]*100</f>
        <v>95.739402887676803</v>
      </c>
      <c r="AA21">
        <f>VLOOKUP($A21,表1[#All],MATCH(表1_4[[#Headers],[钠 mg]],表1_4[#Headers],0),)/品牌均值表[[#Totals],[钠 mg]]*100</f>
        <v>108.21785496047782</v>
      </c>
      <c r="AB21">
        <f>VLOOKUP($A21,表1[#All],MATCH(表1_4[[#Headers],[钾 mg]],表1_4[#Headers],0),)/品牌均值表[[#Totals],[钾 mg]]*100</f>
        <v>90.065375639460314</v>
      </c>
      <c r="AC21">
        <f>VLOOKUP($A21,表1[#All],MATCH(表1_4[[#Headers],[铜 ug]],表1_4[#Headers],0),)/品牌均值表[[#Totals],[铜 ug]]*100</f>
        <v>105.21331788646553</v>
      </c>
      <c r="AD21">
        <f>VLOOKUP($A21,表1[#All],MATCH(表1_4[[#Headers],[镁 mg]],表1_4[#Headers],0),)/品牌均值表[[#Totals],[镁 mg]]*100</f>
        <v>98.751376703089988</v>
      </c>
      <c r="AE21">
        <f>VLOOKUP($A21,表1[#All],MATCH(表1_4[[#Headers],[铁 mg ]],表1_4[#Headers],0),)/品牌均值表[[#Totals],[铁 mg ]]*100</f>
        <v>75.331818725337797</v>
      </c>
      <c r="AF21">
        <f>VLOOKUP($A21,表1[#All],MATCH(表1_4[[#Headers],[锌 mg]],表1_4[#Headers],0),)/品牌均值表[[#Totals],[锌 mg]]*100</f>
        <v>80.408890229681646</v>
      </c>
      <c r="AG21">
        <f>VLOOKUP($A21,表1[#All],MATCH(表1_4[[#Headers],[锰 ug]],表1_4[#Headers],0),)/品牌均值表[[#Totals],[锰 ug]]*100</f>
        <v>68.75950795393868</v>
      </c>
      <c r="AH21">
        <f>VLOOKUP($A21,表1[#All],MATCH(表1_4[[#Headers],[钙mg]],表1_4[#Headers],0),)/品牌均值表[[#Totals],[钙mg]]*100</f>
        <v>97.186570369077572</v>
      </c>
      <c r="AI21">
        <f>VLOOKUP($A21,表1[#All],MATCH(表1_4[[#Headers],[磷 mg]],表1_4[#Headers],0),)/品牌均值表[[#Totals],[磷 mg]]*100</f>
        <v>99.494394417089524</v>
      </c>
      <c r="AJ21">
        <f>VLOOKUP($A21,表1[#All],MATCH(表1_4[[#Headers],[碘 ug]],表1_4[#Headers],0),)/品牌均值表[[#Totals],[碘 ug]]*100</f>
        <v>156.78500630744279</v>
      </c>
      <c r="AK21">
        <f>VLOOKUP($A21,表1[#All],MATCH(表1_4[[#Headers],[氯 mg]],表1_4[#Headers],0),)/品牌均值表[[#Totals],[氯 mg]]*100</f>
        <v>94.484793381895798</v>
      </c>
      <c r="AL21">
        <f>VLOOKUP($A21,表1[#All],MATCH(表1_4[[#Headers],[硒 mg]],表1_4[#Headers],0),)/品牌均值表[[#Totals],[硒 mg]]*100</f>
        <v>108.51892827937853</v>
      </c>
      <c r="AM21">
        <f>VLOOKUP($A21,表1[#All],MATCH(表1_4[[#Headers],[胆碱 mg]],表1_4[#Headers],0),)/品牌均值表[[#Totals],[胆碱 mg]]*100</f>
        <v>102.08526161049708</v>
      </c>
      <c r="AN21">
        <f>VLOOKUP($A21,表1[#All],MATCH(表1_4[[#Headers],[肌醇 mg]],表1_4[#Headers],0),)/品牌均值表[[#Totals],[肌醇 mg]]*100</f>
        <v>127.79468183622174</v>
      </c>
      <c r="AO21">
        <f>VLOOKUP($A21,表1[#All],MATCH(表1_4[[#Headers],[牛磺酸 mg]],表1_4[#Headers],0),)/品牌均值表[[#Totals],[牛磺酸 mg]]*100</f>
        <v>70.1235510184611</v>
      </c>
      <c r="AP21">
        <f>VLOOKUP($A21,表1[#All],MATCH(表1_4[[#Headers],[左旋肉碱 mg]],表1_4[#Headers],0),)/品牌均值表[[#Totals],[左旋肉碱 mg]]*100</f>
        <v>137.64721580414766</v>
      </c>
      <c r="AQ21">
        <f>VLOOKUP($A21,表1[#All],MATCH(表1_4[[#Headers],[二十二碳六烯酸 mg]],表1_4[#Headers],0),)/品牌均值表[[#Totals],[二十二碳六烯酸 mg]]*100</f>
        <v>102.48470906335518</v>
      </c>
      <c r="AR21">
        <f>VLOOKUP($A21,表1[#All],MATCH(表1_4[[#Headers],[二十碳四烯酸 mg]],表1_4[#Headers],0),)/品牌均值表[[#Totals],[二十碳四烯酸 mg]]*100</f>
        <v>72.692965022310545</v>
      </c>
      <c r="AS21">
        <f>VLOOKUP($A21,表1[#All],MATCH(表1_4[[#Headers],[低聚半乳糖 g]],表1_4[#Headers],0),)/表1[[#Totals],[低聚半乳糖 g]]*100</f>
        <v>114.61598746081503</v>
      </c>
      <c r="AT21">
        <f>VLOOKUP($A21,表1[#All],MATCH(表1_4[[#Headers],[低聚果糖 g]],表1_4[#Headers],0),)/表1[[#Totals],[低聚果糖 g]]*50</f>
        <v>0</v>
      </c>
      <c r="AU21">
        <f>VLOOKUP($A21,表1[#All],MATCH(表1_4[[#Headers],[多聚果糖 g]],表1_4[#Headers],0),)/表1[[#Totals],[多聚果糖 g]]*100</f>
        <v>0</v>
      </c>
      <c r="AV21">
        <f>VLOOKUP($A21,表1[#All],MATCH(表1_4[[#Headers],[聚葡萄糖 g]],表1_4[#Headers],0),)/表1[[#Totals],[聚葡萄糖 g]]*100</f>
        <v>0</v>
      </c>
      <c r="AW21">
        <f>VLOOKUP($A21,表1[#All],MATCH(表1_4[[#Headers],[核苷酸 mg]],表1_4[#Headers],0),)/表1[[#Totals],[核苷酸 mg]]*100</f>
        <v>0</v>
      </c>
      <c r="AX21">
        <f>VLOOKUP($A21,表1[#All],MATCH(表1_4[[#Headers],[13二油酸 g]],表1_4[#Headers],0),)/表1[[#Totals],[13二油酸 g]]*100</f>
        <v>67.699115044247776</v>
      </c>
      <c r="AY21">
        <f>VLOOKUP($A21,表1[#All],MATCH(表1_4[[#Headers],[叶黄素 ug]],表1_4[#Headers],0),)/表1[[#Totals],[叶黄素 ug]]*100</f>
        <v>99.736147757255949</v>
      </c>
      <c r="AZ21">
        <f>VLOOKUP($A21,表1[#All],MATCH(表1_4[[#Headers],[乳铁蛋白 mg]],表1_4[#Headers],0),)/表1[[#Totals],[乳铁蛋白 mg]]*100</f>
        <v>16.531791907514449</v>
      </c>
      <c r="BA21">
        <f>VLOOKUP($A21,表1[#All],MATCH(表1_4[[#Headers],[酪蛋白磷酸肽 mg]],表1_4[#Headers],0),)/表1[[#Totals],[酪蛋白磷酸肽 mg]]*100</f>
        <v>0</v>
      </c>
      <c r="BB21">
        <f>VLOOKUP($A21,表1[#All],MATCH(表1_4[[#Headers],[b胡萝卜素 ug]],表1_4[#Headers],0),)/表1[[#Totals],[b胡萝卜素 ug]]*100</f>
        <v>0</v>
      </c>
      <c r="BC21">
        <f>AVERAGE(表1_4[[#This Row],[能量kj]:[碳水化合物g]])</f>
        <v>96.783718173381374</v>
      </c>
      <c r="BD21">
        <f>AVERAGE(N21:Z21,AM21)</f>
        <v>101.51367980740095</v>
      </c>
      <c r="BE21">
        <f>AVERAGE(表1_4[[#This Row],[钠 mg]:[硒 mg]])</f>
        <v>98.601486237778019</v>
      </c>
      <c r="BF21" s="4">
        <f>SUM(表1_4[[#This Row],[肌醇 mg]:[b胡萝卜素 ug]])/SUM(表1_4[[肌醇 mg]:[b胡萝卜素 ug]])*3400</f>
        <v>103.2749148323895</v>
      </c>
      <c r="BG21" s="4">
        <f>0.5*表1_4[[#This Row],[基础能量]]+表1_4[[#This Row],[维生素]]+表1_4[[#This Row],[微量元素]]+表1_4[[#This Row],[加分项]]+IF(COUNTIF(F21,"*A2*"),0.6,0)*表1_4[[#This Row],[基础能量]]</f>
        <v>351.78193996425921</v>
      </c>
      <c r="BH21" s="4">
        <f>表1_4[[#This Row],[总分]]/表1_4[[#This Row],[百克重量]]</f>
        <v>7.3089952205331228</v>
      </c>
    </row>
    <row r="22" spans="1:60" ht="48">
      <c r="A22" s="1" t="s">
        <v>35</v>
      </c>
      <c r="B22" s="2" t="s">
        <v>33</v>
      </c>
      <c r="C22" s="2">
        <v>800</v>
      </c>
      <c r="D22" s="2">
        <v>255</v>
      </c>
      <c r="E22" s="2">
        <v>31.88</v>
      </c>
      <c r="F22" s="2" t="s">
        <v>29</v>
      </c>
      <c r="G22" s="2" t="s">
        <v>3</v>
      </c>
      <c r="H22">
        <f>VLOOKUP($A22,表1[#All],MATCH(表1_4[[#Headers],[能量kj]],表1_4[#Headers],0),)/品牌均值表[[#Totals],[能量kj]]*100</f>
        <v>100.42589237393823</v>
      </c>
      <c r="I22">
        <f>VLOOKUP($A22,表1[#All],MATCH(表1_4[[#Headers],[蛋白质g]],表1_4[#Headers],0),)/品牌均值表[[#Totals],[蛋白质g]]*100</f>
        <v>101.3846826745802</v>
      </c>
      <c r="J22">
        <f>VLOOKUP($A22,表1[#All],MATCH(表1_4[[#Headers],[脂肪g]],表1_4[#Headers],0),)/品牌均值表[[#Totals],[脂肪g]]*100</f>
        <v>100.31856958047334</v>
      </c>
      <c r="K22">
        <f>VLOOKUP($A22,表1[#All],MATCH(表1_4[[#Headers],[亚油酸g]],表1_4[#Headers],0),)/品牌均值表[[#Totals],[亚油酸g]]*100</f>
        <v>83.198692591973554</v>
      </c>
      <c r="L22">
        <f>VLOOKUP($A22,表1[#All],MATCH(表1_4[[#Headers],[a-亚麻酸mg]],表1_4[#Headers],0),)/品牌均值表[[#Totals],[a-亚麻酸mg]]*100</f>
        <v>106.54666247852961</v>
      </c>
      <c r="M22">
        <f>VLOOKUP($A22,表1[#All],MATCH(表1_4[[#Headers],[碳水化合物g]],表1_4[#Headers],0),)/品牌均值表[[#Totals],[碳水化合物g]]*100</f>
        <v>100.99782303527947</v>
      </c>
      <c r="N22">
        <f>VLOOKUP($A22,表1[#All],MATCH(表1_4[[#Headers],[维生素A（ug视黄醇）]],表1_4[#Headers],0),)/品牌均值表[[#Totals],[维生素A（ug视黄醇）]]*100</f>
        <v>89.851901784524969</v>
      </c>
      <c r="O22">
        <f>VLOOKUP($A22,表1[#All],MATCH(表1_4[[#Headers],[维生素D ug]],表1_4[#Headers],0),)/品牌均值表[[#Totals],[维生素D ug]]*100</f>
        <v>140.21669853409816</v>
      </c>
      <c r="P22">
        <f>VLOOKUP($A22,表1[#All],MATCH(表1_4[[#Headers],[维生素E mg]],表1_4[#Headers],0),)/品牌均值表[[#Totals],[维生素E mg]]*100</f>
        <v>97.42519137091162</v>
      </c>
      <c r="Q22">
        <f>VLOOKUP($A22,表1[#All],MATCH(表1_4[[#Headers],[维生素K1 ug]],表1_4[#Headers],0),)/品牌均值表[[#Totals],[维生素K1 ug]]*100</f>
        <v>65.185280328816404</v>
      </c>
      <c r="R22">
        <f>VLOOKUP($A22,表1[#All],MATCH(表1_4[[#Headers],[维生素B1 ug]],表1_4[#Headers],0),)/品牌均值表[[#Totals],[维生素B1 ug]]*100</f>
        <v>70.570527930025833</v>
      </c>
      <c r="S22">
        <f>VLOOKUP($A22,表1[#All],MATCH(表1_4[[#Headers],[维生素B2 ug]],表1_4[#Headers],0),)/品牌均值表[[#Totals],[维生素B2 ug]]*100</f>
        <v>110.61237277777948</v>
      </c>
      <c r="T22">
        <f>VLOOKUP($A22,表1[#All],MATCH(表1_4[[#Headers],[维生素B6 ug]],表1_4[#Headers],0),)/品牌均值表[[#Totals],[维生素B6 ug]]*100</f>
        <v>67.255778241937577</v>
      </c>
      <c r="U22">
        <f>VLOOKUP($A22,表1[#All],MATCH(表1_4[[#Headers],[维生素B12 ug]],表1_4[#Headers],0),)/品牌均值表[[#Totals],[维生素B12 ug]]*100</f>
        <v>43.334709038382165</v>
      </c>
      <c r="V22">
        <f>VLOOKUP($A22,表1[#All],MATCH(表1_4[[#Headers],[烟酸 ug]],表1_4[#Headers],0),)/品牌均值表[[#Totals],[烟酸 ug]]*100</f>
        <v>91.76412407388753</v>
      </c>
      <c r="W22">
        <f>VLOOKUP($A22,表1[#All],MATCH(表1_4[[#Headers],[叶酸 ug]],表1_4[#Headers],0),)/品牌均值表[[#Totals],[叶酸 ug]]*100</f>
        <v>169.91562409077682</v>
      </c>
      <c r="X22">
        <f>VLOOKUP($A22,表1[#All],MATCH(表1_4[[#Headers],[泛酸 ug]],表1_4[#Headers],0),)/品牌均值表[[#Totals],[泛酸 ug]]*100</f>
        <v>94.867817657480813</v>
      </c>
      <c r="Y22">
        <f>VLOOKUP($A22,表1[#All],MATCH(表1_4[[#Headers],[维生素C mg]],表1_4[#Headers],0),)/品牌均值表[[#Totals],[维生素C mg]]*100</f>
        <v>71.779958930294555</v>
      </c>
      <c r="Z22">
        <f>VLOOKUP($A22,表1[#All],MATCH(表1_4[[#Headers],[生物素 ug]],表1_4[#Headers],0),)/品牌均值表[[#Totals],[生物素 ug]]*100</f>
        <v>64.452016323076549</v>
      </c>
      <c r="AA22">
        <f>VLOOKUP($A22,表1[#All],MATCH(表1_4[[#Headers],[钠 mg]],表1_4[#Headers],0),)/品牌均值表[[#Totals],[钠 mg]]*100</f>
        <v>89.885868601052621</v>
      </c>
      <c r="AB22">
        <f>VLOOKUP($A22,表1[#All],MATCH(表1_4[[#Headers],[钾 mg]],表1_4[#Headers],0),)/品牌均值表[[#Totals],[钾 mg]]*100</f>
        <v>83.777027340308791</v>
      </c>
      <c r="AC22">
        <f>VLOOKUP($A22,表1[#All],MATCH(表1_4[[#Headers],[铜 ug]],表1_4[#Headers],0),)/品牌均值表[[#Totals],[铜 ug]]*100</f>
        <v>98.725633405530658</v>
      </c>
      <c r="AD22">
        <f>VLOOKUP($A22,表1[#All],MATCH(表1_4[[#Headers],[镁 mg]],表1_4[#Headers],0),)/品牌均值表[[#Totals],[镁 mg]]*100</f>
        <v>85.757774505314984</v>
      </c>
      <c r="AE22">
        <f>VLOOKUP($A22,表1[#All],MATCH(表1_4[[#Headers],[铁 mg ]],表1_4[#Headers],0),)/品牌均值表[[#Totals],[铁 mg ]]*100</f>
        <v>73.239268205189518</v>
      </c>
      <c r="AF22">
        <f>VLOOKUP($A22,表1[#All],MATCH(表1_4[[#Headers],[锌 mg]],表1_4[#Headers],0),)/品牌均值表[[#Totals],[锌 mg]]*100</f>
        <v>77.972257192418581</v>
      </c>
      <c r="AG22">
        <f>VLOOKUP($A22,表1[#All],MATCH(表1_4[[#Headers],[锰 ug]],表1_4[#Headers],0),)/品牌均值表[[#Totals],[锰 ug]]*100</f>
        <v>84.627086712539906</v>
      </c>
      <c r="AH22">
        <f>VLOOKUP($A22,表1[#All],MATCH(表1_4[[#Headers],[钙mg]],表1_4[#Headers],0),)/品牌均值表[[#Totals],[钙mg]]*100</f>
        <v>79.341578634642431</v>
      </c>
      <c r="AI22">
        <f>VLOOKUP($A22,表1[#All],MATCH(表1_4[[#Headers],[磷 mg]],表1_4[#Headers],0),)/品牌均值表[[#Totals],[磷 mg]]*100</f>
        <v>85.402913662737788</v>
      </c>
      <c r="AJ22">
        <f>VLOOKUP($A22,表1[#All],MATCH(表1_4[[#Headers],[碘 ug]],表1_4[#Headers],0),)/品牌均值表[[#Totals],[碘 ug]]*100</f>
        <v>113.53397008469994</v>
      </c>
      <c r="AK22">
        <f>VLOOKUP($A22,表1[#All],MATCH(表1_4[[#Headers],[氯 mg]],表1_4[#Headers],0),)/品牌均值表[[#Totals],[氯 mg]]*100</f>
        <v>108.67260580665332</v>
      </c>
      <c r="AL22">
        <f>VLOOKUP($A22,表1[#All],MATCH(表1_4[[#Headers],[硒 mg]],表1_4[#Headers],0),)/品牌均值表[[#Totals],[硒 mg]]*100</f>
        <v>109.6733849632017</v>
      </c>
      <c r="AM22">
        <f>VLOOKUP($A22,表1[#All],MATCH(表1_4[[#Headers],[胆碱 mg]],表1_4[#Headers],0),)/品牌均值表[[#Totals],[胆碱 mg]]*100</f>
        <v>121.68563183971253</v>
      </c>
      <c r="AN22">
        <f>VLOOKUP($A22,表1[#All],MATCH(表1_4[[#Headers],[肌醇 mg]],表1_4[#Headers],0),)/品牌均值表[[#Totals],[肌醇 mg]]*100</f>
        <v>69.453631432729196</v>
      </c>
      <c r="AO22">
        <f>VLOOKUP($A22,表1[#All],MATCH(表1_4[[#Headers],[牛磺酸 mg]],表1_4[#Headers],0),)/品牌均值表[[#Totals],[牛磺酸 mg]]*100</f>
        <v>80.141201163955543</v>
      </c>
      <c r="AP22">
        <f>VLOOKUP($A22,表1[#All],MATCH(表1_4[[#Headers],[左旋肉碱 mg]],表1_4[#Headers],0),)/品牌均值表[[#Totals],[左旋肉碱 mg]]*100</f>
        <v>94.386662265701261</v>
      </c>
      <c r="AQ22">
        <f>VLOOKUP($A22,表1[#All],MATCH(表1_4[[#Headers],[二十二碳六烯酸 mg]],表1_4[#Headers],0),)/品牌均值表[[#Totals],[二十二碳六烯酸 mg]]*100</f>
        <v>117.74838913662084</v>
      </c>
      <c r="AR22">
        <f>VLOOKUP($A22,表1[#All],MATCH(表1_4[[#Headers],[二十碳四烯酸 mg]],表1_4[#Headers],0),)/品牌均值表[[#Totals],[二十碳四烯酸 mg]]*100</f>
        <v>88.932882740060776</v>
      </c>
      <c r="AS22">
        <f>VLOOKUP($A22,表1[#All],MATCH(表1_4[[#Headers],[低聚半乳糖 g]],表1_4[#Headers],0),)/表1[[#Totals],[低聚半乳糖 g]]*100</f>
        <v>37.47061128526645</v>
      </c>
      <c r="AT22">
        <f>VLOOKUP($A22,表1[#All],MATCH(表1_4[[#Headers],[低聚果糖 g]],表1_4[#Headers],0),)/表1[[#Totals],[低聚果糖 g]]*50</f>
        <v>26.385224274406333</v>
      </c>
      <c r="AU22">
        <f>VLOOKUP($A22,表1[#All],MATCH(表1_4[[#Headers],[多聚果糖 g]],表1_4[#Headers],0),)/表1[[#Totals],[多聚果糖 g]]*100</f>
        <v>90.497737556561091</v>
      </c>
      <c r="AV22">
        <f>VLOOKUP($A22,表1[#All],MATCH(表1_4[[#Headers],[聚葡萄糖 g]],表1_4[#Headers],0),)/表1[[#Totals],[聚葡萄糖 g]]*100</f>
        <v>0</v>
      </c>
      <c r="AW22">
        <f>VLOOKUP($A22,表1[#All],MATCH(表1_4[[#Headers],[核苷酸 mg]],表1_4[#Headers],0),)/表1[[#Totals],[核苷酸 mg]]*100</f>
        <v>91.292134831460686</v>
      </c>
      <c r="AX22">
        <f>VLOOKUP($A22,表1[#All],MATCH(表1_4[[#Headers],[13二油酸 g]],表1_4[#Headers],0),)/表1[[#Totals],[13二油酸 g]]*100</f>
        <v>84.62389380530972</v>
      </c>
      <c r="AY22">
        <f>VLOOKUP($A22,表1[#All],MATCH(表1_4[[#Headers],[叶黄素 ug]],表1_4[#Headers],0),)/表1[[#Totals],[叶黄素 ug]]*100</f>
        <v>100.9674582233949</v>
      </c>
      <c r="AZ22">
        <f>VLOOKUP($A22,表1[#All],MATCH(表1_4[[#Headers],[乳铁蛋白 mg]],表1_4[#Headers],0),)/表1[[#Totals],[乳铁蛋白 mg]]*100</f>
        <v>25.433526011560691</v>
      </c>
      <c r="BA22">
        <f>VLOOKUP($A22,表1[#All],MATCH(表1_4[[#Headers],[酪蛋白磷酸肽 mg]],表1_4[#Headers],0),)/表1[[#Totals],[酪蛋白磷酸肽 mg]]*100</f>
        <v>0</v>
      </c>
      <c r="BB22">
        <f>VLOOKUP($A22,表1[#All],MATCH(表1_4[[#Headers],[b胡萝卜素 ug]],表1_4[#Headers],0),)/表1[[#Totals],[b胡萝卜素 ug]]*100</f>
        <v>0</v>
      </c>
      <c r="BC22">
        <f>AVERAGE(表1_4[[#This Row],[能量kj]:[碳水化合物g]])</f>
        <v>98.812053789129052</v>
      </c>
      <c r="BD22">
        <f>AVERAGE(N22:Z22,AM22)</f>
        <v>92.779830922978917</v>
      </c>
      <c r="BE22">
        <f>AVERAGE(表1_4[[#This Row],[钠 mg]:[硒 mg]])</f>
        <v>90.88411409285753</v>
      </c>
      <c r="BF22" s="4">
        <f>SUM(表1_4[[#This Row],[肌醇 mg]:[b胡萝卜素 ug]])/SUM(表1_4[[肌醇 mg]:[b胡萝卜素 ug]])*3400</f>
        <v>115.78122491244213</v>
      </c>
      <c r="BG22" s="4">
        <f>0.5*表1_4[[#This Row],[基础能量]]+表1_4[[#This Row],[维生素]]+表1_4[[#This Row],[微量元素]]+表1_4[[#This Row],[加分项]]+IF(COUNTIF(F22,"*A2*"),0.6,0)*表1_4[[#This Row],[基础能量]]</f>
        <v>348.85119682284312</v>
      </c>
      <c r="BH22" s="4">
        <f>表1_4[[#This Row],[总分]]/表1_4[[#This Row],[百克重量]]</f>
        <v>10.942634781143134</v>
      </c>
    </row>
    <row r="23" spans="1:60" ht="64">
      <c r="A23" s="1" t="s">
        <v>28</v>
      </c>
      <c r="B23" s="2" t="s">
        <v>26</v>
      </c>
      <c r="C23" s="2">
        <v>850</v>
      </c>
      <c r="D23" s="2">
        <v>409</v>
      </c>
      <c r="E23" s="2">
        <v>48.12</v>
      </c>
      <c r="F23" s="2" t="s">
        <v>29</v>
      </c>
      <c r="G23" s="2" t="s">
        <v>3</v>
      </c>
      <c r="H23">
        <f>VLOOKUP($A23,表1[#All],MATCH(表1_4[[#Headers],[能量kj]],表1_4[#Headers],0),)/品牌均值表[[#Totals],[能量kj]]*100</f>
        <v>102.16710981434858</v>
      </c>
      <c r="I23">
        <f>VLOOKUP($A23,表1[#All],MATCH(表1_4[[#Headers],[蛋白质g]],表1_4[#Headers],0),)/品牌均值表[[#Totals],[蛋白质g]]*100</f>
        <v>89.292931529905502</v>
      </c>
      <c r="J23">
        <f>VLOOKUP($A23,表1[#All],MATCH(表1_4[[#Headers],[脂肪g]],表1_4[#Headers],0),)/品牌均值表[[#Totals],[脂肪g]]*100</f>
        <v>104.76072026300352</v>
      </c>
      <c r="K23">
        <f>VLOOKUP($A23,表1[#All],MATCH(表1_4[[#Headers],[亚油酸g]],表1_4[#Headers],0),)/品牌均值表[[#Totals],[亚油酸g]]*100</f>
        <v>83.198692591973554</v>
      </c>
      <c r="L23">
        <f>VLOOKUP($A23,表1[#All],MATCH(表1_4[[#Headers],[a-亚麻酸mg]],表1_4[#Headers],0),)/品牌均值表[[#Totals],[a-亚麻酸mg]]*100</f>
        <v>88.589359813608894</v>
      </c>
      <c r="M23">
        <f>VLOOKUP($A23,表1[#All],MATCH(表1_4[[#Headers],[碳水化合物g]],表1_4[#Headers],0),)/品牌均值表[[#Totals],[碳水化合物g]]*100</f>
        <v>104.1309671805345</v>
      </c>
      <c r="N23">
        <f>VLOOKUP($A23,表1[#All],MATCH(表1_4[[#Headers],[维生素A（ug视黄醇）]],表1_4[#Headers],0),)/品牌均值表[[#Totals],[维生素A（ug视黄醇）]]*100</f>
        <v>92.031597515146871</v>
      </c>
      <c r="O23">
        <f>VLOOKUP($A23,表1[#All],MATCH(表1_4[[#Headers],[维生素D ug]],表1_4[#Headers],0),)/品牌均值表[[#Totals],[维生素D ug]]*100</f>
        <v>124.52811687993331</v>
      </c>
      <c r="P23">
        <f>VLOOKUP($A23,表1[#All],MATCH(表1_4[[#Headers],[维生素E mg]],表1_4[#Headers],0),)/品牌均值表[[#Totals],[维生素E mg]]*100</f>
        <v>83.507306889352819</v>
      </c>
      <c r="Q23">
        <f>VLOOKUP($A23,表1[#All],MATCH(表1_4[[#Headers],[维生素K1 ug]],表1_4[#Headers],0),)/品牌均值表[[#Totals],[维生素K1 ug]]*100</f>
        <v>78.671890052019791</v>
      </c>
      <c r="R23">
        <f>VLOOKUP($A23,表1[#All],MATCH(表1_4[[#Headers],[维生素B1 ug]],表1_4[#Headers],0),)/品牌均值表[[#Totals],[维生素B1 ug]]*100</f>
        <v>111.32252293187175</v>
      </c>
      <c r="S23">
        <f>VLOOKUP($A23,表1[#All],MATCH(表1_4[[#Headers],[维生素B2 ug]],表1_4[#Headers],0),)/品牌均值表[[#Totals],[维生素B2 ug]]*100</f>
        <v>93.805545818611591</v>
      </c>
      <c r="T23">
        <f>VLOOKUP($A23,表1[#All],MATCH(表1_4[[#Headers],[维生素B6 ug]],表1_4[#Headers],0),)/品牌均值表[[#Totals],[维生素B6 ug]]*100</f>
        <v>111.60347481194883</v>
      </c>
      <c r="U23">
        <f>VLOOKUP($A23,表1[#All],MATCH(表1_4[[#Headers],[维生素B12 ug]],表1_4[#Headers],0),)/品牌均值表[[#Totals],[维生素B12 ug]]*100</f>
        <v>43.334709038382165</v>
      </c>
      <c r="V23">
        <f>VLOOKUP($A23,表1[#All],MATCH(表1_4[[#Headers],[烟酸 ug]],表1_4[#Headers],0),)/品牌均值表[[#Totals],[烟酸 ug]]*100</f>
        <v>97.533724689311597</v>
      </c>
      <c r="W23">
        <f>VLOOKUP($A23,表1[#All],MATCH(表1_4[[#Headers],[叶酸 ug]],表1_4[#Headers],0),)/品牌均值表[[#Totals],[叶酸 ug]]*100</f>
        <v>91.940645912132652</v>
      </c>
      <c r="X23">
        <f>VLOOKUP($A23,表1[#All],MATCH(表1_4[[#Headers],[泛酸 ug]],表1_4[#Headers],0),)/品牌均值表[[#Totals],[泛酸 ug]]*100</f>
        <v>83.52150059545653</v>
      </c>
      <c r="Y23">
        <f>VLOOKUP($A23,表1[#All],MATCH(表1_4[[#Headers],[维生素C mg]],表1_4[#Headers],0),)/品牌均值表[[#Totals],[维生素C mg]]*100</f>
        <v>77.301494232624918</v>
      </c>
      <c r="Z23">
        <f>VLOOKUP($A23,表1[#All],MATCH(表1_4[[#Headers],[生物素 ug]],表1_4[#Headers],0),)/品牌均值表[[#Totals],[生物素 ug]]*100</f>
        <v>81.347205067960672</v>
      </c>
      <c r="AA23">
        <f>VLOOKUP($A23,表1[#All],MATCH(表1_4[[#Headers],[钠 mg]],表1_4[#Headers],0),)/品牌均值表[[#Totals],[钠 mg]]*100</f>
        <v>112.35733575131577</v>
      </c>
      <c r="AB23">
        <f>VLOOKUP($A23,表1[#All],MATCH(表1_4[[#Headers],[钾 mg]],表1_4[#Headers],0),)/品牌均值表[[#Totals],[钾 mg]]*100</f>
        <v>101.42497256695981</v>
      </c>
      <c r="AC23">
        <f>VLOOKUP($A23,表1[#All],MATCH(表1_4[[#Headers],[铜 ug]],表1_4[#Headers],0),)/品牌均值表[[#Totals],[铜 ug]]*100</f>
        <v>109.7264896992898</v>
      </c>
      <c r="AD23">
        <f>VLOOKUP($A23,表1[#All],MATCH(表1_4[[#Headers],[镁 mg]],表1_4[#Headers],0),)/品牌均值表[[#Totals],[镁 mg]]*100</f>
        <v>119.54114021952999</v>
      </c>
      <c r="AE23">
        <f>VLOOKUP($A23,表1[#All],MATCH(表1_4[[#Headers],[铁 mg ]],表1_4[#Headers],0),)/品牌均值表[[#Totals],[铁 mg ]]*100</f>
        <v>106.72007652756186</v>
      </c>
      <c r="AF23">
        <f>VLOOKUP($A23,表1[#All],MATCH(表1_4[[#Headers],[锌 mg]],表1_4[#Headers],0),)/品牌均值表[[#Totals],[锌 mg]]*100</f>
        <v>85.282156304207817</v>
      </c>
      <c r="AG23">
        <f>VLOOKUP($A23,表1[#All],MATCH(表1_4[[#Headers],[锰 ug]],表1_4[#Headers],0),)/品牌均值表[[#Totals],[锰 ug]]*100</f>
        <v>121.65143714927613</v>
      </c>
      <c r="AH23">
        <f>VLOOKUP($A23,表1[#All],MATCH(表1_4[[#Headers],[钙mg]],表1_4[#Headers],0),)/品牌均值表[[#Totals],[钙mg]]*100</f>
        <v>137.26916718796267</v>
      </c>
      <c r="AI23">
        <f>VLOOKUP($A23,表1[#All],MATCH(表1_4[[#Headers],[磷 mg]],表1_4[#Headers],0),)/品牌均值表[[#Totals],[磷 mg]]*100</f>
        <v>136.64466186038047</v>
      </c>
      <c r="AJ23">
        <f>VLOOKUP($A23,表1[#All],MATCH(表1_4[[#Headers],[碘 ug]],表1_4[#Headers],0),)/品牌均值表[[#Totals],[碘 ug]]*100</f>
        <v>105.96503874571994</v>
      </c>
      <c r="AK23">
        <f>VLOOKUP($A23,表1[#All],MATCH(表1_4[[#Headers],[氯 mg]],表1_4[#Headers],0),)/品牌均值表[[#Totals],[氯 mg]]*100</f>
        <v>98.409081924913849</v>
      </c>
      <c r="AL23">
        <f>VLOOKUP($A23,表1[#All],MATCH(表1_4[[#Headers],[硒 mg]],表1_4[#Headers],0),)/品牌均值表[[#Totals],[硒 mg]]*100</f>
        <v>113.13675501467122</v>
      </c>
      <c r="AM23">
        <f>VLOOKUP($A23,表1[#All],MATCH(表1_4[[#Headers],[胆碱 mg]],表1_4[#Headers],0),)/品牌均值表[[#Totals],[胆碱 mg]]*100</f>
        <v>133.11918114008822</v>
      </c>
      <c r="AN23">
        <f>VLOOKUP($A23,表1[#All],MATCH(表1_4[[#Headers],[肌醇 mg]],表1_4[#Headers],0),)/品牌均值表[[#Totals],[肌醇 mg]]*100</f>
        <v>90.567535388278884</v>
      </c>
      <c r="AO23">
        <f>VLOOKUP($A23,表1[#All],MATCH(表1_4[[#Headers],[牛磺酸 mg]],表1_4[#Headers],0),)/品牌均值表[[#Totals],[牛磺酸 mg]]*100</f>
        <v>120.21180174593333</v>
      </c>
      <c r="AP23">
        <f>VLOOKUP($A23,表1[#All],MATCH(表1_4[[#Headers],[左旋肉碱 mg]],表1_4[#Headers],0),)/品牌均值表[[#Totals],[左旋肉碱 mg]]*100</f>
        <v>107.16818944751498</v>
      </c>
      <c r="AQ23">
        <f>VLOOKUP($A23,表1[#All],MATCH(表1_4[[#Headers],[二十二碳六烯酸 mg]],表1_4[#Headers],0),)/品牌均值表[[#Totals],[二十二碳六烯酸 mg]]*100</f>
        <v>106.84576051285966</v>
      </c>
      <c r="AR23">
        <f>VLOOKUP($A23,表1[#All],MATCH(表1_4[[#Headers],[二十碳四烯酸 mg]],表1_4[#Headers],0),)/品牌均值表[[#Totals],[二十碳四烯酸 mg]]*100</f>
        <v>75.786282682834411</v>
      </c>
      <c r="AS23">
        <f>VLOOKUP($A23,表1[#All],MATCH(表1_4[[#Headers],[低聚半乳糖 g]],表1_4[#Headers],0),)/表1[[#Totals],[低聚半乳糖 g]]*100</f>
        <v>0</v>
      </c>
      <c r="AT23">
        <f>VLOOKUP($A23,表1[#All],MATCH(表1_4[[#Headers],[低聚果糖 g]],表1_4[#Headers],0),)/表1[[#Totals],[低聚果糖 g]]*50</f>
        <v>0</v>
      </c>
      <c r="AU23">
        <f>VLOOKUP($A23,表1[#All],MATCH(表1_4[[#Headers],[多聚果糖 g]],表1_4[#Headers],0),)/表1[[#Totals],[多聚果糖 g]]*100</f>
        <v>0</v>
      </c>
      <c r="AV23">
        <f>VLOOKUP($A23,表1[#All],MATCH(表1_4[[#Headers],[聚葡萄糖 g]],表1_4[#Headers],0),)/表1[[#Totals],[聚葡萄糖 g]]*100</f>
        <v>0</v>
      </c>
      <c r="AW23">
        <f>VLOOKUP($A23,表1[#All],MATCH(表1_4[[#Headers],[核苷酸 mg]],表1_4[#Headers],0),)/表1[[#Totals],[核苷酸 mg]]*100</f>
        <v>91.292134831460686</v>
      </c>
      <c r="AX23">
        <f>VLOOKUP($A23,表1[#All],MATCH(表1_4[[#Headers],[13二油酸 g]],表1_4[#Headers],0),)/表1[[#Totals],[13二油酸 g]]*100</f>
        <v>75.221238938053091</v>
      </c>
      <c r="AY23">
        <f>VLOOKUP($A23,表1[#All],MATCH(表1_4[[#Headers],[叶黄素 ug]],表1_4[#Headers],0),)/表1[[#Totals],[叶黄素 ug]]*100</f>
        <v>0</v>
      </c>
      <c r="AZ23">
        <f>VLOOKUP($A23,表1[#All],MATCH(表1_4[[#Headers],[乳铁蛋白 mg]],表1_4[#Headers],0),)/表1[[#Totals],[乳铁蛋白 mg]]*100</f>
        <v>0</v>
      </c>
      <c r="BA23">
        <f>VLOOKUP($A23,表1[#All],MATCH(表1_4[[#Headers],[酪蛋白磷酸肽 mg]],表1_4[#Headers],0),)/表1[[#Totals],[酪蛋白磷酸肽 mg]]*100</f>
        <v>0</v>
      </c>
      <c r="BB23">
        <f>VLOOKUP($A23,表1[#All],MATCH(表1_4[[#Headers],[b胡萝卜素 ug]],表1_4[#Headers],0),)/表1[[#Totals],[b胡萝卜素 ug]]*100</f>
        <v>0</v>
      </c>
      <c r="BC23">
        <f>AVERAGE(表1_4[[#This Row],[能量kj]:[碳水化合物g]])</f>
        <v>95.356630198895758</v>
      </c>
      <c r="BD23">
        <f>AVERAGE(N23:Z23,AM23)</f>
        <v>93.112065398202958</v>
      </c>
      <c r="BE23">
        <f>AVERAGE(表1_4[[#This Row],[钠 mg]:[硒 mg]])</f>
        <v>112.34402607931578</v>
      </c>
      <c r="BF23" s="4">
        <f>SUM(表1_4[[#This Row],[肌醇 mg]:[b胡萝卜素 ug]])/SUM(表1_4[[肌醇 mg]:[b胡萝卜素 ug]])*3400</f>
        <v>85.125095316040401</v>
      </c>
      <c r="BG23" s="4">
        <f>0.5*表1_4[[#This Row],[基础能量]]+表1_4[[#This Row],[维生素]]+表1_4[[#This Row],[微量元素]]+表1_4[[#This Row],[加分项]]+IF(COUNTIF(F23,"*A2*"),0.6,0)*表1_4[[#This Row],[基础能量]]</f>
        <v>338.25950189300704</v>
      </c>
      <c r="BH23" s="4">
        <f>表1_4[[#This Row],[总分]]/表1_4[[#This Row],[百克重量]]</f>
        <v>7.0294992080841032</v>
      </c>
    </row>
    <row r="24" spans="1:60" ht="48">
      <c r="A24" s="1" t="s">
        <v>42</v>
      </c>
      <c r="B24" s="2" t="s">
        <v>40</v>
      </c>
      <c r="C24" s="2">
        <v>850</v>
      </c>
      <c r="D24" s="2">
        <v>263</v>
      </c>
      <c r="E24" s="2">
        <v>30.94</v>
      </c>
      <c r="F24" s="2" t="s">
        <v>2</v>
      </c>
      <c r="G24" s="2" t="s">
        <v>3</v>
      </c>
      <c r="H24">
        <f>VLOOKUP($A24,表1[#All],MATCH(表1_4[[#Headers],[能量kj]],表1_4[#Headers],0),)/品牌均值表[[#Totals],[能量kj]]*100</f>
        <v>98.919974587637356</v>
      </c>
      <c r="I24">
        <f>VLOOKUP($A24,表1[#All],MATCH(表1_4[[#Headers],[蛋白质g]],表1_4[#Headers],0),)/品牌均值表[[#Totals],[蛋白质g]]*100</f>
        <v>97.664143860834145</v>
      </c>
      <c r="J24">
        <f>VLOOKUP($A24,表1[#All],MATCH(表1_4[[#Headers],[脂肪g]],表1_4[#Headers],0),)/品牌均值表[[#Totals],[脂肪g]]*100</f>
        <v>96.246598121487324</v>
      </c>
      <c r="K24">
        <f>VLOOKUP($A24,表1[#All],MATCH(表1_4[[#Headers],[亚油酸g]],表1_4[#Headers],0),)/品牌均值表[[#Totals],[亚油酸g]]*100</f>
        <v>109.1982840269653</v>
      </c>
      <c r="L24">
        <f>VLOOKUP($A24,表1[#All],MATCH(表1_4[[#Headers],[a-亚麻酸mg]],表1_4[#Headers],0),)/品牌均值表[[#Totals],[a-亚麻酸mg]]*100</f>
        <v>83.800745769630026</v>
      </c>
      <c r="M24">
        <f>VLOOKUP($A24,表1[#All],MATCH(表1_4[[#Headers],[碳水化合物g]],表1_4[#Headers],0),)/品牌均值表[[#Totals],[碳水化合物g]]*100</f>
        <v>101.3664282288389</v>
      </c>
      <c r="N24">
        <f>VLOOKUP($A24,表1[#All],MATCH(表1_4[[#Headers],[维生素A（ug视黄醇）]],表1_4[#Headers],0),)/品牌均值表[[#Totals],[维生素A（ug视黄醇）]]*100</f>
        <v>108.98478653109498</v>
      </c>
      <c r="O24">
        <f>VLOOKUP($A24,表1[#All],MATCH(表1_4[[#Headers],[维生素D ug]],表1_4[#Headers],0),)/品牌均值表[[#Totals],[维生素D ug]]*100</f>
        <v>68.637544736971108</v>
      </c>
      <c r="P24">
        <f>VLOOKUP($A24,表1[#All],MATCH(表1_4[[#Headers],[维生素E mg]],表1_4[#Headers],0),)/品牌均值表[[#Totals],[维生素E mg]]*100</f>
        <v>89.074460681976348</v>
      </c>
      <c r="Q24">
        <f>VLOOKUP($A24,表1[#All],MATCH(表1_4[[#Headers],[维生素K1 ug]],表1_4[#Headers],0),)/品牌均值表[[#Totals],[维生素K1 ug]]*100</f>
        <v>96.654036349624306</v>
      </c>
      <c r="R24">
        <f>VLOOKUP($A24,表1[#All],MATCH(表1_4[[#Headers],[维生素B1 ug]],表1_4[#Headers],0),)/品牌均值表[[#Totals],[维生素B1 ug]]*100</f>
        <v>69.576576832419846</v>
      </c>
      <c r="S24">
        <f>VLOOKUP($A24,表1[#All],MATCH(表1_4[[#Headers],[维生素B2 ug]],表1_4[#Headers],0),)/品牌均值表[[#Totals],[维生素B2 ug]]*100</f>
        <v>130.2854803036272</v>
      </c>
      <c r="T24">
        <f>VLOOKUP($A24,表1[#All],MATCH(表1_4[[#Headers],[维生素B6 ug]],表1_4[#Headers],0),)/品牌均值表[[#Totals],[维生素B6 ug]]*100</f>
        <v>88.108006430485915</v>
      </c>
      <c r="U24">
        <f>VLOOKUP($A24,表1[#All],MATCH(表1_4[[#Headers],[维生素B12 ug]],表1_4[#Headers],0),)/品牌均值表[[#Totals],[维生素B12 ug]]*100</f>
        <v>92.860090796533214</v>
      </c>
      <c r="V24">
        <f>VLOOKUP($A24,表1[#All],MATCH(表1_4[[#Headers],[烟酸 ug]],表1_4[#Headers],0),)/品牌均值表[[#Totals],[烟酸 ug]]*100</f>
        <v>98.907439121555413</v>
      </c>
      <c r="W24">
        <f>VLOOKUP($A24,表1[#All],MATCH(表1_4[[#Headers],[叶酸 ug]],表1_4[#Headers],0),)/品牌均值表[[#Totals],[叶酸 ug]]*100</f>
        <v>93.104451556590035</v>
      </c>
      <c r="X24">
        <f>VLOOKUP($A24,表1[#All],MATCH(表1_4[[#Headers],[泛酸 ug]],表1_4[#Headers],0),)/品牌均值表[[#Totals],[泛酸 ug]]*100</f>
        <v>75.642113746828556</v>
      </c>
      <c r="Y24">
        <f>VLOOKUP($A24,表1[#All],MATCH(表1_4[[#Headers],[维生素C mg]],表1_4[#Headers],0),)/品牌均值表[[#Totals],[维生素C mg]]*100</f>
        <v>110.43070604660701</v>
      </c>
      <c r="Z24">
        <f>VLOOKUP($A24,表1[#All],MATCH(表1_4[[#Headers],[生物素 ug]],表1_4[#Headers],0),)/品牌均值表[[#Totals],[生物素 ug]]*100</f>
        <v>84.475943724420702</v>
      </c>
      <c r="AA24">
        <f>VLOOKUP($A24,表1[#All],MATCH(表1_4[[#Headers],[钠 mg]],表1_4[#Headers],0),)/品牌均值表[[#Totals],[钠 mg]]*100</f>
        <v>88.703159803670346</v>
      </c>
      <c r="AB24">
        <f>VLOOKUP($A24,表1[#All],MATCH(表1_4[[#Headers],[钾 mg]],表1_4[#Headers],0),)/品牌均值表[[#Totals],[钾 mg]]*100</f>
        <v>105.4819714696382</v>
      </c>
      <c r="AC24">
        <f>VLOOKUP($A24,表1[#All],MATCH(表1_4[[#Headers],[铜 ug]],表1_4[#Headers],0),)/品牌均值表[[#Totals],[铜 ug]]*100</f>
        <v>93.084168639500334</v>
      </c>
      <c r="AD24">
        <f>VLOOKUP($A24,表1[#All],MATCH(表1_4[[#Headers],[镁 mg]],表1_4[#Headers],0),)/品牌均值表[[#Totals],[镁 mg]]*100</f>
        <v>98.751376703089988</v>
      </c>
      <c r="AE24">
        <f>VLOOKUP($A24,表1[#All],MATCH(表1_4[[#Headers],[铁 mg ]],表1_4[#Headers],0),)/品牌均值表[[#Totals],[铁 mg ]]*100</f>
        <v>104.62752600741361</v>
      </c>
      <c r="AF24">
        <f>VLOOKUP($A24,表1[#All],MATCH(表1_4[[#Headers],[锌 mg]],表1_4[#Headers],0),)/品牌均值表[[#Totals],[锌 mg]]*100</f>
        <v>109.64848667683862</v>
      </c>
      <c r="AG24">
        <f>VLOOKUP($A24,表1[#All],MATCH(表1_4[[#Headers],[锰 ug]],表1_4[#Headers],0),)/品牌均值表[[#Totals],[锰 ug]]*100</f>
        <v>89.916279632073653</v>
      </c>
      <c r="AH24">
        <f>VLOOKUP($A24,表1[#All],MATCH(表1_4[[#Headers],[钙mg]],表1_4[#Headers],0),)/品牌均值表[[#Totals],[钙mg]]*100</f>
        <v>104.32456706285163</v>
      </c>
      <c r="AI24">
        <f>VLOOKUP($A24,表1[#All],MATCH(表1_4[[#Headers],[磷 mg]],表1_4[#Headers],0),)/品牌均值表[[#Totals],[磷 mg]]*100</f>
        <v>98.213350712148468</v>
      </c>
      <c r="AJ24">
        <f>VLOOKUP($A24,表1[#All],MATCH(表1_4[[#Headers],[碘 ug]],表1_4[#Headers],0),)/品牌均值表[[#Totals],[碘 ug]]*100</f>
        <v>91.908451973328525</v>
      </c>
      <c r="AK24">
        <f>VLOOKUP($A24,表1[#All],MATCH(表1_4[[#Headers],[氯 mg]],表1_4[#Headers],0),)/品牌均值表[[#Totals],[氯 mg]]*100</f>
        <v>96.597871828136292</v>
      </c>
      <c r="AL24">
        <f>VLOOKUP($A24,表1[#All],MATCH(表1_4[[#Headers],[硒 mg]],表1_4[#Headers],0),)/品牌均值表[[#Totals],[硒 mg]]*100</f>
        <v>80.8119678676223</v>
      </c>
      <c r="AM24">
        <f>VLOOKUP($A24,表1[#All],MATCH(表1_4[[#Headers],[胆碱 mg]],表1_4[#Headers],0),)/品牌均值表[[#Totals],[胆碱 mg]]*100</f>
        <v>98.0018511460772</v>
      </c>
      <c r="AN24">
        <f>VLOOKUP($A24,表1[#All],MATCH(表1_4[[#Headers],[肌醇 mg]],表1_4[#Headers],0),)/品牌均值表[[#Totals],[肌醇 mg]]*100</f>
        <v>116.68210080698506</v>
      </c>
      <c r="AO24">
        <f>VLOOKUP($A24,表1[#All],MATCH(表1_4[[#Headers],[牛磺酸 mg]],表1_4[#Headers],0),)/品牌均值表[[#Totals],[牛磺酸 mg]]*100</f>
        <v>96.837284739779619</v>
      </c>
      <c r="AP24">
        <f>VLOOKUP($A24,表1[#All],MATCH(表1_4[[#Headers],[左旋肉碱 mg]],表1_4[#Headers],0),)/品牌均值表[[#Totals],[左旋肉碱 mg]]*100</f>
        <v>98.319439860105476</v>
      </c>
      <c r="AQ24">
        <f>VLOOKUP($A24,表1[#All],MATCH(表1_4[[#Headers],[二十二碳六烯酸 mg]],表1_4[#Headers],0),)/品牌均值表[[#Totals],[二十二碳六烯酸 mg]]*100</f>
        <v>96.379237034048927</v>
      </c>
      <c r="AR24">
        <f>VLOOKUP($A24,表1[#All],MATCH(表1_4[[#Headers],[二十碳四烯酸 mg]],表1_4[#Headers],0),)/品牌均值表[[#Totals],[二十碳四烯酸 mg]]*100</f>
        <v>136.72464059515431</v>
      </c>
      <c r="AS24">
        <f>VLOOKUP($A24,表1[#All],MATCH(表1_4[[#Headers],[低聚半乳糖 g]],表1_4[#Headers],0),)/表1[[#Totals],[低聚半乳糖 g]]*100</f>
        <v>67.006269592476471</v>
      </c>
      <c r="AT24">
        <f>VLOOKUP($A24,表1[#All],MATCH(表1_4[[#Headers],[低聚果糖 g]],表1_4[#Headers],0),)/表1[[#Totals],[低聚果糖 g]]*50</f>
        <v>0</v>
      </c>
      <c r="AU24">
        <f>VLOOKUP($A24,表1[#All],MATCH(表1_4[[#Headers],[多聚果糖 g]],表1_4[#Headers],0),)/表1[[#Totals],[多聚果糖 g]]*100</f>
        <v>0</v>
      </c>
      <c r="AV24">
        <f>VLOOKUP($A24,表1[#All],MATCH(表1_4[[#Headers],[聚葡萄糖 g]],表1_4[#Headers],0),)/表1[[#Totals],[聚葡萄糖 g]]*100</f>
        <v>100</v>
      </c>
      <c r="AW24">
        <f>VLOOKUP($A24,表1[#All],MATCH(表1_4[[#Headers],[核苷酸 mg]],表1_4[#Headers],0),)/表1[[#Totals],[核苷酸 mg]]*100</f>
        <v>54.77528089887641</v>
      </c>
      <c r="AX24">
        <f>VLOOKUP($A24,表1[#All],MATCH(表1_4[[#Headers],[13二油酸 g]],表1_4[#Headers],0),)/表1[[#Totals],[13二油酸 g]]*100</f>
        <v>0</v>
      </c>
      <c r="AY24">
        <f>VLOOKUP($A24,表1[#All],MATCH(表1_4[[#Headers],[叶黄素 ug]],表1_4[#Headers],0),)/表1[[#Totals],[叶黄素 ug]]*100</f>
        <v>0</v>
      </c>
      <c r="AZ24">
        <f>VLOOKUP($A24,表1[#All],MATCH(表1_4[[#Headers],[乳铁蛋白 mg]],表1_4[#Headers],0),)/表1[[#Totals],[乳铁蛋白 mg]]*100</f>
        <v>0</v>
      </c>
      <c r="BA24">
        <f>VLOOKUP($A24,表1[#All],MATCH(表1_4[[#Headers],[酪蛋白磷酸肽 mg]],表1_4[#Headers],0),)/表1[[#Totals],[酪蛋白磷酸肽 mg]]*100</f>
        <v>0</v>
      </c>
      <c r="BB24">
        <f>VLOOKUP($A24,表1[#All],MATCH(表1_4[[#Headers],[b胡萝卜素 ug]],表1_4[#Headers],0),)/表1[[#Totals],[b胡萝卜素 ug]]*100</f>
        <v>0</v>
      </c>
      <c r="BC24">
        <f>AVERAGE(表1_4[[#This Row],[能量kj]:[碳水化合物g]])</f>
        <v>97.866029099232165</v>
      </c>
      <c r="BD24">
        <f>AVERAGE(N24:Z24,AM24)</f>
        <v>93.195963428915107</v>
      </c>
      <c r="BE24">
        <f>AVERAGE(表1_4[[#This Row],[钠 mg]:[硒 mg]])</f>
        <v>96.839098198026008</v>
      </c>
      <c r="BF24" s="4">
        <f>SUM(表1_4[[#This Row],[肌醇 mg]:[b胡萝卜素 ug]])/SUM(表1_4[[肌醇 mg]:[b胡萝卜素 ug]])*3400</f>
        <v>97.838653210173007</v>
      </c>
      <c r="BG24" s="4">
        <f>0.5*表1_4[[#This Row],[基础能量]]+表1_4[[#This Row],[维生素]]+表1_4[[#This Row],[微量元素]]+表1_4[[#This Row],[加分项]]+IF(COUNTIF(F24,"*A2*"),0.6,0)*表1_4[[#This Row],[基础能量]]</f>
        <v>336.80672938673018</v>
      </c>
      <c r="BH24" s="4">
        <f>表1_4[[#This Row],[总分]]/表1_4[[#This Row],[百克重量]]</f>
        <v>10.885802501187142</v>
      </c>
    </row>
    <row r="25" spans="1:60" ht="64">
      <c r="A25" s="1" t="s">
        <v>27</v>
      </c>
      <c r="B25" s="2" t="s">
        <v>26</v>
      </c>
      <c r="C25" s="2">
        <v>900</v>
      </c>
      <c r="D25" s="2">
        <v>289</v>
      </c>
      <c r="E25" s="2">
        <v>32.11</v>
      </c>
      <c r="F25" s="2">
        <v>0</v>
      </c>
      <c r="G25" s="2" t="s">
        <v>3</v>
      </c>
      <c r="H25">
        <f>VLOOKUP($A25,表1[#All],MATCH(表1_4[[#Headers],[能量kj]],表1_4[#Headers],0),)/品牌均值表[[#Totals],[能量kj]]*100</f>
        <v>99.578813619143986</v>
      </c>
      <c r="I25">
        <f>VLOOKUP($A25,表1[#All],MATCH(表1_4[[#Headers],[蛋白质g]],表1_4[#Headers],0),)/品牌均值表[[#Totals],[蛋白质g]]*100</f>
        <v>88.362796826468994</v>
      </c>
      <c r="J25">
        <f>VLOOKUP($A25,表1[#All],MATCH(表1_4[[#Headers],[脂肪g]],表1_4[#Headers],0),)/品牌均值表[[#Totals],[脂肪g]]*100</f>
        <v>102.53964492173841</v>
      </c>
      <c r="K25">
        <f>VLOOKUP($A25,表1[#All],MATCH(表1_4[[#Headers],[亚油酸g]],表1_4[#Headers],0),)/品牌均值表[[#Totals],[亚油酸g]]*100</f>
        <v>75.398815161476023</v>
      </c>
      <c r="L25">
        <f>VLOOKUP($A25,表1[#All],MATCH(表1_4[[#Headers],[a-亚麻酸mg]],表1_4[#Headers],0),)/品牌均值表[[#Totals],[a-亚麻酸mg]]*100</f>
        <v>118.51819758847675</v>
      </c>
      <c r="M25">
        <f>VLOOKUP($A25,表1[#All],MATCH(表1_4[[#Headers],[碳水化合物g]],表1_4[#Headers],0),)/品牌均值表[[#Totals],[碳水化合物g]]*100</f>
        <v>98.159563044871987</v>
      </c>
      <c r="N25">
        <f>VLOOKUP($A25,表1[#All],MATCH(表1_4[[#Headers],[维生素A（ug视黄醇）]],表1_4[#Headers],0),)/品牌均值表[[#Totals],[维生素A（ug视黄醇）]]*100</f>
        <v>90.820655442579152</v>
      </c>
      <c r="O25">
        <f>VLOOKUP($A25,表1[#All],MATCH(表1_4[[#Headers],[维生素D ug]],表1_4[#Headers],0),)/品牌均值表[[#Totals],[维生素D ug]]*100</f>
        <v>117.66436240623619</v>
      </c>
      <c r="P25">
        <f>VLOOKUP($A25,表1[#All],MATCH(表1_4[[#Headers],[维生素E mg]],表1_4[#Headers],0),)/品牌均值表[[#Totals],[维生素E mg]]*100</f>
        <v>83.507306889352819</v>
      </c>
      <c r="Q25">
        <f>VLOOKUP($A25,表1[#All],MATCH(表1_4[[#Headers],[维生素K1 ug]],表1_4[#Headers],0),)/品牌均值表[[#Totals],[维生素K1 ug]]*100</f>
        <v>76.424121764819219</v>
      </c>
      <c r="R25">
        <f>VLOOKUP($A25,表1[#All],MATCH(表1_4[[#Headers],[维生素B1 ug]],表1_4[#Headers],0),)/品牌均值表[[#Totals],[维生素B1 ug]]*100</f>
        <v>111.32252293187175</v>
      </c>
      <c r="S25">
        <f>VLOOKUP($A25,表1[#All],MATCH(表1_4[[#Headers],[维生素B2 ug]],表1_4[#Headers],0),)/品牌均值表[[#Totals],[维生素B2 ug]]*100</f>
        <v>91.19983621253904</v>
      </c>
      <c r="T25">
        <f>VLOOKUP($A25,表1[#All],MATCH(表1_4[[#Headers],[维生素B6 ug]],表1_4[#Headers],0),)/品牌均值表[[#Totals],[维生素B6 ug]]*100</f>
        <v>111.60347481194883</v>
      </c>
      <c r="U25">
        <f>VLOOKUP($A25,表1[#All],MATCH(表1_4[[#Headers],[维生素B12 ug]],表1_4[#Headers],0),)/品牌均值表[[#Totals],[维生素B12 ug]]*100</f>
        <v>43.334709038382165</v>
      </c>
      <c r="V25">
        <f>VLOOKUP($A25,表1[#All],MATCH(表1_4[[#Headers],[烟酸 ug]],表1_4[#Headers],0),)/品牌均值表[[#Totals],[烟酸 ug]]*100</f>
        <v>96.160010257067768</v>
      </c>
      <c r="W25">
        <f>VLOOKUP($A25,表1[#All],MATCH(表1_4[[#Headers],[叶酸 ug]],表1_4[#Headers],0),)/品牌均值表[[#Totals],[叶酸 ug]]*100</f>
        <v>89.613034623217914</v>
      </c>
      <c r="X25">
        <f>VLOOKUP($A25,表1[#All],MATCH(表1_4[[#Headers],[泛酸 ug]],表1_4[#Headers],0),)/品牌均值表[[#Totals],[泛酸 ug]]*100</f>
        <v>81.945623225730941</v>
      </c>
      <c r="Y25">
        <f>VLOOKUP($A25,表1[#All],MATCH(表1_4[[#Headers],[维生素C mg]],表1_4[#Headers],0),)/品牌均值表[[#Totals],[维生素C mg]]*100</f>
        <v>77.301494232624918</v>
      </c>
      <c r="Z25">
        <f>VLOOKUP($A25,表1[#All],MATCH(表1_4[[#Headers],[生物素 ug]],表1_4[#Headers],0),)/品牌均值表[[#Totals],[生物素 ug]]*100</f>
        <v>81.347205067960672</v>
      </c>
      <c r="AA25">
        <f>VLOOKUP($A25,表1[#All],MATCH(表1_4[[#Headers],[钠 mg]],表1_4[#Headers],0),)/品牌均值表[[#Totals],[钠 mg]]*100</f>
        <v>110.58327255524236</v>
      </c>
      <c r="AB25">
        <f>VLOOKUP($A25,表1[#All],MATCH(表1_4[[#Headers],[钾 mg]],表1_4[#Headers],0),)/品牌均值表[[#Totals],[钾 mg]]*100</f>
        <v>112.58171954932538</v>
      </c>
      <c r="AC25">
        <f>VLOOKUP($A25,表1[#All],MATCH(表1_4[[#Headers],[铜 ug]],表1_4[#Headers],0),)/品牌均值表[[#Totals],[铜 ug]]*100</f>
        <v>107.18783055457615</v>
      </c>
      <c r="AD25">
        <f>VLOOKUP($A25,表1[#All],MATCH(表1_4[[#Headers],[镁 mg]],表1_4[#Headers],0),)/品牌均值表[[#Totals],[镁 mg]]*100</f>
        <v>124.73858109863998</v>
      </c>
      <c r="AE25">
        <f>VLOOKUP($A25,表1[#All],MATCH(表1_4[[#Headers],[铁 mg ]],表1_4[#Headers],0),)/品牌均值表[[#Totals],[铁 mg ]]*100</f>
        <v>104.62752600741361</v>
      </c>
      <c r="AF25">
        <f>VLOOKUP($A25,表1[#All],MATCH(表1_4[[#Headers],[锌 mg]],表1_4[#Headers],0),)/品牌均值表[[#Totals],[锌 mg]]*100</f>
        <v>80.408890229681646</v>
      </c>
      <c r="AG25">
        <f>VLOOKUP($A25,表1[#All],MATCH(表1_4[[#Headers],[锰 ug]],表1_4[#Headers],0),)/品牌均值表[[#Totals],[锰 ug]]*100</f>
        <v>116.36224422974237</v>
      </c>
      <c r="AH25">
        <f>VLOOKUP($A25,表1[#All],MATCH(表1_4[[#Headers],[钙mg]],表1_4[#Headers],0),)/品牌均值表[[#Totals],[钙mg]]*100</f>
        <v>137.26916718796267</v>
      </c>
      <c r="AI25">
        <f>VLOOKUP($A25,表1[#All],MATCH(表1_4[[#Headers],[磷 mg]],表1_4[#Headers],0),)/品牌均值表[[#Totals],[磷 mg]]*100</f>
        <v>136.64466186038047</v>
      </c>
      <c r="AJ25">
        <f>VLOOKUP($A25,表1[#All],MATCH(表1_4[[#Headers],[碘 ug]],表1_4[#Headers],0),)/品牌均值表[[#Totals],[碘 ug]]*100</f>
        <v>103.8024869345828</v>
      </c>
      <c r="AK25">
        <f>VLOOKUP($A25,表1[#All],MATCH(表1_4[[#Headers],[氯 mg]],表1_4[#Headers],0),)/品牌均值表[[#Totals],[氯 mg]]*100</f>
        <v>96.597871828136292</v>
      </c>
      <c r="AL25">
        <f>VLOOKUP($A25,表1[#All],MATCH(表1_4[[#Headers],[硒 mg]],表1_4[#Headers],0),)/品牌均值表[[#Totals],[硒 mg]]*100</f>
        <v>115.44566838231758</v>
      </c>
      <c r="AM25">
        <f>VLOOKUP($A25,表1[#All],MATCH(表1_4[[#Headers],[胆碱 mg]],表1_4[#Headers],0),)/品牌均值表[[#Totals],[胆碱 mg]]*100</f>
        <v>106.16867207491696</v>
      </c>
      <c r="AN25">
        <f>VLOOKUP($A25,表1[#All],MATCH(表1_4[[#Headers],[肌醇 mg]],表1_4[#Headers],0),)/品牌均值表[[#Totals],[肌醇 mg]]*100</f>
        <v>83.344357719275038</v>
      </c>
      <c r="AO25">
        <f>VLOOKUP($A25,表1[#All],MATCH(表1_4[[#Headers],[牛磺酸 mg]],表1_4[#Headers],0),)/品牌均值表[[#Totals],[牛磺酸 mg]]*100</f>
        <v>120.21180174593333</v>
      </c>
      <c r="AP25">
        <f>VLOOKUP($A25,表1[#All],MATCH(表1_4[[#Headers],[左旋肉碱 mg]],表1_4[#Headers],0),)/品牌均值表[[#Totals],[左旋肉碱 mg]]*100</f>
        <v>88.487495874094932</v>
      </c>
      <c r="AQ25">
        <f>VLOOKUP($A25,表1[#All],MATCH(表1_4[[#Headers],[二十二碳六烯酸 mg]],表1_4[#Headers],0),)/品牌均值表[[#Totals],[二十二碳六烯酸 mg]]*100</f>
        <v>104.66523478810743</v>
      </c>
      <c r="AR25">
        <f>VLOOKUP($A25,表1[#All],MATCH(表1_4[[#Headers],[二十碳四烯酸 mg]],表1_4[#Headers],0),)/品牌均值表[[#Totals],[二十碳四烯酸 mg]]*100</f>
        <v>74.239623852572478</v>
      </c>
      <c r="AS25">
        <f>VLOOKUP($A25,表1[#All],MATCH(表1_4[[#Headers],[低聚半乳糖 g]],表1_4[#Headers],0),)/表1[[#Totals],[低聚半乳糖 g]]*100</f>
        <v>133.13087774294667</v>
      </c>
      <c r="AT25">
        <f>VLOOKUP($A25,表1[#All],MATCH(表1_4[[#Headers],[低聚果糖 g]],表1_4[#Headers],0),)/表1[[#Totals],[低聚果糖 g]]*50</f>
        <v>0</v>
      </c>
      <c r="AU25">
        <f>VLOOKUP($A25,表1[#All],MATCH(表1_4[[#Headers],[多聚果糖 g]],表1_4[#Headers],0),)/表1[[#Totals],[多聚果糖 g]]*100</f>
        <v>0</v>
      </c>
      <c r="AV25">
        <f>VLOOKUP($A25,表1[#All],MATCH(表1_4[[#Headers],[聚葡萄糖 g]],表1_4[#Headers],0),)/表1[[#Totals],[聚葡萄糖 g]]*100</f>
        <v>0</v>
      </c>
      <c r="AW25">
        <f>VLOOKUP($A25,表1[#All],MATCH(表1_4[[#Headers],[核苷酸 mg]],表1_4[#Headers],0),)/表1[[#Totals],[核苷酸 mg]]*100</f>
        <v>0</v>
      </c>
      <c r="AX25">
        <f>VLOOKUP($A25,表1[#All],MATCH(表1_4[[#Headers],[13二油酸 g]],表1_4[#Headers],0),)/表1[[#Totals],[13二油酸 g]]*100</f>
        <v>0</v>
      </c>
      <c r="AY25">
        <f>VLOOKUP($A25,表1[#All],MATCH(表1_4[[#Headers],[叶黄素 ug]],表1_4[#Headers],0),)/表1[[#Totals],[叶黄素 ug]]*100</f>
        <v>0</v>
      </c>
      <c r="AZ25">
        <f>VLOOKUP($A25,表1[#All],MATCH(表1_4[[#Headers],[乳铁蛋白 mg]],表1_4[#Headers],0),)/表1[[#Totals],[乳铁蛋白 mg]]*100</f>
        <v>0</v>
      </c>
      <c r="BA25">
        <f>VLOOKUP($A25,表1[#All],MATCH(表1_4[[#Headers],[酪蛋白磷酸肽 mg]],表1_4[#Headers],0),)/表1[[#Totals],[酪蛋白磷酸肽 mg]]*100</f>
        <v>0</v>
      </c>
      <c r="BB25">
        <f>VLOOKUP($A25,表1[#All],MATCH(表1_4[[#Headers],[b胡萝卜素 ug]],表1_4[#Headers],0),)/表1[[#Totals],[b胡萝卜素 ug]]*100</f>
        <v>0</v>
      </c>
      <c r="BC25">
        <f>AVERAGE(表1_4[[#This Row],[能量kj]:[碳水化合物g]])</f>
        <v>97.092971860362695</v>
      </c>
      <c r="BD25">
        <f>AVERAGE(N25:Z25,AM25)</f>
        <v>89.886644927089151</v>
      </c>
      <c r="BE25">
        <f>AVERAGE(表1_4[[#This Row],[钠 mg]:[硒 mg]])</f>
        <v>112.18749336816677</v>
      </c>
      <c r="BF25" s="4">
        <f>SUM(表1_4[[#This Row],[肌醇 mg]:[b胡萝卜素 ug]])/SUM(表1_4[[肌醇 mg]:[b胡萝卜素 ug]])*3400</f>
        <v>77.084184889526071</v>
      </c>
      <c r="BG25" s="4">
        <f>0.5*表1_4[[#This Row],[基础能量]]+表1_4[[#This Row],[维生素]]+表1_4[[#This Row],[微量元素]]+表1_4[[#This Row],[加分项]]+IF(COUNTIF(F25,"*A2*"),0.6,0)*表1_4[[#This Row],[基础能量]]</f>
        <v>327.70480911496333</v>
      </c>
      <c r="BH25" s="4">
        <f>表1_4[[#This Row],[总分]]/表1_4[[#This Row],[百克重量]]</f>
        <v>10.205693214418043</v>
      </c>
    </row>
    <row r="26" spans="1:60" ht="48">
      <c r="A26" s="1" t="s">
        <v>52</v>
      </c>
      <c r="B26" s="2" t="s">
        <v>53</v>
      </c>
      <c r="C26" s="2">
        <v>900</v>
      </c>
      <c r="D26" s="2">
        <v>368</v>
      </c>
      <c r="E26" s="2">
        <v>40.89</v>
      </c>
      <c r="F26" s="2">
        <v>0</v>
      </c>
      <c r="G26" s="2" t="s">
        <v>3</v>
      </c>
      <c r="H26">
        <f>VLOOKUP($A26,表1[#All],MATCH(表1_4[[#Headers],[能量kj]],表1_4[#Headers],0),)/品牌均值表[[#Totals],[能量kj]]*100</f>
        <v>99.719993411609693</v>
      </c>
      <c r="I26">
        <f>VLOOKUP($A26,表1[#All],MATCH(表1_4[[#Headers],[蛋白质g]],表1_4[#Headers],0),)/品牌均值表[[#Totals],[蛋白质g]]*100</f>
        <v>105.01220801798262</v>
      </c>
      <c r="J26">
        <f>VLOOKUP($A26,表1[#All],MATCH(表1_4[[#Headers],[脂肪g]],表1_4[#Headers],0),)/品牌均值表[[#Totals],[脂肪g]]*100</f>
        <v>101.42910725110588</v>
      </c>
      <c r="K26">
        <f>VLOOKUP($A26,表1[#All],MATCH(表1_4[[#Headers],[亚油酸g]],表1_4[#Headers],0),)/品牌均值表[[#Totals],[亚油酸g]]*100</f>
        <v>129.99795717495869</v>
      </c>
      <c r="L26">
        <f>VLOOKUP($A26,表1[#All],MATCH(表1_4[[#Headers],[a-亚麻酸mg]],表1_4[#Headers],0),)/品牌均值表[[#Totals],[a-亚麻酸mg]]*100</f>
        <v>107.74381598952432</v>
      </c>
      <c r="M26">
        <f>VLOOKUP($A26,表1[#All],MATCH(表1_4[[#Headers],[碳水化合物g]],表1_4[#Headers],0),)/品牌均值表[[#Totals],[碳水化合物g]]*100</f>
        <v>96.205955519007105</v>
      </c>
      <c r="N26">
        <f>VLOOKUP($A26,表1[#All],MATCH(表1_4[[#Headers],[维生素A（ug视黄醇）]],表1_4[#Headers],0),)/品牌均值表[[#Totals],[维生素A（ug视黄醇）]]*100</f>
        <v>131.02393225182752</v>
      </c>
      <c r="O26">
        <f>VLOOKUP($A26,表1[#All],MATCH(表1_4[[#Headers],[维生素D ug]],表1_4[#Headers],0),)/品牌均值表[[#Totals],[维生素D ug]]*100</f>
        <v>86.287199097906552</v>
      </c>
      <c r="P26">
        <f>VLOOKUP($A26,表1[#All],MATCH(表1_4[[#Headers],[维生素E mg]],表1_4[#Headers],0),)/品牌均值表[[#Totals],[维生素E mg]]*100</f>
        <v>194.85038274182324</v>
      </c>
      <c r="Q26">
        <f>VLOOKUP($A26,表1[#All],MATCH(表1_4[[#Headers],[维生素K1 ug]],表1_4[#Headers],0),)/品牌均值表[[#Totals],[维生素K1 ug]]*100</f>
        <v>96.654036349624306</v>
      </c>
      <c r="R26">
        <f>VLOOKUP($A26,表1[#All],MATCH(表1_4[[#Headers],[维生素B1 ug]],表1_4[#Headers],0),)/品牌均值表[[#Totals],[维生素B1 ug]]*100</f>
        <v>117.28622951750773</v>
      </c>
      <c r="S26">
        <f>VLOOKUP($A26,表1[#All],MATCH(表1_4[[#Headers],[维生素B2 ug]],表1_4[#Headers],0),)/品牌均值表[[#Totals],[维生素B2 ug]]*100</f>
        <v>143.31402833398991</v>
      </c>
      <c r="T26">
        <f>VLOOKUP($A26,表1[#All],MATCH(表1_4[[#Headers],[维生素B6 ug]],表1_4[#Headers],0),)/品牌均值表[[#Totals],[维生素B6 ug]]*100</f>
        <v>102.79267416890023</v>
      </c>
      <c r="U26">
        <f>VLOOKUP($A26,表1[#All],MATCH(表1_4[[#Headers],[维生素B12 ug]],表1_4[#Headers],0),)/品牌均值表[[#Totals],[维生素B12 ug]]*100</f>
        <v>61.906727197688802</v>
      </c>
      <c r="V26">
        <f>VLOOKUP($A26,表1[#All],MATCH(表1_4[[#Headers],[烟酸 ug]],表1_4[#Headers],0),)/品牌均值表[[#Totals],[烟酸 ug]]*100</f>
        <v>112.64458344399367</v>
      </c>
      <c r="W26">
        <f>VLOOKUP($A26,表1[#All],MATCH(表1_4[[#Headers],[叶酸 ug]],表1_4[#Headers],0),)/品牌均值表[[#Totals],[叶酸 ug]]*100</f>
        <v>104.74250800116378</v>
      </c>
      <c r="X26">
        <f>VLOOKUP($A26,表1[#All],MATCH(表1_4[[#Headers],[泛酸 ug]],表1_4[#Headers],0),)/品牌均值表[[#Totals],[泛酸 ug]]*100</f>
        <v>116.61492535969403</v>
      </c>
      <c r="Y26">
        <f>VLOOKUP($A26,表1[#All],MATCH(表1_4[[#Headers],[维生素C mg]],表1_4[#Headers],0),)/品牌均值表[[#Totals],[维生素C mg]]*100</f>
        <v>93.866100139615966</v>
      </c>
      <c r="Z26">
        <f>VLOOKUP($A26,表1[#All],MATCH(表1_4[[#Headers],[生物素 ug]],表1_4[#Headers],0),)/品牌均值表[[#Totals],[生物素 ug]]*100</f>
        <v>125.14954625840105</v>
      </c>
      <c r="AA26">
        <f>VLOOKUP($A26,表1[#All],MATCH(表1_4[[#Headers],[钠 mg]],表1_4[#Headers],0),)/品牌均值表[[#Totals],[钠 mg]]*100</f>
        <v>93.433994993199434</v>
      </c>
      <c r="AB26">
        <f>VLOOKUP($A26,表1[#All],MATCH(表1_4[[#Headers],[钾 mg]],表1_4[#Headers],0),)/品牌均值表[[#Totals],[钾 mg]]*100</f>
        <v>105.88767135990605</v>
      </c>
      <c r="AC26">
        <f>VLOOKUP($A26,表1[#All],MATCH(表1_4[[#Headers],[铜 ug]],表1_4[#Headers],0),)/品牌均值表[[#Totals],[铜 ug]]*100</f>
        <v>95.904901022515503</v>
      </c>
      <c r="AD26">
        <f>VLOOKUP($A26,表1[#All],MATCH(表1_4[[#Headers],[镁 mg]],表1_4[#Headers],0),)/品牌均值表[[#Totals],[镁 mg]]*100</f>
        <v>129.93602197774999</v>
      </c>
      <c r="AE26">
        <f>VLOOKUP($A26,表1[#All],MATCH(表1_4[[#Headers],[铁 mg ]],表1_4[#Headers],0),)/品牌均值表[[#Totals],[铁 mg ]]*100</f>
        <v>115.09027860815495</v>
      </c>
      <c r="AF26">
        <f>VLOOKUP($A26,表1[#All],MATCH(表1_4[[#Headers],[锌 mg]],表1_4[#Headers],0),)/品牌均值表[[#Totals],[锌 mg]]*100</f>
        <v>112.08511971410169</v>
      </c>
      <c r="AG26">
        <f>VLOOKUP($A26,表1[#All],MATCH(表1_4[[#Headers],[锰 ug]],表1_4[#Headers],0),)/品牌均值表[[#Totals],[锰 ug]]*100</f>
        <v>79.33789379300616</v>
      </c>
      <c r="AH26">
        <f>VLOOKUP($A26,表1[#All],MATCH(表1_4[[#Headers],[钙mg]],表1_4[#Headers],0),)/品牌均值表[[#Totals],[钙mg]]*100</f>
        <v>105.69725873473126</v>
      </c>
      <c r="AI26">
        <f>VLOOKUP($A26,表1[#All],MATCH(表1_4[[#Headers],[磷 mg]],表1_4[#Headers],0),)/品牌均值表[[#Totals],[磷 mg]]*100</f>
        <v>103.33752553191273</v>
      </c>
      <c r="AJ26">
        <f>VLOOKUP($A26,表1[#All],MATCH(表1_4[[#Headers],[碘 ug]],表1_4[#Headers],0),)/品牌均值表[[#Totals],[碘 ug]]*100</f>
        <v>97.314831501171383</v>
      </c>
      <c r="AK26">
        <f>VLOOKUP($A26,表1[#All],MATCH(表1_4[[#Headers],[氯 mg]],表1_4[#Headers],0),)/品牌均值表[[#Totals],[氯 mg]]*100</f>
        <v>100.52216037115433</v>
      </c>
      <c r="AL26">
        <f>VLOOKUP($A26,表1[#All],MATCH(表1_4[[#Headers],[硒 mg]],表1_4[#Headers],0),)/品牌均值表[[#Totals],[硒 mg]]*100</f>
        <v>80.8119678676223</v>
      </c>
      <c r="AM26">
        <f>VLOOKUP($A26,表1[#All],MATCH(表1_4[[#Headers],[胆碱 mg]],表1_4[#Headers],0),)/品牌均值表[[#Totals],[胆碱 mg]]*100</f>
        <v>83.301573474165622</v>
      </c>
      <c r="AN26">
        <f>VLOOKUP($A26,表1[#All],MATCH(表1_4[[#Headers],[肌醇 mg]],表1_4[#Headers],0),)/品牌均值表[[#Totals],[肌醇 mg]]*100</f>
        <v>91.678793491202555</v>
      </c>
      <c r="AO26">
        <f>VLOOKUP($A26,表1[#All],MATCH(表1_4[[#Headers],[牛磺酸 mg]],表1_4[#Headers],0),)/品牌均值表[[#Totals],[牛磺酸 mg]]*100</f>
        <v>30.052950436483332</v>
      </c>
      <c r="AP26">
        <f>VLOOKUP($A26,表1[#All],MATCH(表1_4[[#Headers],[左旋肉碱 mg]],表1_4[#Headers],0),)/品牌均值表[[#Totals],[左旋肉碱 mg]]*100</f>
        <v>0</v>
      </c>
      <c r="AQ26">
        <f>VLOOKUP($A26,表1[#All],MATCH(表1_4[[#Headers],[二十二碳六烯酸 mg]],表1_4[#Headers],0),)/品牌均值表[[#Totals],[二十二碳六烯酸 mg]]*100</f>
        <v>95.594247773138122</v>
      </c>
      <c r="AR26">
        <f>VLOOKUP($A26,表1[#All],MATCH(表1_4[[#Headers],[二十碳四烯酸 mg]],表1_4[#Headers],0),)/品牌均值表[[#Totals],[二十碳四烯酸 mg]]*100</f>
        <v>88.994749093271253</v>
      </c>
      <c r="AS26">
        <f>VLOOKUP($A26,表1[#All],MATCH(表1_4[[#Headers],[低聚半乳糖 g]],表1_4[#Headers],0),)/表1[[#Totals],[低聚半乳糖 g]]*100</f>
        <v>136.65752351097177</v>
      </c>
      <c r="AT26">
        <f>VLOOKUP($A26,表1[#All],MATCH(表1_4[[#Headers],[低聚果糖 g]],表1_4[#Headers],0),)/表1[[#Totals],[低聚果糖 g]]*50</f>
        <v>0</v>
      </c>
      <c r="AU26">
        <f>VLOOKUP($A26,表1[#All],MATCH(表1_4[[#Headers],[多聚果糖 g]],表1_4[#Headers],0),)/表1[[#Totals],[多聚果糖 g]]*100</f>
        <v>0</v>
      </c>
      <c r="AV26">
        <f>VLOOKUP($A26,表1[#All],MATCH(表1_4[[#Headers],[聚葡萄糖 g]],表1_4[#Headers],0),)/表1[[#Totals],[聚葡萄糖 g]]*100</f>
        <v>0</v>
      </c>
      <c r="AW26">
        <f>VLOOKUP($A26,表1[#All],MATCH(表1_4[[#Headers],[核苷酸 mg]],表1_4[#Headers],0),)/表1[[#Totals],[核苷酸 mg]]*100</f>
        <v>0</v>
      </c>
      <c r="AX26">
        <f>VLOOKUP($A26,表1[#All],MATCH(表1_4[[#Headers],[13二油酸 g]],表1_4[#Headers],0),)/表1[[#Totals],[13二油酸 g]]*100</f>
        <v>0</v>
      </c>
      <c r="AY26">
        <f>VLOOKUP($A26,表1[#All],MATCH(表1_4[[#Headers],[叶黄素 ug]],表1_4[#Headers],0),)/表1[[#Totals],[叶黄素 ug]]*100</f>
        <v>0</v>
      </c>
      <c r="AZ26">
        <f>VLOOKUP($A26,表1[#All],MATCH(表1_4[[#Headers],[乳铁蛋白 mg]],表1_4[#Headers],0),)/表1[[#Totals],[乳铁蛋白 mg]]*100</f>
        <v>0</v>
      </c>
      <c r="BA26">
        <f>VLOOKUP($A26,表1[#All],MATCH(表1_4[[#Headers],[酪蛋白磷酸肽 mg]],表1_4[#Headers],0),)/表1[[#Totals],[酪蛋白磷酸肽 mg]]*100</f>
        <v>0</v>
      </c>
      <c r="BB26">
        <f>VLOOKUP($A26,表1[#All],MATCH(表1_4[[#Headers],[b胡萝卜素 ug]],表1_4[#Headers],0),)/表1[[#Totals],[b胡萝卜素 ug]]*100</f>
        <v>0</v>
      </c>
      <c r="BC26">
        <f>AVERAGE(表1_4[[#This Row],[能量kj]:[碳水化合物g]])</f>
        <v>106.68483956069805</v>
      </c>
      <c r="BD26">
        <f>AVERAGE(N26:Z26,AM26)</f>
        <v>112.17388902402161</v>
      </c>
      <c r="BE26">
        <f>AVERAGE(表1_4[[#This Row],[钠 mg]:[硒 mg]])</f>
        <v>101.61330212293548</v>
      </c>
      <c r="BF26" s="4">
        <f>SUM(表1_4[[#This Row],[肌醇 mg]:[b胡萝卜素 ug]])/SUM(表1_4[[肌醇 mg]:[b胡萝卜素 ug]])*3400</f>
        <v>56.526706415760323</v>
      </c>
      <c r="BG26" s="4">
        <f>0.5*表1_4[[#This Row],[基础能量]]+表1_4[[#This Row],[维生素]]+表1_4[[#This Row],[微量元素]]+表1_4[[#This Row],[加分项]]+IF(COUNTIF(F26,"*A2*"),0.6,0)*表1_4[[#This Row],[基础能量]]</f>
        <v>323.65631734306641</v>
      </c>
      <c r="BH26" s="4">
        <f>表1_4[[#This Row],[总分]]/表1_4[[#This Row],[百克重量]]</f>
        <v>7.9152926716328293</v>
      </c>
    </row>
    <row r="27" spans="1:60" ht="48">
      <c r="A27" s="1" t="s">
        <v>0</v>
      </c>
      <c r="B27" s="2" t="s">
        <v>1</v>
      </c>
      <c r="C27" s="2">
        <v>900</v>
      </c>
      <c r="D27" s="2">
        <v>375</v>
      </c>
      <c r="E27" s="2">
        <v>41.67</v>
      </c>
      <c r="F27" s="2" t="s">
        <v>2</v>
      </c>
      <c r="G27" s="2" t="s">
        <v>3</v>
      </c>
      <c r="H27">
        <f>VLOOKUP($A27,表1[#All],MATCH(表1_4[[#Headers],[能量kj]],表1_4[#Headers],0),)/品牌均值表[[#Totals],[能量kj]]*100</f>
        <v>97.837596178733619</v>
      </c>
      <c r="I27">
        <f>VLOOKUP($A27,表1[#All],MATCH(表1_4[[#Headers],[蛋白质g]],表1_4[#Headers],0),)/品牌均值表[[#Totals],[蛋白质g]]*100</f>
        <v>96.734009157397637</v>
      </c>
      <c r="J27">
        <f>VLOOKUP($A27,表1[#All],MATCH(表1_4[[#Headers],[脂肪g]],表1_4[#Headers],0),)/品牌均值表[[#Totals],[脂肪g]]*100</f>
        <v>101.05892802756169</v>
      </c>
      <c r="K27">
        <f>VLOOKUP($A27,表1[#All],MATCH(表1_4[[#Headers],[亚油酸g]],表1_4[#Headers],0),)/品牌均值表[[#Totals],[亚油酸g]]*100</f>
        <v>81.898713020223965</v>
      </c>
      <c r="L27">
        <f>VLOOKUP($A27,表1[#All],MATCH(表1_4[[#Headers],[a-亚麻酸mg]],表1_4[#Headers],0),)/品牌均值表[[#Totals],[a-亚麻酸mg]]*100</f>
        <v>124.26453444125139</v>
      </c>
      <c r="M27">
        <f>VLOOKUP($A27,表1[#All],MATCH(表1_4[[#Headers],[碳水化合物g]],表1_4[#Headers],0),)/品牌均值表[[#Totals],[碳水化合物g]]*100</f>
        <v>91.045482809175297</v>
      </c>
      <c r="N27">
        <f>VLOOKUP($A27,表1[#All],MATCH(表1_4[[#Headers],[维生素A（ug视黄醇）]],表1_4[#Headers],0),)/品牌均值表[[#Totals],[维生素A（ug视黄醇）]]*100</f>
        <v>89.60971337001142</v>
      </c>
      <c r="O27">
        <f>VLOOKUP($A27,表1[#All],MATCH(表1_4[[#Headers],[维生素D ug]],表1_4[#Headers],0),)/品牌均值表[[#Totals],[维生素D ug]]*100</f>
        <v>75.501299210668222</v>
      </c>
      <c r="P27">
        <f>VLOOKUP($A27,表1[#All],MATCH(表1_4[[#Headers],[维生素E mg]],表1_4[#Headers],0),)/品牌均值表[[#Totals],[维生素E mg]]*100</f>
        <v>109.95128740431454</v>
      </c>
      <c r="Q27">
        <f>VLOOKUP($A27,表1[#All],MATCH(表1_4[[#Headers],[维生素K1 ug]],表1_4[#Headers],0),)/品牌均值表[[#Totals],[维生素K1 ug]]*100</f>
        <v>60.689743754415261</v>
      </c>
      <c r="R27">
        <f>VLOOKUP($A27,表1[#All],MATCH(表1_4[[#Headers],[维生素B1 ug]],表1_4[#Headers],0),)/品牌均值表[[#Totals],[维生素B1 ug]]*100</f>
        <v>74.943912759492235</v>
      </c>
      <c r="S27">
        <f>VLOOKUP($A27,表1[#All],MATCH(表1_4[[#Headers],[维生素B2 ug]],表1_4[#Headers],0),)/品牌均值表[[#Totals],[维生素B2 ug]]*100</f>
        <v>70.61473032456594</v>
      </c>
      <c r="T27">
        <f>VLOOKUP($A27,表1[#All],MATCH(表1_4[[#Headers],[维生素B6 ug]],表1_4[#Headers],0),)/品牌均值表[[#Totals],[维生素B6 ug]]*100</f>
        <v>88.695393140022489</v>
      </c>
      <c r="U27">
        <f>VLOOKUP($A27,表1[#All],MATCH(表1_4[[#Headers],[维生素B12 ug]],表1_4[#Headers],0),)/品牌均值表[[#Totals],[维生素B12 ug]]*100</f>
        <v>40.858439950474619</v>
      </c>
      <c r="V27">
        <f>VLOOKUP($A27,表1[#All],MATCH(表1_4[[#Headers],[烟酸 ug]],表1_4[#Headers],0),)/品牌均值表[[#Totals],[烟酸 ug]]*100</f>
        <v>74.730065114064089</v>
      </c>
      <c r="W27">
        <f>VLOOKUP($A27,表1[#All],MATCH(表1_4[[#Headers],[叶酸 ug]],表1_4[#Headers],0),)/品牌均值表[[#Totals],[叶酸 ug]]*100</f>
        <v>100.55280768111726</v>
      </c>
      <c r="X27">
        <f>VLOOKUP($A27,表1[#All],MATCH(表1_4[[#Headers],[泛酸 ug]],表1_4[#Headers],0),)/品牌均值表[[#Totals],[泛酸 ug]]*100</f>
        <v>71.670902775120055</v>
      </c>
      <c r="Y27">
        <f>VLOOKUP($A27,表1[#All],MATCH(表1_4[[#Headers],[维生素C mg]],表1_4[#Headers],0),)/品牌均值表[[#Totals],[维生素C mg]]*100</f>
        <v>70.675651869828485</v>
      </c>
      <c r="Z27">
        <f>VLOOKUP($A27,表1[#All],MATCH(表1_4[[#Headers],[生物素 ug]],表1_4[#Headers],0),)/品牌均值表[[#Totals],[生物素 ug]]*100</f>
        <v>60.071782204032495</v>
      </c>
      <c r="AA27">
        <f>VLOOKUP($A27,表1[#All],MATCH(表1_4[[#Headers],[钠 mg]],表1_4[#Headers],0),)/品牌均值表[[#Totals],[钠 mg]]*100</f>
        <v>79.300624864481279</v>
      </c>
      <c r="AB27">
        <f>VLOOKUP($A27,表1[#All],MATCH(表1_4[[#Headers],[钾 mg]],表1_4[#Headers],0),)/品牌均值表[[#Totals],[钾 mg]]*100</f>
        <v>89.456825804058553</v>
      </c>
      <c r="AC27">
        <f>VLOOKUP($A27,表1[#All],MATCH(表1_4[[#Headers],[铜 ug]],表1_4[#Headers],0),)/品牌均值表[[#Totals],[铜 ug]]*100</f>
        <v>85.186117967057882</v>
      </c>
      <c r="AD27">
        <f>VLOOKUP($A27,表1[#All],MATCH(表1_4[[#Headers],[镁 mg]],表1_4[#Headers],0),)/品牌均值表[[#Totals],[镁 mg]]*100</f>
        <v>93.813807867935495</v>
      </c>
      <c r="AE27">
        <f>VLOOKUP($A27,表1[#All],MATCH(表1_4[[#Headers],[铁 mg ]],表1_4[#Headers],0),)/品牌均值表[[#Totals],[铁 mg ]]*100</f>
        <v>83.702020805930871</v>
      </c>
      <c r="AF27">
        <f>VLOOKUP($A27,表1[#All],MATCH(表1_4[[#Headers],[锌 mg]],表1_4[#Headers],0),)/品牌均值表[[#Totals],[锌 mg]]*100</f>
        <v>83.332849874397354</v>
      </c>
      <c r="AG27">
        <f>VLOOKUP($A27,表1[#All],MATCH(表1_4[[#Headers],[锰 ug]],表1_4[#Headers],0),)/品牌均值表[[#Totals],[锰 ug]]*100</f>
        <v>61.354637866591432</v>
      </c>
      <c r="AH27">
        <f>VLOOKUP($A27,表1[#All],MATCH(表1_4[[#Headers],[钙mg]],表1_4[#Headers],0),)/品牌均值表[[#Totals],[钙mg]]*100</f>
        <v>97.461108703453505</v>
      </c>
      <c r="AI27">
        <f>VLOOKUP($A27,表1[#All],MATCH(表1_4[[#Headers],[磷 mg]],表1_4[#Headers],0),)/品牌均值表[[#Totals],[磷 mg]]*100</f>
        <v>108.461700351677</v>
      </c>
      <c r="AJ27">
        <f>VLOOKUP($A27,表1[#All],MATCH(表1_4[[#Headers],[碘 ug]],表1_4[#Headers],0),)/品牌均值表[[#Totals],[碘 ug]]*100</f>
        <v>78.716885925391949</v>
      </c>
      <c r="AK27">
        <f>VLOOKUP($A27,表1[#All],MATCH(表1_4[[#Headers],[氯 mg]],表1_4[#Headers],0),)/品牌均值表[[#Totals],[氯 mg]]*100</f>
        <v>95.390398430284591</v>
      </c>
      <c r="AL27">
        <f>VLOOKUP($A27,表1[#All],MATCH(表1_4[[#Headers],[硒 mg]],表1_4[#Headers],0),)/品牌均值表[[#Totals],[硒 mg]]*100</f>
        <v>75.039684448506421</v>
      </c>
      <c r="AM27">
        <f>VLOOKUP($A27,表1[#All],MATCH(表1_4[[#Headers],[胆碱 mg]],表1_4[#Headers],0),)/品牌均值表[[#Totals],[胆碱 mg]]*100</f>
        <v>55.126041269668427</v>
      </c>
      <c r="AN27">
        <f>VLOOKUP($A27,表1[#All],MATCH(表1_4[[#Headers],[肌醇 mg]],表1_4[#Headers],0),)/品牌均值表[[#Totals],[肌醇 mg]]*100</f>
        <v>83.344357719275038</v>
      </c>
      <c r="AO27">
        <f>VLOOKUP($A27,表1[#All],MATCH(表1_4[[#Headers],[牛磺酸 mg]],表1_4[#Headers],0),)/品牌均值表[[#Totals],[牛磺酸 mg]]*100</f>
        <v>120.21180174593333</v>
      </c>
      <c r="AP27">
        <f>VLOOKUP($A27,表1[#All],MATCH(表1_4[[#Headers],[左旋肉碱 mg]],表1_4[#Headers],0),)/品牌均值表[[#Totals],[左旋肉碱 mg]]*100</f>
        <v>86.521107076892818</v>
      </c>
      <c r="AQ27">
        <f>VLOOKUP($A27,表1[#All],MATCH(表1_4[[#Headers],[二十二碳六烯酸 mg]],表1_4[#Headers],0),)/品牌均值表[[#Totals],[二十二碳六烯酸 mg]]*100</f>
        <v>98.12365761385071</v>
      </c>
      <c r="AR27">
        <f>VLOOKUP($A27,表1[#All],MATCH(表1_4[[#Headers],[二十碳四烯酸 mg]],表1_4[#Headers],0),)/品牌均值表[[#Totals],[二十碳四烯酸 mg]]*100</f>
        <v>69.599647361786694</v>
      </c>
      <c r="AS27">
        <f>VLOOKUP($A27,表1[#All],MATCH(表1_4[[#Headers],[低聚半乳糖 g]],表1_4[#Headers],0),)/表1[[#Totals],[低聚半乳糖 g]]*100</f>
        <v>242.01606583072098</v>
      </c>
      <c r="AT27">
        <f>VLOOKUP($A27,表1[#All],MATCH(表1_4[[#Headers],[低聚果糖 g]],表1_4[#Headers],0),)/表1[[#Totals],[低聚果糖 g]]*50</f>
        <v>0</v>
      </c>
      <c r="AU27">
        <f>VLOOKUP($A27,表1[#All],MATCH(表1_4[[#Headers],[多聚果糖 g]],表1_4[#Headers],0),)/表1[[#Totals],[多聚果糖 g]]*100</f>
        <v>110.40723981900453</v>
      </c>
      <c r="AV27">
        <f>VLOOKUP($A27,表1[#All],MATCH(表1_4[[#Headers],[聚葡萄糖 g]],表1_4[#Headers],0),)/表1[[#Totals],[聚葡萄糖 g]]*100</f>
        <v>0</v>
      </c>
      <c r="AW27">
        <f>VLOOKUP($A27,表1[#All],MATCH(表1_4[[#Headers],[核苷酸 mg]],表1_4[#Headers],0),)/表1[[#Totals],[核苷酸 mg]]*100</f>
        <v>78.876404494382029</v>
      </c>
      <c r="AX27">
        <f>VLOOKUP($A27,表1[#All],MATCH(表1_4[[#Headers],[13二油酸 g]],表1_4[#Headers],0),)/表1[[#Totals],[13二油酸 g]]*100</f>
        <v>0</v>
      </c>
      <c r="AY27">
        <f>VLOOKUP($A27,表1[#All],MATCH(表1_4[[#Headers],[叶黄素 ug]],表1_4[#Headers],0),)/表1[[#Totals],[叶黄素 ug]]*100</f>
        <v>0</v>
      </c>
      <c r="AZ27">
        <f>VLOOKUP($A27,表1[#All],MATCH(表1_4[[#Headers],[乳铁蛋白 mg]],表1_4[#Headers],0),)/表1[[#Totals],[乳铁蛋白 mg]]*100</f>
        <v>0</v>
      </c>
      <c r="BA27">
        <f>VLOOKUP($A27,表1[#All],MATCH(表1_4[[#Headers],[酪蛋白磷酸肽 mg]],表1_4[#Headers],0),)/表1[[#Totals],[酪蛋白磷酸肽 mg]]*100</f>
        <v>0</v>
      </c>
      <c r="BB27">
        <f>VLOOKUP($A27,表1[#All],MATCH(表1_4[[#Headers],[b胡萝卜素 ug]],表1_4[#Headers],0),)/表1[[#Totals],[b胡萝卜素 ug]]*100</f>
        <v>0</v>
      </c>
      <c r="BC27">
        <f>AVERAGE(表1_4[[#This Row],[能量kj]:[碳水化合物g]])</f>
        <v>98.806543939057278</v>
      </c>
      <c r="BD27">
        <f>AVERAGE(N27:Z27,AM27)</f>
        <v>74.549412201985405</v>
      </c>
      <c r="BE27">
        <f>AVERAGE(表1_4[[#This Row],[钠 mg]:[硒 mg]])</f>
        <v>85.9347219091472</v>
      </c>
      <c r="BF27" s="4">
        <f>SUM(表1_4[[#This Row],[肌醇 mg]:[b胡萝卜素 ug]])/SUM(表1_4[[肌醇 mg]:[b胡萝卜素 ug]])*3400</f>
        <v>113.45457473971621</v>
      </c>
      <c r="BG27" s="4">
        <f>0.5*表1_4[[#This Row],[基础能量]]+表1_4[[#This Row],[维生素]]+表1_4[[#This Row],[微量元素]]+表1_4[[#This Row],[加分项]]+IF(COUNTIF(F27,"*A2*"),0.6,0)*表1_4[[#This Row],[基础能量]]</f>
        <v>323.34198082037744</v>
      </c>
      <c r="BH27" s="4">
        <f>表1_4[[#This Row],[总分]]/表1_4[[#This Row],[百克重量]]</f>
        <v>7.7595867727472383</v>
      </c>
    </row>
    <row r="28" spans="1:60" ht="64">
      <c r="A28" s="1" t="s">
        <v>25</v>
      </c>
      <c r="B28" s="2" t="s">
        <v>26</v>
      </c>
      <c r="C28" s="2">
        <v>800</v>
      </c>
      <c r="D28" s="2">
        <v>394</v>
      </c>
      <c r="E28" s="2">
        <v>49.25</v>
      </c>
      <c r="F28" s="2">
        <v>0</v>
      </c>
      <c r="G28" s="2" t="s">
        <v>3</v>
      </c>
      <c r="H28">
        <f>VLOOKUP($A28,表1[#All],MATCH(表1_4[[#Headers],[能量kj]],表1_4[#Headers],0),)/品牌均值表[[#Totals],[能量kj]]*100</f>
        <v>100.99061154380105</v>
      </c>
      <c r="I28">
        <f>VLOOKUP($A28,表1[#All],MATCH(表1_4[[#Headers],[蛋白质g]],表1_4[#Headers],0),)/品牌均值表[[#Totals],[蛋白质g]]*100</f>
        <v>90.688133585060285</v>
      </c>
      <c r="J28">
        <f>VLOOKUP($A28,表1[#All],MATCH(表1_4[[#Headers],[脂肪g]],表1_4[#Headers],0),)/品牌均值表[[#Totals],[脂肪g]]*100</f>
        <v>96.246598121487324</v>
      </c>
      <c r="K28">
        <f>VLOOKUP($A28,表1[#All],MATCH(表1_4[[#Headers],[亚油酸g]],表1_4[#Headers],0),)/品牌均值表[[#Totals],[亚油酸g]]*100</f>
        <v>83.198692591973554</v>
      </c>
      <c r="L28">
        <f>VLOOKUP($A28,表1[#All],MATCH(表1_4[[#Headers],[a-亚麻酸mg]],表1_4[#Headers],0),)/品牌均值表[[#Totals],[a-亚麻酸mg]]*100</f>
        <v>90.983666835598314</v>
      </c>
      <c r="M28">
        <f>VLOOKUP($A28,表1[#All],MATCH(表1_4[[#Headers],[碳水化合物g]],表1_4[#Headers],0),)/品牌均值表[[#Totals],[碳水化合物g]]*100</f>
        <v>110.39725547104453</v>
      </c>
      <c r="N28">
        <f>VLOOKUP($A28,表1[#All],MATCH(表1_4[[#Headers],[维生素A（ug视黄醇）]],表1_4[#Headers],0),)/品牌均值表[[#Totals],[维生素A（ug视黄醇）]]*100</f>
        <v>111.16448226171688</v>
      </c>
      <c r="O28">
        <f>VLOOKUP($A28,表1[#All],MATCH(表1_4[[#Headers],[维生素D ug]],表1_4[#Headers],0),)/品牌均值表[[#Totals],[维生素D ug]]*100</f>
        <v>66.6764720302005</v>
      </c>
      <c r="P28">
        <f>VLOOKUP($A28,表1[#All],MATCH(表1_4[[#Headers],[维生素E mg]],表1_4[#Headers],0),)/品牌均值表[[#Totals],[维生素E mg]]*100</f>
        <v>139.17884481558801</v>
      </c>
      <c r="Q28">
        <f>VLOOKUP($A28,表1[#All],MATCH(表1_4[[#Headers],[维生素K1 ug]],表1_4[#Headers],0),)/品牌均值表[[#Totals],[维生素K1 ug]]*100</f>
        <v>60.689743754415261</v>
      </c>
      <c r="R28">
        <f>VLOOKUP($A28,表1[#All],MATCH(表1_4[[#Headers],[维生素B1 ug]],表1_4[#Headers],0),)/品牌均值表[[#Totals],[维生素B1 ug]]*100</f>
        <v>99.39510976059978</v>
      </c>
      <c r="S28">
        <f>VLOOKUP($A28,表1[#All],MATCH(表1_4[[#Headers],[维生素B2 ug]],表1_4[#Headers],0),)/品牌均值表[[#Totals],[维生素B2 ug]]*100</f>
        <v>162.85685037953402</v>
      </c>
      <c r="T28">
        <f>VLOOKUP($A28,表1[#All],MATCH(表1_4[[#Headers],[维生素B6 ug]],表1_4[#Headers],0),)/品牌均值表[[#Totals],[维生素B6 ug]]*100</f>
        <v>105.7296077165831</v>
      </c>
      <c r="U28">
        <f>VLOOKUP($A28,表1[#All],MATCH(表1_4[[#Headers],[维生素B12 ug]],表1_4[#Headers],0),)/品牌均值表[[#Totals],[维生素B12 ug]]*100</f>
        <v>59.430458109781256</v>
      </c>
      <c r="V28">
        <f>VLOOKUP($A28,表1[#All],MATCH(表1_4[[#Headers],[烟酸 ug]],表1_4[#Headers],0),)/品牌均值表[[#Totals],[烟酸 ug]]*100</f>
        <v>148.36115868233313</v>
      </c>
      <c r="W28">
        <f>VLOOKUP($A28,表1[#All],MATCH(表1_4[[#Headers],[叶酸 ug]],表1_4[#Headers],0),)/品牌均值表[[#Totals],[叶酸 ug]]*100</f>
        <v>94.268257201047419</v>
      </c>
      <c r="X28">
        <f>VLOOKUP($A28,表1[#All],MATCH(表1_4[[#Headers],[泛酸 ug]],表1_4[#Headers],0),)/品牌均值表[[#Totals],[泛酸 ug]]*100</f>
        <v>151.28422749365711</v>
      </c>
      <c r="Y28">
        <f>VLOOKUP($A28,表1[#All],MATCH(表1_4[[#Headers],[维生素C mg]],表1_4[#Headers],0),)/品牌均值表[[#Totals],[维生素C mg]]*100</f>
        <v>76.197187172158849</v>
      </c>
      <c r="Z28">
        <f>VLOOKUP($A28,表1[#All],MATCH(表1_4[[#Headers],[生物素 ug]],表1_4[#Headers],0),)/品牌均值表[[#Totals],[生物素 ug]]*100</f>
        <v>60.697529935324503</v>
      </c>
      <c r="AA28">
        <f>VLOOKUP($A28,表1[#All],MATCH(表1_4[[#Headers],[钠 mg]],表1_4[#Headers],0),)/品牌均值表[[#Totals],[钠 mg]]*100</f>
        <v>115.31410774477145</v>
      </c>
      <c r="AB28">
        <f>VLOOKUP($A28,表1[#All],MATCH(表1_4[[#Headers],[钾 mg]],表1_4[#Headers],0),)/品牌均值表[[#Totals],[钾 mg]]*100</f>
        <v>115.62446872633419</v>
      </c>
      <c r="AC28">
        <f>VLOOKUP($A28,表1[#All],MATCH(表1_4[[#Headers],[铜 ug]],表1_4[#Headers],0),)/品牌均值表[[#Totals],[铜 ug]]*100</f>
        <v>124.11222485266711</v>
      </c>
      <c r="AD28">
        <f>VLOOKUP($A28,表1[#All],MATCH(表1_4[[#Headers],[镁 mg]],表1_4[#Headers],0),)/品牌均值表[[#Totals],[镁 mg]]*100</f>
        <v>135.13346285685998</v>
      </c>
      <c r="AE28">
        <f>VLOOKUP($A28,表1[#All],MATCH(表1_4[[#Headers],[铁 mg ]],表1_4[#Headers],0),)/品牌均值表[[#Totals],[铁 mg ]]*100</f>
        <v>110.9051775678584</v>
      </c>
      <c r="AF28">
        <f>VLOOKUP($A28,表1[#All],MATCH(表1_4[[#Headers],[锌 mg]],表1_4[#Headers],0),)/品牌均值表[[#Totals],[锌 mg]]*100</f>
        <v>121.83165186315401</v>
      </c>
      <c r="AG28">
        <f>VLOOKUP($A28,表1[#All],MATCH(表1_4[[#Headers],[锰 ug]],表1_4[#Headers],0),)/品牌均值表[[#Totals],[锰 ug]]*100</f>
        <v>100.49466547114115</v>
      </c>
      <c r="AH28">
        <f>VLOOKUP($A28,表1[#All],MATCH(表1_4[[#Headers],[钙mg]],表1_4[#Headers],0),)/品牌均值表[[#Totals],[钙mg]]*100</f>
        <v>94.715725359694247</v>
      </c>
      <c r="AI28">
        <f>VLOOKUP($A28,表1[#All],MATCH(表1_4[[#Headers],[磷 mg]],表1_4[#Headers],0),)/品牌均值表[[#Totals],[磷 mg]]*100</f>
        <v>81.986797116228288</v>
      </c>
      <c r="AJ28">
        <f>VLOOKUP($A28,表1[#All],MATCH(表1_4[[#Headers],[碘 ug]],表1_4[#Headers],0),)/品牌均值表[[#Totals],[碘 ug]]*100</f>
        <v>73.526761578662828</v>
      </c>
      <c r="AK28">
        <f>VLOOKUP($A28,表1[#All],MATCH(表1_4[[#Headers],[氯 mg]],表1_4[#Headers],0),)/品牌均值表[[#Totals],[氯 mg]]*100</f>
        <v>114.70997279591184</v>
      </c>
      <c r="AL28">
        <f>VLOOKUP($A28,表1[#All],MATCH(表1_4[[#Headers],[硒 mg]],表1_4[#Headers],0),)/品牌均值表[[#Totals],[硒 mg]]*100</f>
        <v>92.35653470585406</v>
      </c>
      <c r="AM28">
        <f>VLOOKUP($A28,表1[#All],MATCH(表1_4[[#Headers],[胆碱 mg]],表1_4[#Headers],0),)/品牌均值表[[#Totals],[胆碱 mg]]*100</f>
        <v>37.567376272662926</v>
      </c>
      <c r="AN28">
        <f>VLOOKUP($A28,表1[#All],MATCH(表1_4[[#Headers],[肌醇 mg]],表1_4[#Headers],0),)/品牌均值表[[#Totals],[肌醇 mg]]*100</f>
        <v>88.900648233893378</v>
      </c>
      <c r="AO28">
        <f>VLOOKUP($A28,表1[#All],MATCH(表1_4[[#Headers],[牛磺酸 mg]],表1_4[#Headers],0),)/品牌均值表[[#Totals],[牛磺酸 mg]]*100</f>
        <v>93.49806802461481</v>
      </c>
      <c r="AP28">
        <f>VLOOKUP($A28,表1[#All],MATCH(表1_4[[#Headers],[左旋肉碱 mg]],表1_4[#Headers],0),)/品牌均值表[[#Totals],[左旋肉碱 mg]]*100</f>
        <v>94.386662265701261</v>
      </c>
      <c r="AQ28">
        <f>VLOOKUP($A28,表1[#All],MATCH(表1_4[[#Headers],[二十二碳六烯酸 mg]],表1_4[#Headers],0),)/品牌均值表[[#Totals],[二十二碳六烯酸 mg]]*100</f>
        <v>65.415771742567145</v>
      </c>
      <c r="AR28">
        <f>VLOOKUP($A28,表1[#All],MATCH(表1_4[[#Headers],[二十碳四烯酸 mg]],表1_4[#Headers],0),)/品牌均值表[[#Totals],[二十碳四烯酸 mg]]*100</f>
        <v>46.399764907857801</v>
      </c>
      <c r="AS28">
        <f>VLOOKUP($A28,表1[#All],MATCH(表1_4[[#Headers],[低聚半乳糖 g]],表1_4[#Headers],0),)/表1[[#Totals],[低聚半乳糖 g]]*100</f>
        <v>0</v>
      </c>
      <c r="AT28">
        <f>VLOOKUP($A28,表1[#All],MATCH(表1_4[[#Headers],[低聚果糖 g]],表1_4[#Headers],0),)/表1[[#Totals],[低聚果糖 g]]*50</f>
        <v>0</v>
      </c>
      <c r="AU28">
        <f>VLOOKUP($A28,表1[#All],MATCH(表1_4[[#Headers],[多聚果糖 g]],表1_4[#Headers],0),)/表1[[#Totals],[多聚果糖 g]]*100</f>
        <v>0</v>
      </c>
      <c r="AV28">
        <f>VLOOKUP($A28,表1[#All],MATCH(表1_4[[#Headers],[聚葡萄糖 g]],表1_4[#Headers],0),)/表1[[#Totals],[聚葡萄糖 g]]*100</f>
        <v>0</v>
      </c>
      <c r="AW28">
        <f>VLOOKUP($A28,表1[#All],MATCH(表1_4[[#Headers],[核苷酸 mg]],表1_4[#Headers],0),)/表1[[#Totals],[核苷酸 mg]]*100</f>
        <v>54.77528089887641</v>
      </c>
      <c r="AX28">
        <f>VLOOKUP($A28,表1[#All],MATCH(表1_4[[#Headers],[13二油酸 g]],表1_4[#Headers],0),)/表1[[#Totals],[13二油酸 g]]*100</f>
        <v>0</v>
      </c>
      <c r="AY28">
        <f>VLOOKUP($A28,表1[#All],MATCH(表1_4[[#Headers],[叶黄素 ug]],表1_4[#Headers],0),)/表1[[#Totals],[叶黄素 ug]]*100</f>
        <v>0</v>
      </c>
      <c r="AZ28">
        <f>VLOOKUP($A28,表1[#All],MATCH(表1_4[[#Headers],[乳铁蛋白 mg]],表1_4[#Headers],0),)/表1[[#Totals],[乳铁蛋白 mg]]*100</f>
        <v>0</v>
      </c>
      <c r="BA28">
        <f>VLOOKUP($A28,表1[#All],MATCH(表1_4[[#Headers],[酪蛋白磷酸肽 mg]],表1_4[#Headers],0),)/表1[[#Totals],[酪蛋白磷酸肽 mg]]*100</f>
        <v>0</v>
      </c>
      <c r="BB28">
        <f>VLOOKUP($A28,表1[#All],MATCH(表1_4[[#Headers],[b胡萝卜素 ug]],表1_4[#Headers],0),)/表1[[#Totals],[b胡萝卜素 ug]]*100</f>
        <v>0</v>
      </c>
      <c r="BC28">
        <f>AVERAGE(表1_4[[#This Row],[能量kj]:[碳水化合物g]])</f>
        <v>95.417493024827522</v>
      </c>
      <c r="BD28">
        <f>AVERAGE(N28:Z28,AM28)</f>
        <v>98.106950398971634</v>
      </c>
      <c r="BE28">
        <f>AVERAGE(表1_4[[#This Row],[钠 mg]:[硒 mg]])</f>
        <v>106.72596255326147</v>
      </c>
      <c r="BF28" s="4">
        <f>SUM(表1_4[[#This Row],[肌醇 mg]:[b胡萝卜素 ug]])/SUM(表1_4[[肌醇 mg]:[b胡萝卜素 ug]])*3400</f>
        <v>56.577484916785906</v>
      </c>
      <c r="BG28" s="4">
        <f>0.5*表1_4[[#This Row],[基础能量]]+表1_4[[#This Row],[维生素]]+表1_4[[#This Row],[微量元素]]+表1_4[[#This Row],[加分项]]+IF(COUNTIF(F28,"*A2*"),0.6,0)*表1_4[[#This Row],[基础能量]]</f>
        <v>309.11914438143276</v>
      </c>
      <c r="BH28" s="4">
        <f>表1_4[[#This Row],[总分]]/表1_4[[#This Row],[百克重量]]</f>
        <v>6.2765308503844217</v>
      </c>
    </row>
    <row r="29" spans="1:60" ht="48">
      <c r="A29" s="1" t="s">
        <v>43</v>
      </c>
      <c r="B29" s="2" t="s">
        <v>40</v>
      </c>
      <c r="C29" s="2">
        <v>300</v>
      </c>
      <c r="D29" s="2">
        <v>171</v>
      </c>
      <c r="E29" s="2">
        <v>57</v>
      </c>
      <c r="F29" s="2" t="s">
        <v>44</v>
      </c>
      <c r="G29" s="2" t="s">
        <v>3</v>
      </c>
      <c r="H29">
        <f>VLOOKUP($A29,表1[#All],MATCH(表1_4[[#Headers],[能量kj]],表1_4[#Headers],0),)/品牌均值表[[#Totals],[能量kj]]*100</f>
        <v>99.814113273253497</v>
      </c>
      <c r="I29">
        <f>VLOOKUP($A29,表1[#All],MATCH(表1_4[[#Headers],[蛋白质g]],表1_4[#Headers],0),)/品牌均值表[[#Totals],[蛋白质g]]*100</f>
        <v>105.66330231038819</v>
      </c>
      <c r="J29">
        <f>VLOOKUP($A29,表1[#All],MATCH(表1_4[[#Headers],[脂肪g]],表1_4[#Headers],0),)/品牌均值表[[#Totals],[脂肪g]]*100</f>
        <v>99.578211133384968</v>
      </c>
      <c r="K29">
        <f>VLOOKUP($A29,表1[#All],MATCH(表1_4[[#Headers],[亚油酸g]],表1_4[#Headers],0),)/品牌均值表[[#Totals],[亚油酸g]]*100</f>
        <v>142.99775289245454</v>
      </c>
      <c r="L29">
        <f>VLOOKUP($A29,表1[#All],MATCH(表1_4[[#Headers],[a-亚麻酸mg]],表1_4[#Headers],0),)/品牌均值表[[#Totals],[a-亚麻酸mg]]*100</f>
        <v>139.10923797758585</v>
      </c>
      <c r="M29">
        <f>VLOOKUP($A29,表1[#All],MATCH(表1_4[[#Headers],[碳水化合物g]],表1_4[#Headers],0),)/品牌均值表[[#Totals],[碳水化合物g]]*100</f>
        <v>99.523402261041809</v>
      </c>
      <c r="N29">
        <f>VLOOKUP($A29,表1[#All],MATCH(表1_4[[#Headers],[维生素A（ug视黄醇）]],表1_4[#Headers],0),)/品牌均值表[[#Totals],[维生素A（ug视黄醇）]]*100</f>
        <v>123.75827981642118</v>
      </c>
      <c r="O29">
        <f>VLOOKUP($A29,表1[#All],MATCH(表1_4[[#Headers],[维生素D ug]],表1_4[#Headers],0),)/品牌均值表[[#Totals],[维生素D ug]]*100</f>
        <v>84.326126391135929</v>
      </c>
      <c r="P29">
        <f>VLOOKUP($A29,表1[#All],MATCH(表1_4[[#Headers],[维生素E mg]],表1_4[#Headers],0),)/品牌均值表[[#Totals],[维生素E mg]]*100</f>
        <v>70.981210855949882</v>
      </c>
      <c r="Q29">
        <f>VLOOKUP($A29,表1[#All],MATCH(表1_4[[#Headers],[维生素K1 ug]],表1_4[#Headers],0),)/品牌均值表[[#Totals],[维生素K1 ug]]*100</f>
        <v>81.369211996660468</v>
      </c>
      <c r="R29">
        <f>VLOOKUP($A29,表1[#All],MATCH(表1_4[[#Headers],[维生素B1 ug]],表1_4[#Headers],0),)/品牌均值表[[#Totals],[维生素B1 ug]]*100</f>
        <v>97.407207565387793</v>
      </c>
      <c r="S29">
        <f>VLOOKUP($A29,表1[#All],MATCH(表1_4[[#Headers],[维生素B2 ug]],表1_4[#Headers],0),)/品牌均值表[[#Totals],[维生素B2 ug]]*100</f>
        <v>105.53123904593804</v>
      </c>
      <c r="T29">
        <f>VLOOKUP($A29,表1[#All],MATCH(表1_4[[#Headers],[维生素B6 ug]],表1_4[#Headers],0),)/品牌均值表[[#Totals],[维生素B6 ug]]*100</f>
        <v>117.65355792017553</v>
      </c>
      <c r="U29">
        <f>VLOOKUP($A29,表1[#All],MATCH(表1_4[[#Headers],[维生素B12 ug]],表1_4[#Headers],0),)/品牌均值表[[#Totals],[维生素B12 ug]]*100</f>
        <v>222.86421791167973</v>
      </c>
      <c r="V29">
        <f>VLOOKUP($A29,表1[#All],MATCH(表1_4[[#Headers],[烟酸 ug]],表1_4[#Headers],0),)/品牌均值表[[#Totals],[烟酸 ug]]*100</f>
        <v>90.747575394027095</v>
      </c>
      <c r="W29">
        <f>VLOOKUP($A29,表1[#All],MATCH(表1_4[[#Headers],[叶酸 ug]],表1_4[#Headers],0),)/品牌均值表[[#Totals],[叶酸 ug]]*100</f>
        <v>81.466395112016286</v>
      </c>
      <c r="X29">
        <f>VLOOKUP($A29,表1[#All],MATCH(表1_4[[#Headers],[泛酸 ug]],表1_4[#Headers],0),)/品牌均值表[[#Totals],[泛酸 ug]]*100</f>
        <v>87.996992325477223</v>
      </c>
      <c r="Y29">
        <f>VLOOKUP($A29,表1[#All],MATCH(表1_4[[#Headers],[维生素C mg]],表1_4[#Headers],0),)/品牌均值表[[#Totals],[维生素C mg]]*100</f>
        <v>72.994696696807225</v>
      </c>
      <c r="Z29">
        <f>VLOOKUP($A29,表1[#All],MATCH(表1_4[[#Headers],[生物素 ug]],表1_4[#Headers],0),)/品牌均值表[[#Totals],[生物素 ug]]*100</f>
        <v>106.37711431964088</v>
      </c>
      <c r="AA29">
        <f>VLOOKUP($A29,表1[#All],MATCH(表1_4[[#Headers],[钠 mg]],表1_4[#Headers],0),)/品牌均值表[[#Totals],[钠 mg]]*100</f>
        <v>94.616703790581695</v>
      </c>
      <c r="AB29">
        <f>VLOOKUP($A29,表1[#All],MATCH(表1_4[[#Headers],[钾 mg]],表1_4[#Headers],0),)/品牌均值表[[#Totals],[钾 mg]]*100</f>
        <v>82.154227779237445</v>
      </c>
      <c r="AC29">
        <f>VLOOKUP($A29,表1[#All],MATCH(表1_4[[#Headers],[铜 ug]],表1_4[#Headers],0),)/品牌均值表[[#Totals],[铜 ug]]*100</f>
        <v>90.178814284994715</v>
      </c>
      <c r="AD29">
        <f>VLOOKUP($A29,表1[#All],MATCH(表1_4[[#Headers],[镁 mg]],表1_4[#Headers],0),)/品牌均值表[[#Totals],[镁 mg]]*100</f>
        <v>78.221485230605495</v>
      </c>
      <c r="AE29">
        <f>VLOOKUP($A29,表1[#All],MATCH(表1_4[[#Headers],[铁 mg ]],表1_4[#Headers],0),)/品牌均值表[[#Totals],[铁 mg ]]*100</f>
        <v>87.887121846227416</v>
      </c>
      <c r="AF29">
        <f>VLOOKUP($A29,表1[#All],MATCH(表1_4[[#Headers],[锌 mg]],表1_4[#Headers],0),)/品牌均值表[[#Totals],[锌 mg]]*100</f>
        <v>92.592055415997052</v>
      </c>
      <c r="AG29">
        <f>VLOOKUP($A29,表1[#All],MATCH(表1_4[[#Headers],[锰 ug]],表1_4[#Headers],0),)/品牌均值表[[#Totals],[锰 ug]]*100</f>
        <v>35.966511852829463</v>
      </c>
      <c r="AH29">
        <f>VLOOKUP($A29,表1[#All],MATCH(表1_4[[#Headers],[钙mg]],表1_4[#Headers],0),)/品牌均值表[[#Totals],[钙mg]]*100</f>
        <v>104.32456706285163</v>
      </c>
      <c r="AI29">
        <f>VLOOKUP($A29,表1[#All],MATCH(表1_4[[#Headers],[磷 mg]],表1_4[#Headers],0),)/品牌均值表[[#Totals],[磷 mg]]*100</f>
        <v>102.48349639528536</v>
      </c>
      <c r="AJ29">
        <f>VLOOKUP($A29,表1[#All],MATCH(表1_4[[#Headers],[碘 ug]],表1_4[#Headers],0),)/品牌均值表[[#Totals],[碘 ug]]*100</f>
        <v>81.095692917642808</v>
      </c>
      <c r="AK29">
        <f>VLOOKUP($A29,表1[#All],MATCH(表1_4[[#Headers],[氯 mg]],表1_4[#Headers],0),)/品牌均值表[[#Totals],[氯 mg]]*100</f>
        <v>95.994135129210434</v>
      </c>
      <c r="AL29">
        <f>VLOOKUP($A29,表1[#All],MATCH(表1_4[[#Headers],[硒 mg]],表1_4[#Headers],0),)/品牌均值表[[#Totals],[硒 mg]]*100</f>
        <v>72.153542738948488</v>
      </c>
      <c r="AM29">
        <f>VLOOKUP($A29,表1[#All],MATCH(表1_4[[#Headers],[胆碱 mg]],表1_4[#Headers],0),)/品牌均值表[[#Totals],[胆碱 mg]]*100</f>
        <v>0</v>
      </c>
      <c r="AN29">
        <f>VLOOKUP($A29,表1[#All],MATCH(表1_4[[#Headers],[肌醇 mg]],表1_4[#Headers],0),)/品牌均值表[[#Totals],[肌醇 mg]]*100</f>
        <v>0</v>
      </c>
      <c r="AO29">
        <f>VLOOKUP($A29,表1[#All],MATCH(表1_4[[#Headers],[牛磺酸 mg]],表1_4[#Headers],0),)/品牌均值表[[#Totals],[牛磺酸 mg]]*100</f>
        <v>0</v>
      </c>
      <c r="AP29">
        <f>VLOOKUP($A29,表1[#All],MATCH(表1_4[[#Headers],[左旋肉碱 mg]],表1_4[#Headers],0),)/品牌均值表[[#Totals],[左旋肉碱 mg]]*100</f>
        <v>83.571523881089661</v>
      </c>
      <c r="AQ29">
        <f>VLOOKUP($A29,表1[#All],MATCH(表1_4[[#Headers],[二十二碳六烯酸 mg]],表1_4[#Headers],0),)/品牌均值表[[#Totals],[二十二碳六烯酸 mg]]*100</f>
        <v>41.059299397084636</v>
      </c>
      <c r="AR29">
        <f>VLOOKUP($A29,表1[#All],MATCH(表1_4[[#Headers],[二十碳四烯酸 mg]],表1_4[#Headers],0),)/品牌均值表[[#Totals],[二十碳四烯酸 mg]]*100</f>
        <v>49.926147040854993</v>
      </c>
      <c r="AS29">
        <f>VLOOKUP($A29,表1[#All],MATCH(表1_4[[#Headers],[低聚半乳糖 g]],表1_4[#Headers],0),)/表1[[#Totals],[低聚半乳糖 g]]*100</f>
        <v>60.305642633228828</v>
      </c>
      <c r="AT29">
        <f>VLOOKUP($A29,表1[#All],MATCH(表1_4[[#Headers],[低聚果糖 g]],表1_4[#Headers],0),)/表1[[#Totals],[低聚果糖 g]]*50</f>
        <v>33.245382585751976</v>
      </c>
      <c r="AU29">
        <f>VLOOKUP($A29,表1[#All],MATCH(表1_4[[#Headers],[多聚果糖 g]],表1_4[#Headers],0),)/表1[[#Totals],[多聚果糖 g]]*100</f>
        <v>0</v>
      </c>
      <c r="AV29">
        <f>VLOOKUP($A29,表1[#All],MATCH(表1_4[[#Headers],[聚葡萄糖 g]],表1_4[#Headers],0),)/表1[[#Totals],[聚葡萄糖 g]]*100</f>
        <v>0</v>
      </c>
      <c r="AW29">
        <f>VLOOKUP($A29,表1[#All],MATCH(表1_4[[#Headers],[核苷酸 mg]],表1_4[#Headers],0),)/表1[[#Totals],[核苷酸 mg]]*100</f>
        <v>86.910112359550567</v>
      </c>
      <c r="AX29">
        <f>VLOOKUP($A29,表1[#All],MATCH(表1_4[[#Headers],[13二油酸 g]],表1_4[#Headers],0),)/表1[[#Totals],[13二油酸 g]]*100</f>
        <v>90.265486725663706</v>
      </c>
      <c r="AY29">
        <f>VLOOKUP($A29,表1[#All],MATCH(表1_4[[#Headers],[叶黄素 ug]],表1_4[#Headers],0),)/表1[[#Totals],[叶黄素 ug]]*100</f>
        <v>86.191732629727355</v>
      </c>
      <c r="AZ29">
        <f>VLOOKUP($A29,表1[#All],MATCH(表1_4[[#Headers],[乳铁蛋白 mg]],表1_4[#Headers],0),)/表1[[#Totals],[乳铁蛋白 mg]]*100</f>
        <v>0</v>
      </c>
      <c r="BA29">
        <f>VLOOKUP($A29,表1[#All],MATCH(表1_4[[#Headers],[酪蛋白磷酸肽 mg]],表1_4[#Headers],0),)/表1[[#Totals],[酪蛋白磷酸肽 mg]]*100</f>
        <v>0</v>
      </c>
      <c r="BB29">
        <f>VLOOKUP($A29,表1[#All],MATCH(表1_4[[#Headers],[b胡萝卜素 ug]],表1_4[#Headers],0),)/表1[[#Totals],[b胡萝卜素 ug]]*100</f>
        <v>0</v>
      </c>
      <c r="BC29">
        <f>AVERAGE(表1_4[[#This Row],[能量kj]:[碳水化合物g]])</f>
        <v>114.44766997468481</v>
      </c>
      <c r="BD29">
        <f>AVERAGE(N29:Z29,AM29)</f>
        <v>95.962416096522674</v>
      </c>
      <c r="BE29">
        <f>AVERAGE(表1_4[[#This Row],[钠 mg]:[硒 mg]])</f>
        <v>84.805696203701004</v>
      </c>
      <c r="BF29" s="4">
        <f>SUM(表1_4[[#This Row],[肌醇 mg]:[b胡萝卜素 ug]])/SUM(表1_4[[肌醇 mg]:[b胡萝卜素 ug]])*3400</f>
        <v>67.819467029556691</v>
      </c>
      <c r="BG29" s="4">
        <f>0.5*表1_4[[#This Row],[基础能量]]+表1_4[[#This Row],[维生素]]+表1_4[[#This Row],[微量元素]]+表1_4[[#This Row],[加分项]]+IF(COUNTIF(F29,"*A2*"),0.6,0)*表1_4[[#This Row],[基础能量]]</f>
        <v>305.81141431712274</v>
      </c>
      <c r="BH29" s="4">
        <f>表1_4[[#This Row],[总分]]/表1_4[[#This Row],[百克重量]]</f>
        <v>5.3651125318793467</v>
      </c>
    </row>
    <row r="30" spans="1:60" ht="48">
      <c r="A30" s="1" t="s">
        <v>51</v>
      </c>
      <c r="B30" s="2" t="s">
        <v>49</v>
      </c>
      <c r="C30" s="2">
        <v>1600</v>
      </c>
      <c r="D30" s="2">
        <v>480</v>
      </c>
      <c r="E30" s="2">
        <v>30</v>
      </c>
      <c r="F30" s="2" t="s">
        <v>38</v>
      </c>
      <c r="G30" s="2" t="s">
        <v>3</v>
      </c>
      <c r="H30">
        <f>VLOOKUP($A30,表1[#All],MATCH(表1_4[[#Headers],[能量kj]],表1_4[#Headers],0),)/品牌均值表[[#Totals],[能量kj]]*100</f>
        <v>100.04941292736301</v>
      </c>
      <c r="I30">
        <f>VLOOKUP($A30,表1[#All],MATCH(表1_4[[#Headers],[蛋白质g]],表1_4[#Headers],0),)/品牌均值表[[#Totals],[蛋白质g]]*100</f>
        <v>106.96549089519931</v>
      </c>
      <c r="J30">
        <f>VLOOKUP($A30,表1[#All],MATCH(表1_4[[#Headers],[脂肪g]],表1_4[#Headers],0),)/品牌均值表[[#Totals],[脂肪g]]*100</f>
        <v>99.948390356929153</v>
      </c>
      <c r="K30">
        <f>VLOOKUP($A30,表1[#All],MATCH(表1_4[[#Headers],[亚油酸g]],表1_4[#Headers],0),)/品牌均值表[[#Totals],[亚油酸g]]*100</f>
        <v>119.59812060096198</v>
      </c>
      <c r="L30">
        <f>VLOOKUP($A30,表1[#All],MATCH(表1_4[[#Headers],[a-亚麻酸mg]],表1_4[#Headers],0),)/品牌均值表[[#Totals],[a-亚麻酸mg]]*100</f>
        <v>110.13812301151376</v>
      </c>
      <c r="M30">
        <f>VLOOKUP($A30,表1[#All],MATCH(表1_4[[#Headers],[碳水化合物g]],表1_4[#Headers],0),)/品牌均值表[[#Totals],[碳水化合物g]]*100</f>
        <v>99.523402261041809</v>
      </c>
      <c r="N30">
        <f>VLOOKUP($A30,表1[#All],MATCH(表1_4[[#Headers],[维生素A（ug视黄醇）]],表1_4[#Headers],0),)/品牌均值表[[#Totals],[维生素A（ug视黄醇）]]*100</f>
        <v>108.98478653109498</v>
      </c>
      <c r="O30">
        <f>VLOOKUP($A30,表1[#All],MATCH(表1_4[[#Headers],[维生素D ug]],表1_4[#Headers],0),)/品牌均值表[[#Totals],[维生素D ug]]*100</f>
        <v>68.637544736971108</v>
      </c>
      <c r="P30">
        <f>VLOOKUP($A30,表1[#All],MATCH(表1_4[[#Headers],[维生素E mg]],表1_4[#Headers],0),)/品牌均值表[[#Totals],[维生素E mg]]*100</f>
        <v>55.671537926235203</v>
      </c>
      <c r="Q30">
        <f>VLOOKUP($A30,表1[#All],MATCH(表1_4[[#Headers],[维生素K1 ug]],表1_4[#Headers],0),)/品牌均值表[[#Totals],[维生素K1 ug]]*100</f>
        <v>89.910731488022606</v>
      </c>
      <c r="R30">
        <f>VLOOKUP($A30,表1[#All],MATCH(表1_4[[#Headers],[维生素B1 ug]],表1_4[#Headers],0),)/品牌均值表[[#Totals],[维生素B1 ug]]*100</f>
        <v>99.39510976059978</v>
      </c>
      <c r="S30">
        <f>VLOOKUP($A30,表1[#All],MATCH(表1_4[[#Headers],[维生素B2 ug]],表1_4[#Headers],0),)/品牌均值表[[#Totals],[维生素B2 ug]]*100</f>
        <v>82.079852591285146</v>
      </c>
      <c r="T30">
        <f>VLOOKUP($A30,表1[#All],MATCH(表1_4[[#Headers],[维生素B6 ug]],表1_4[#Headers],0),)/品牌均值表[[#Totals],[维生素B6 ug]]*100</f>
        <v>83.996299463729912</v>
      </c>
      <c r="U30">
        <f>VLOOKUP($A30,表1[#All],MATCH(表1_4[[#Headers],[维生素B12 ug]],表1_4[#Headers],0),)/品牌均值表[[#Totals],[维生素B12 ug]]*100</f>
        <v>61.906727197688802</v>
      </c>
      <c r="V30">
        <f>VLOOKUP($A30,表1[#All],MATCH(表1_4[[#Headers],[烟酸 ug]],表1_4[#Headers],0),)/品牌均值表[[#Totals],[烟酸 ug]]*100</f>
        <v>82.422865934629513</v>
      </c>
      <c r="W30">
        <f>VLOOKUP($A30,表1[#All],MATCH(表1_4[[#Headers],[叶酸 ug]],表1_4[#Headers],0),)/品牌均值表[[#Totals],[叶酸 ug]]*100</f>
        <v>81.466395112016286</v>
      </c>
      <c r="X30">
        <f>VLOOKUP($A30,表1[#All],MATCH(表1_4[[#Headers],[泛酸 ug]],表1_4[#Headers],0),)/品牌均值表[[#Totals],[泛酸 ug]]*100</f>
        <v>88.249132704633311</v>
      </c>
      <c r="Y30">
        <f>VLOOKUP($A30,表1[#All],MATCH(表1_4[[#Headers],[维生素C mg]],表1_4[#Headers],0),)/品牌均值表[[#Totals],[维生素C mg]]*100</f>
        <v>77.301494232624918</v>
      </c>
      <c r="Z30">
        <f>VLOOKUP($A30,表1[#All],MATCH(表1_4[[#Headers],[生物素 ug]],表1_4[#Headers],0),)/品牌均值表[[#Totals],[生物素 ug]]*100</f>
        <v>75.089727755040627</v>
      </c>
      <c r="AA30">
        <f>VLOOKUP($A30,表1[#All],MATCH(表1_4[[#Headers],[钠 mg]],表1_4[#Headers],0),)/品牌均值表[[#Totals],[钠 mg]]*100</f>
        <v>80.424198221994445</v>
      </c>
      <c r="AB30">
        <f>VLOOKUP($A30,表1[#All],MATCH(表1_4[[#Headers],[钾 mg]],表1_4[#Headers],0),)/品牌均值表[[#Totals],[钾 mg]]*100</f>
        <v>91.28247531026382</v>
      </c>
      <c r="AC30">
        <f>VLOOKUP($A30,表1[#All],MATCH(表1_4[[#Headers],[铜 ug]],表1_4[#Headers],0),)/品牌均值表[[#Totals],[铜 ug]]*100</f>
        <v>67.69757719236388</v>
      </c>
      <c r="AD30">
        <f>VLOOKUP($A30,表1[#All],MATCH(表1_4[[#Headers],[镁 mg]],表1_4[#Headers],0),)/品牌均值表[[#Totals],[镁 mg]]*100</f>
        <v>77.961613186649998</v>
      </c>
      <c r="AE30">
        <f>VLOOKUP($A30,表1[#All],MATCH(表1_4[[#Headers],[铁 mg ]],表1_4[#Headers],0),)/品牌均值表[[#Totals],[铁 mg ]]*100</f>
        <v>83.702020805930871</v>
      </c>
      <c r="AF30">
        <f>VLOOKUP($A30,表1[#All],MATCH(表1_4[[#Headers],[锌 mg]],表1_4[#Headers],0),)/品牌均值表[[#Totals],[锌 mg]]*100</f>
        <v>97.465321490523209</v>
      </c>
      <c r="AG30">
        <f>VLOOKUP($A30,表1[#All],MATCH(表1_4[[#Headers],[锰 ug]],表1_4[#Headers],0),)/品牌均值表[[#Totals],[锰 ug]]*100</f>
        <v>38.082189020642957</v>
      </c>
      <c r="AH30">
        <f>VLOOKUP($A30,表1[#All],MATCH(表1_4[[#Headers],[钙mg]],表1_4[#Headers],0),)/品牌均值表[[#Totals],[钙mg]]*100</f>
        <v>82.361500312777608</v>
      </c>
      <c r="AI30">
        <f>VLOOKUP($A30,表1[#All],MATCH(表1_4[[#Headers],[磷 mg]],表1_4[#Headers],0),)/品牌均值表[[#Totals],[磷 mg]]*100</f>
        <v>85.402913662737788</v>
      </c>
      <c r="AJ30">
        <f>VLOOKUP($A30,表1[#All],MATCH(表1_4[[#Headers],[碘 ug]],表1_4[#Headers],0),)/品牌均值表[[#Totals],[碘 ug]]*100</f>
        <v>75.689313389799963</v>
      </c>
      <c r="AK30">
        <f>VLOOKUP($A30,表1[#All],MATCH(表1_4[[#Headers],[氯 mg]],表1_4[#Headers],0),)/品牌均值表[[#Totals],[氯 mg]]*100</f>
        <v>99.616555322765549</v>
      </c>
      <c r="AL30">
        <f>VLOOKUP($A30,表1[#All],MATCH(表1_4[[#Headers],[硒 mg]],表1_4[#Headers],0),)/品牌均值表[[#Totals],[硒 mg]]*100</f>
        <v>76.194141132329591</v>
      </c>
      <c r="AM30">
        <f>VLOOKUP($A30,表1[#All],MATCH(表1_4[[#Headers],[胆碱 mg]],表1_4[#Headers],0),)/品牌均值表[[#Totals],[胆碱 mg]]*100</f>
        <v>65.334567430718138</v>
      </c>
      <c r="AN30">
        <f>VLOOKUP($A30,表1[#All],MATCH(表1_4[[#Headers],[肌醇 mg]],表1_4[#Headers],0),)/品牌均值表[[#Totals],[肌醇 mg]]*100</f>
        <v>75.009921947347536</v>
      </c>
      <c r="AO30">
        <f>VLOOKUP($A30,表1[#All],MATCH(表1_4[[#Headers],[牛磺酸 mg]],表1_4[#Headers],0),)/品牌均值表[[#Totals],[牛磺酸 mg]]*100</f>
        <v>126.89023517626295</v>
      </c>
      <c r="AP30">
        <f>VLOOKUP($A30,表1[#All],MATCH(表1_4[[#Headers],[左旋肉碱 mg]],表1_4[#Headers],0),)/品牌均值表[[#Totals],[左旋肉碱 mg]]*100</f>
        <v>78.655551888084389</v>
      </c>
      <c r="AQ30">
        <f>VLOOKUP($A30,表1[#All],MATCH(表1_4[[#Headers],[二十二碳六烯酸 mg]],表1_4[#Headers],0),)/品牌均值表[[#Totals],[二十二碳六烯酸 mg]]*100</f>
        <v>94.198711309296684</v>
      </c>
      <c r="AR30">
        <f>VLOOKUP($A30,表1[#All],MATCH(表1_4[[#Headers],[二十碳四烯酸 mg]],表1_4[#Headers],0),)/品牌均值表[[#Totals],[二十碳四烯酸 mg]]*100</f>
        <v>133.63132293463048</v>
      </c>
      <c r="AS30">
        <f>VLOOKUP($A30,表1[#All],MATCH(表1_4[[#Headers],[低聚半乳糖 g]],表1_4[#Headers],0),)/表1[[#Totals],[低聚半乳糖 g]]*100</f>
        <v>66.124608150470209</v>
      </c>
      <c r="AT30">
        <f>VLOOKUP($A30,表1[#All],MATCH(表1_4[[#Headers],[低聚果糖 g]],表1_4[#Headers],0),)/表1[[#Totals],[低聚果糖 g]]*50</f>
        <v>6.5963060686015833</v>
      </c>
      <c r="AU30">
        <f>VLOOKUP($A30,表1[#All],MATCH(表1_4[[#Headers],[多聚果糖 g]],表1_4[#Headers],0),)/表1[[#Totals],[多聚果糖 g]]*100</f>
        <v>0</v>
      </c>
      <c r="AV30">
        <f>VLOOKUP($A30,表1[#All],MATCH(表1_4[[#Headers],[聚葡萄糖 g]],表1_4[#Headers],0),)/表1[[#Totals],[聚葡萄糖 g]]*100</f>
        <v>0</v>
      </c>
      <c r="AW30">
        <f>VLOOKUP($A30,表1[#All],MATCH(表1_4[[#Headers],[核苷酸 mg]],表1_4[#Headers],0),)/表1[[#Totals],[核苷酸 mg]]*100</f>
        <v>109.55056179775282</v>
      </c>
      <c r="AX30">
        <f>VLOOKUP($A30,表1[#All],MATCH(表1_4[[#Headers],[13二油酸 g]],表1_4[#Headers],0),)/表1[[#Totals],[13二油酸 g]]*100</f>
        <v>0</v>
      </c>
      <c r="AY30">
        <f>VLOOKUP($A30,表1[#All],MATCH(表1_4[[#Headers],[叶黄素 ug]],表1_4[#Headers],0),)/表1[[#Totals],[叶黄素 ug]]*100</f>
        <v>0</v>
      </c>
      <c r="AZ30">
        <f>VLOOKUP($A30,表1[#All],MATCH(表1_4[[#Headers],[乳铁蛋白 mg]],表1_4[#Headers],0),)/表1[[#Totals],[乳铁蛋白 mg]]*100</f>
        <v>24.161849710982658</v>
      </c>
      <c r="BA30">
        <f>VLOOKUP($A30,表1[#All],MATCH(表1_4[[#Headers],[酪蛋白磷酸肽 mg]],表1_4[#Headers],0),)/表1[[#Totals],[酪蛋白磷酸肽 mg]]*100</f>
        <v>0</v>
      </c>
      <c r="BB30">
        <f>VLOOKUP($A30,表1[#All],MATCH(表1_4[[#Headers],[b胡萝卜素 ug]],表1_4[#Headers],0),)/表1[[#Totals],[b胡萝卜素 ug]]*100</f>
        <v>0</v>
      </c>
      <c r="BC30">
        <f>AVERAGE(表1_4[[#This Row],[能量kj]:[碳水化合物g]])</f>
        <v>106.03715667550152</v>
      </c>
      <c r="BD30">
        <f>AVERAGE(N30:Z30,AM30)</f>
        <v>80.031912347520731</v>
      </c>
      <c r="BE30">
        <f>AVERAGE(表1_4[[#This Row],[钠 mg]:[硒 mg]])</f>
        <v>79.656651587398315</v>
      </c>
      <c r="BF30" s="4">
        <f>SUM(表1_4[[#This Row],[肌醇 mg]:[b胡萝卜素 ug]])/SUM(表1_4[[肌醇 mg]:[b胡萝卜素 ug]])*3400</f>
        <v>91.215237650998318</v>
      </c>
      <c r="BG30" s="4">
        <f>0.5*表1_4[[#This Row],[基础能量]]+表1_4[[#This Row],[维生素]]+表1_4[[#This Row],[微量元素]]+表1_4[[#This Row],[加分项]]+IF(COUNTIF(F30,"*A2*"),0.6,0)*表1_4[[#This Row],[基础能量]]</f>
        <v>303.92237992366813</v>
      </c>
      <c r="BH30" s="4">
        <f>表1_4[[#This Row],[总分]]/表1_4[[#This Row],[百克重量]]</f>
        <v>10.130745997455604</v>
      </c>
    </row>
    <row r="31" spans="1:60" ht="48">
      <c r="A31" s="1" t="s">
        <v>17</v>
      </c>
      <c r="B31" s="2" t="s">
        <v>9</v>
      </c>
      <c r="C31" s="2">
        <v>700</v>
      </c>
      <c r="D31" s="2">
        <v>245</v>
      </c>
      <c r="E31" s="2">
        <v>35</v>
      </c>
      <c r="F31" s="2" t="s">
        <v>18</v>
      </c>
      <c r="G31" s="2" t="s">
        <v>3</v>
      </c>
      <c r="H31">
        <f>VLOOKUP($A31,表1[#All],MATCH(表1_4[[#Headers],[能量kj]],表1_4[#Headers],0),)/品牌均值表[[#Totals],[能量kj]]*100</f>
        <v>99.531753688322084</v>
      </c>
      <c r="I31">
        <f>VLOOKUP($A31,表1[#All],MATCH(表1_4[[#Headers],[蛋白质g]],表1_4[#Headers],0),)/品牌均值表[[#Totals],[蛋白质g]]*100</f>
        <v>93.013470343651576</v>
      </c>
      <c r="J31">
        <f>VLOOKUP($A31,表1[#All],MATCH(表1_4[[#Headers],[脂肪g]],表1_4[#Headers],0),)/品牌均值表[[#Totals],[脂肪g]]*100</f>
        <v>98.46767346275243</v>
      </c>
      <c r="K31">
        <f>VLOOKUP($A31,表1[#All],MATCH(表1_4[[#Headers],[亚油酸g]],表1_4[#Headers],0),)/品牌均值表[[#Totals],[亚油酸g]]*100</f>
        <v>106.59832488346611</v>
      </c>
      <c r="L31">
        <f>VLOOKUP($A31,表1[#All],MATCH(表1_4[[#Headers],[a-亚麻酸mg]],表1_4[#Headers],0),)/品牌均值表[[#Totals],[a-亚麻酸mg]]*100</f>
        <v>98.166587901566601</v>
      </c>
      <c r="M31">
        <f>VLOOKUP($A31,表1[#All],MATCH(表1_4[[#Headers],[碳水化合物g]],表1_4[#Headers],0),)/品牌均值表[[#Totals],[碳水化合物g]]*100</f>
        <v>102.84084900307656</v>
      </c>
      <c r="N31">
        <f>VLOOKUP($A31,表1[#All],MATCH(表1_4[[#Headers],[维生素A（ug视黄醇）]],表1_4[#Headers],0),)/品牌均值表[[#Totals],[维生素A（ug视黄醇）]]*100</f>
        <v>87.187829224875983</v>
      </c>
      <c r="O31">
        <f>VLOOKUP($A31,表1[#All],MATCH(表1_4[[#Headers],[维生素D ug]],表1_4[#Headers],0),)/品牌均值表[[#Totals],[维生素D ug]]*100</f>
        <v>127.46972594008921</v>
      </c>
      <c r="P31">
        <f>VLOOKUP($A31,表1[#All],MATCH(表1_4[[#Headers],[维生素E mg]],表1_4[#Headers],0),)/品牌均值表[[#Totals],[维生素E mg]]*100</f>
        <v>83.507306889352819</v>
      </c>
      <c r="Q31">
        <f>VLOOKUP($A31,表1[#All],MATCH(表1_4[[#Headers],[维生素K1 ug]],表1_4[#Headers],0),)/品牌均值表[[#Totals],[维生素K1 ug]]*100</f>
        <v>134.86609723203392</v>
      </c>
      <c r="R31">
        <f>VLOOKUP($A31,表1[#All],MATCH(表1_4[[#Headers],[维生素B1 ug]],表1_4[#Headers],0),)/品牌均值表[[#Totals],[维生素B1 ug]]*100</f>
        <v>129.21364268877971</v>
      </c>
      <c r="S31">
        <f>VLOOKUP($A31,表1[#All],MATCH(表1_4[[#Headers],[维生素B2 ug]],表1_4[#Headers],0),)/品牌均值表[[#Totals],[维生素B2 ug]]*100</f>
        <v>65.142740151813598</v>
      </c>
      <c r="T31">
        <f>VLOOKUP($A31,表1[#All],MATCH(表1_4[[#Headers],[维生素B6 ug]],表1_4[#Headers],0),)/品牌均值表[[#Totals],[维生素B6 ug]]*100</f>
        <v>117.47734190731455</v>
      </c>
      <c r="U31">
        <f>VLOOKUP($A31,表1[#All],MATCH(表1_4[[#Headers],[维生素B12 ug]],表1_4[#Headers],0),)/品牌均值表[[#Totals],[维生素B12 ug]]*100</f>
        <v>92.860090796533214</v>
      </c>
      <c r="V31">
        <f>VLOOKUP($A31,表1[#All],MATCH(表1_4[[#Headers],[烟酸 ug]],表1_4[#Headers],0),)/品牌均值表[[#Totals],[烟酸 ug]]*100</f>
        <v>112.64458344399367</v>
      </c>
      <c r="W31">
        <f>VLOOKUP($A31,表1[#All],MATCH(表1_4[[#Headers],[叶酸 ug]],表1_4[#Headers],0),)/品牌均值表[[#Totals],[叶酸 ug]]*100</f>
        <v>77.974978178644164</v>
      </c>
      <c r="X31">
        <f>VLOOKUP($A31,表1[#All],MATCH(表1_4[[#Headers],[泛酸 ug]],表1_4[#Headers],0),)/品牌均值表[[#Totals],[泛酸 ug]]*100</f>
        <v>96.128519553261299</v>
      </c>
      <c r="Y31">
        <f>VLOOKUP($A31,表1[#All],MATCH(表1_4[[#Headers],[维生素C mg]],表1_4[#Headers],0),)/品牌均值表[[#Totals],[维生素C mg]]*100</f>
        <v>77.301494232624918</v>
      </c>
      <c r="Z31">
        <f>VLOOKUP($A31,表1[#All],MATCH(表1_4[[#Headers],[生物素 ug]],表1_4[#Headers],0),)/品牌均值表[[#Totals],[生物素 ug]]*100</f>
        <v>100.11963700672084</v>
      </c>
      <c r="AA31">
        <f>VLOOKUP($A31,表1[#All],MATCH(表1_4[[#Headers],[钠 mg]],表1_4[#Headers],0),)/品牌均值表[[#Totals],[钠 mg]]*100</f>
        <v>103.48701977094873</v>
      </c>
      <c r="AB31">
        <f>VLOOKUP($A31,表1[#All],MATCH(表1_4[[#Headers],[钾 mg]],表1_4[#Headers],0),)/品牌均值表[[#Totals],[钾 mg]]*100</f>
        <v>78.097228876559058</v>
      </c>
      <c r="AC31">
        <f>VLOOKUP($A31,表1[#All],MATCH(表1_4[[#Headers],[铜 ug]],表1_4[#Headers],0),)/品牌均值表[[#Totals],[铜 ug]]*100</f>
        <v>98.725633405530658</v>
      </c>
      <c r="AD31">
        <f>VLOOKUP($A31,表1[#All],MATCH(表1_4[[#Headers],[镁 mg]],表1_4[#Headers],0),)/品牌均值表[[#Totals],[镁 mg]]*100</f>
        <v>83.159054065759989</v>
      </c>
      <c r="AE31">
        <f>VLOOKUP($A31,表1[#All],MATCH(表1_4[[#Headers],[铁 mg ]],表1_4[#Headers],0),)/品牌均值表[[#Totals],[铁 mg ]]*100</f>
        <v>104.62752600741361</v>
      </c>
      <c r="AF31">
        <f>VLOOKUP($A31,表1[#All],MATCH(表1_4[[#Headers],[锌 mg]],表1_4[#Headers],0),)/品牌均值表[[#Totals],[锌 mg]]*100</f>
        <v>109.64848667683862</v>
      </c>
      <c r="AG31">
        <f>VLOOKUP($A31,表1[#All],MATCH(表1_4[[#Headers],[锰 ug]],表1_4[#Headers],0),)/品牌均值表[[#Totals],[锰 ug]]*100</f>
        <v>42.313543356269953</v>
      </c>
      <c r="AH31">
        <f>VLOOKUP($A31,表1[#All],MATCH(表1_4[[#Headers],[钙mg]],表1_4[#Headers],0),)/品牌均值表[[#Totals],[钙mg]]*100</f>
        <v>96.088417031573869</v>
      </c>
      <c r="AI31">
        <f>VLOOKUP($A31,表1[#All],MATCH(表1_4[[#Headers],[磷 mg]],表1_4[#Headers],0),)/品牌均值表[[#Totals],[磷 mg]]*100</f>
        <v>85.402913662737788</v>
      </c>
      <c r="AJ31">
        <f>VLOOKUP($A31,表1[#All],MATCH(表1_4[[#Headers],[碘 ug]],表1_4[#Headers],0),)/品牌均值表[[#Totals],[碘 ug]]*100</f>
        <v>114.61524599026851</v>
      </c>
      <c r="AK31">
        <f>VLOOKUP($A31,表1[#All],MATCH(表1_4[[#Headers],[氯 mg]],表1_4[#Headers],0),)/品牌均值表[[#Totals],[氯 mg]]*100</f>
        <v>84.52313784961926</v>
      </c>
      <c r="AL31">
        <f>VLOOKUP($A31,表1[#All],MATCH(表1_4[[#Headers],[硒 mg]],表1_4[#Headers],0),)/品牌均值表[[#Totals],[硒 mg]]*100</f>
        <v>109.6733849632017</v>
      </c>
      <c r="AM31">
        <f>VLOOKUP($A31,表1[#All],MATCH(表1_4[[#Headers],[胆碱 mg]],表1_4[#Headers],0),)/品牌均值表[[#Totals],[胆碱 mg]]*100</f>
        <v>175.58664997005496</v>
      </c>
      <c r="AN31">
        <f>VLOOKUP($A31,表1[#All],MATCH(表1_4[[#Headers],[肌醇 mg]],表1_4[#Headers],0),)/品牌均值表[[#Totals],[肌醇 mg]]*100</f>
        <v>0</v>
      </c>
      <c r="AO31">
        <f>VLOOKUP($A31,表1[#All],MATCH(表1_4[[#Headers],[牛磺酸 mg]],表1_4[#Headers],0),)/品牌均值表[[#Totals],[牛磺酸 mg]]*100</f>
        <v>0</v>
      </c>
      <c r="AP31">
        <f>VLOOKUP($A31,表1[#All],MATCH(表1_4[[#Headers],[左旋肉碱 mg]],表1_4[#Headers],0),)/品牌均值表[[#Totals],[左旋肉碱 mg]]*100</f>
        <v>0</v>
      </c>
      <c r="AQ31">
        <f>VLOOKUP($A31,表1[#All],MATCH(表1_4[[#Headers],[二十二碳六烯酸 mg]],表1_4[#Headers],0),)/品牌均值表[[#Totals],[二十二碳六烯酸 mg]]*100</f>
        <v>98.12365761385071</v>
      </c>
      <c r="AR31">
        <f>VLOOKUP($A31,表1[#All],MATCH(表1_4[[#Headers],[二十碳四烯酸 mg]],表1_4[#Headers],0),)/品牌均值表[[#Totals],[二十碳四烯酸 mg]]*100</f>
        <v>118.31940051503737</v>
      </c>
      <c r="AS31">
        <f>VLOOKUP($A31,表1[#All],MATCH(表1_4[[#Headers],[低聚半乳糖 g]],表1_4[#Headers],0),)/表1[[#Totals],[低聚半乳糖 g]]*100</f>
        <v>0</v>
      </c>
      <c r="AT31">
        <f>VLOOKUP($A31,表1[#All],MATCH(表1_4[[#Headers],[低聚果糖 g]],表1_4[#Headers],0),)/表1[[#Totals],[低聚果糖 g]]*50</f>
        <v>98.944591029023726</v>
      </c>
      <c r="AU31">
        <f>VLOOKUP($A31,表1[#All],MATCH(表1_4[[#Headers],[多聚果糖 g]],表1_4[#Headers],0),)/表1[[#Totals],[多聚果糖 g]]*100</f>
        <v>0</v>
      </c>
      <c r="AV31">
        <f>VLOOKUP($A31,表1[#All],MATCH(表1_4[[#Headers],[聚葡萄糖 g]],表1_4[#Headers],0),)/表1[[#Totals],[聚葡萄糖 g]]*100</f>
        <v>0</v>
      </c>
      <c r="AW31">
        <f>VLOOKUP($A31,表1[#All],MATCH(表1_4[[#Headers],[核苷酸 mg]],表1_4[#Headers],0),)/表1[[#Totals],[核苷酸 mg]]*100</f>
        <v>0</v>
      </c>
      <c r="AX31">
        <f>VLOOKUP($A31,表1[#All],MATCH(表1_4[[#Headers],[13二油酸 g]],表1_4[#Headers],0),)/表1[[#Totals],[13二油酸 g]]*100</f>
        <v>75.221238938053091</v>
      </c>
      <c r="AY31">
        <f>VLOOKUP($A31,表1[#All],MATCH(表1_4[[#Headers],[叶黄素 ug]],表1_4[#Headers],0),)/表1[[#Totals],[叶黄素 ug]]*100</f>
        <v>0</v>
      </c>
      <c r="AZ31">
        <f>VLOOKUP($A31,表1[#All],MATCH(表1_4[[#Headers],[乳铁蛋白 mg]],表1_4[#Headers],0),)/表1[[#Totals],[乳铁蛋白 mg]]*100</f>
        <v>0</v>
      </c>
      <c r="BA31">
        <f>VLOOKUP($A31,表1[#All],MATCH(表1_4[[#Headers],[酪蛋白磷酸肽 mg]],表1_4[#Headers],0),)/表1[[#Totals],[酪蛋白磷酸肽 mg]]*100</f>
        <v>0</v>
      </c>
      <c r="BB31">
        <f>VLOOKUP($A31,表1[#All],MATCH(表1_4[[#Headers],[b胡萝卜素 ug]],表1_4[#Headers],0),)/表1[[#Totals],[b胡萝卜素 ug]]*100</f>
        <v>0</v>
      </c>
      <c r="BC31">
        <f>AVERAGE(表1_4[[#This Row],[能量kj]:[碳水化合物g]])</f>
        <v>99.769776547139216</v>
      </c>
      <c r="BD31">
        <f>AVERAGE(N31:Z31,AM31)</f>
        <v>105.53433122972095</v>
      </c>
      <c r="BE31">
        <f>AVERAGE(表1_4[[#This Row],[钠 mg]:[硒 mg]])</f>
        <v>92.530132638060138</v>
      </c>
      <c r="BF31" s="4">
        <f>SUM(表1_4[[#This Row],[肌醇 mg]:[b胡萝卜素 ug]])/SUM(表1_4[[肌醇 mg]:[b胡萝卜素 ug]])*3400</f>
        <v>49.844057191892844</v>
      </c>
      <c r="BG31" s="4">
        <f>0.5*表1_4[[#This Row],[基础能量]]+表1_4[[#This Row],[维生素]]+表1_4[[#This Row],[微量元素]]+表1_4[[#This Row],[加分项]]+IF(COUNTIF(F31,"*A2*"),0.6,0)*表1_4[[#This Row],[基础能量]]</f>
        <v>297.79340933324352</v>
      </c>
      <c r="BH31" s="4">
        <f>表1_4[[#This Row],[总分]]/表1_4[[#This Row],[百克重量]]</f>
        <v>8.5083831238069578</v>
      </c>
    </row>
    <row r="32" spans="1:60" ht="48">
      <c r="A32" s="1" t="s">
        <v>30</v>
      </c>
      <c r="B32" s="2" t="s">
        <v>26</v>
      </c>
      <c r="C32" s="2">
        <v>800</v>
      </c>
      <c r="D32" s="2">
        <v>426</v>
      </c>
      <c r="E32" s="2">
        <v>53.25</v>
      </c>
      <c r="F32" s="2" t="s">
        <v>31</v>
      </c>
      <c r="G32" s="2" t="s">
        <v>3</v>
      </c>
      <c r="H32">
        <f>VLOOKUP($A32,表1[#All],MATCH(表1_4[[#Headers],[能量kj]],表1_4[#Headers],0),)/品牌均值表[[#Totals],[能量kj]]*100</f>
        <v>102.5435892609238</v>
      </c>
      <c r="I32">
        <f>VLOOKUP($A32,表1[#All],MATCH(表1_4[[#Headers],[蛋白质g]],表1_4[#Headers],0),)/品牌均值表[[#Totals],[蛋白质g]]*100</f>
        <v>101.3846826745802</v>
      </c>
      <c r="J32">
        <f>VLOOKUP($A32,表1[#All],MATCH(表1_4[[#Headers],[脂肪g]],表1_4[#Headers],0),)/品牌均值表[[#Totals],[脂肪g]]*100</f>
        <v>102.53964492173841</v>
      </c>
      <c r="K32">
        <f>VLOOKUP($A32,表1[#All],MATCH(表1_4[[#Headers],[亚油酸g]],表1_4[#Headers],0),)/品牌均值表[[#Totals],[亚油酸g]]*100</f>
        <v>96.198488309469425</v>
      </c>
      <c r="L32">
        <f>VLOOKUP($A32,表1[#All],MATCH(表1_4[[#Headers],[a-亚麻酸mg]],表1_4[#Headers],0),)/品牌均值表[[#Totals],[a-亚麻酸mg]]*100</f>
        <v>83.800745769630026</v>
      </c>
      <c r="M32">
        <f>VLOOKUP($A32,表1[#All],MATCH(表1_4[[#Headers],[碳水化合物g]],表1_4[#Headers],0),)/品牌均值表[[#Totals],[碳水化合物g]]*100</f>
        <v>105.05248016443302</v>
      </c>
      <c r="N32">
        <f>VLOOKUP($A32,表1[#All],MATCH(表1_4[[#Headers],[维生素A（ug视黄醇）]],表1_4[#Headers],0),)/品牌均值表[[#Totals],[维生素A（ug视黄醇）]]*100</f>
        <v>93.242539587714589</v>
      </c>
      <c r="O32">
        <f>VLOOKUP($A32,表1[#All],MATCH(表1_4[[#Headers],[维生素D ug]],表1_4[#Headers],0),)/品牌均值表[[#Totals],[维生素D ug]]*100</f>
        <v>83.34559003775064</v>
      </c>
      <c r="P32">
        <f>VLOOKUP($A32,表1[#All],MATCH(表1_4[[#Headers],[维生素E mg]],表1_4[#Headers],0),)/品牌均值表[[#Totals],[维生素E mg]]*100</f>
        <v>167.01461377870564</v>
      </c>
      <c r="Q32">
        <f>VLOOKUP($A32,表1[#All],MATCH(表1_4[[#Headers],[维生素K1 ug]],表1_4[#Headers],0),)/品牌均值表[[#Totals],[维生素K1 ug]]*100</f>
        <v>101.14957292402545</v>
      </c>
      <c r="R32">
        <f>VLOOKUP($A32,表1[#All],MATCH(表1_4[[#Headers],[维生素B1 ug]],表1_4[#Headers],0),)/品牌均值表[[#Totals],[维生素B1 ug]]*100</f>
        <v>99.39510976059978</v>
      </c>
      <c r="S32">
        <f>VLOOKUP($A32,表1[#All],MATCH(表1_4[[#Headers],[维生素B2 ug]],表1_4[#Headers],0),)/品牌均值表[[#Totals],[维生素B2 ug]]*100</f>
        <v>67.748449757886135</v>
      </c>
      <c r="T32">
        <f>VLOOKUP($A32,表1[#All],MATCH(表1_4[[#Headers],[维生素B6 ug]],表1_4[#Headers],0),)/品牌均值表[[#Totals],[维生素B6 ug]]*100</f>
        <v>70.486405144388726</v>
      </c>
      <c r="U32">
        <f>VLOOKUP($A32,表1[#All],MATCH(表1_4[[#Headers],[维生素B12 ug]],表1_4[#Headers],0),)/品牌均值表[[#Totals],[维生素B12 ug]]*100</f>
        <v>86.66941807676433</v>
      </c>
      <c r="V32">
        <f>VLOOKUP($A32,表1[#All],MATCH(表1_4[[#Headers],[烟酸 ug]],表1_4[#Headers],0),)/品牌均值表[[#Totals],[烟酸 ug]]*100</f>
        <v>93.412581392580122</v>
      </c>
      <c r="W32">
        <f>VLOOKUP($A32,表1[#All],MATCH(表1_4[[#Headers],[叶酸 ug]],表1_4[#Headers],0),)/品牌均值表[[#Totals],[叶酸 ug]]*100</f>
        <v>110.56153622345066</v>
      </c>
      <c r="X32">
        <f>VLOOKUP($A32,表1[#All],MATCH(表1_4[[#Headers],[泛酸 ug]],表1_4[#Headers],0),)/品牌均值表[[#Totals],[泛酸 ug]]*100</f>
        <v>107.15966114134045</v>
      </c>
      <c r="Y32">
        <f>VLOOKUP($A32,表1[#All],MATCH(表1_4[[#Headers],[维生素C mg]],表1_4[#Headers],0),)/品牌均值表[[#Totals],[维生素C mg]]*100</f>
        <v>88.344564837285617</v>
      </c>
      <c r="Z32">
        <f>VLOOKUP($A32,表1[#All],MATCH(表1_4[[#Headers],[生物素 ug]],表1_4[#Headers],0),)/品牌均值表[[#Totals],[生物素 ug]]*100</f>
        <v>75.089727755040627</v>
      </c>
      <c r="AA32">
        <f>VLOOKUP($A32,表1[#All],MATCH(表1_4[[#Headers],[钠 mg]],表1_4[#Headers],0),)/品牌均值表[[#Totals],[钠 mg]]*100</f>
        <v>104.07837416963987</v>
      </c>
      <c r="AB32">
        <f>VLOOKUP($A32,表1[#All],MATCH(表1_4[[#Headers],[钾 mg]],表1_4[#Headers],0),)/品牌均值表[[#Totals],[钾 mg]]*100</f>
        <v>116.63871845200377</v>
      </c>
      <c r="AC32">
        <f>VLOOKUP($A32,表1[#All],MATCH(表1_4[[#Headers],[铜 ug]],表1_4[#Headers],0),)/品牌均值表[[#Totals],[铜 ug]]*100</f>
        <v>84.621971490454854</v>
      </c>
      <c r="AD32">
        <f>VLOOKUP($A32,表1[#All],MATCH(表1_4[[#Headers],[镁 mg]],表1_4[#Headers],0),)/品牌均值表[[#Totals],[镁 mg]]*100</f>
        <v>90.955215384424989</v>
      </c>
      <c r="AE32">
        <f>VLOOKUP($A32,表1[#All],MATCH(表1_4[[#Headers],[铁 mg ]],表1_4[#Headers],0),)/品牌均值表[[#Totals],[铁 mg ]]*100</f>
        <v>94.164773406672239</v>
      </c>
      <c r="AF32">
        <f>VLOOKUP($A32,表1[#All],MATCH(表1_4[[#Headers],[锌 mg]],表1_4[#Headers],0),)/品牌均值表[[#Totals],[锌 mg]]*100</f>
        <v>119.39501882589094</v>
      </c>
      <c r="AG32">
        <f>VLOOKUP($A32,表1[#All],MATCH(表1_4[[#Headers],[锰 ug]],表1_4[#Headers],0),)/品牌均值表[[#Totals],[锰 ug]]*100</f>
        <v>137.51901590787736</v>
      </c>
      <c r="AH32">
        <f>VLOOKUP($A32,表1[#All],MATCH(表1_4[[#Headers],[钙mg]],表1_4[#Headers],0),)/品牌均值表[[#Totals],[钙mg]]*100</f>
        <v>90.597650344055367</v>
      </c>
      <c r="AI32">
        <f>VLOOKUP($A32,表1[#All],MATCH(表1_4[[#Headers],[磷 mg]],表1_4[#Headers],0),)/品牌均值表[[#Totals],[磷 mg]]*100</f>
        <v>83.267840821169344</v>
      </c>
      <c r="AJ32">
        <f>VLOOKUP($A32,表1[#All],MATCH(表1_4[[#Headers],[碘 ug]],表1_4[#Headers],0),)/品牌均值表[[#Totals],[碘 ug]]*100</f>
        <v>114.61524599026851</v>
      </c>
      <c r="AK32">
        <f>VLOOKUP($A32,表1[#All],MATCH(表1_4[[#Headers],[氯 mg]],表1_4[#Headers],0),)/品牌均值表[[#Totals],[氯 mg]]*100</f>
        <v>104.14458056470943</v>
      </c>
      <c r="AL32">
        <f>VLOOKUP($A32,表1[#All],MATCH(表1_4[[#Headers],[硒 mg]],表1_4[#Headers],0),)/品牌均值表[[#Totals],[硒 mg]]*100</f>
        <v>86.58425128673818</v>
      </c>
      <c r="AM32">
        <f>VLOOKUP($A32,表1[#All],MATCH(表1_4[[#Headers],[胆碱 mg]],表1_4[#Headers],0),)/品牌均值表[[#Totals],[胆碱 mg]]*100</f>
        <v>36.750694179778947</v>
      </c>
      <c r="AN32">
        <f>VLOOKUP($A32,表1[#All],MATCH(表1_4[[#Headers],[肌醇 mg]],表1_4[#Headers],0),)/品牌均值表[[#Totals],[肌醇 mg]]*100</f>
        <v>166.68871543855008</v>
      </c>
      <c r="AO32">
        <f>VLOOKUP($A32,表1[#All],MATCH(表1_4[[#Headers],[牛磺酸 mg]],表1_4[#Headers],0),)/品牌均值表[[#Totals],[牛磺酸 mg]]*100</f>
        <v>0</v>
      </c>
      <c r="AP32">
        <f>VLOOKUP($A32,表1[#All],MATCH(表1_4[[#Headers],[左旋肉碱 mg]],表1_4[#Headers],0),)/品牌均值表[[#Totals],[左旋肉碱 mg]]*100</f>
        <v>78.655551888084389</v>
      </c>
      <c r="AQ32">
        <f>VLOOKUP($A32,表1[#All],MATCH(表1_4[[#Headers],[二十二碳六烯酸 mg]],表1_4[#Headers],0),)/品牌均值表[[#Totals],[二十二碳六烯酸 mg]]*100</f>
        <v>76.536452938803563</v>
      </c>
      <c r="AR32">
        <f>VLOOKUP($A32,表1[#All],MATCH(表1_4[[#Headers],[二十碳四烯酸 mg]],表1_4[#Headers],0),)/品牌均值表[[#Totals],[二十碳四烯酸 mg]]*100</f>
        <v>54.287724942193627</v>
      </c>
      <c r="AS32">
        <f>VLOOKUP($A32,表1[#All],MATCH(表1_4[[#Headers],[低聚半乳糖 g]],表1_4[#Headers],0),)/表1[[#Totals],[低聚半乳糖 g]]*100</f>
        <v>0</v>
      </c>
      <c r="AT32">
        <f>VLOOKUP($A32,表1[#All],MATCH(表1_4[[#Headers],[低聚果糖 g]],表1_4[#Headers],0),)/表1[[#Totals],[低聚果糖 g]]*50</f>
        <v>0</v>
      </c>
      <c r="AU32">
        <f>VLOOKUP($A32,表1[#All],MATCH(表1_4[[#Headers],[多聚果糖 g]],表1_4[#Headers],0),)/表1[[#Totals],[多聚果糖 g]]*100</f>
        <v>0</v>
      </c>
      <c r="AV32">
        <f>VLOOKUP($A32,表1[#All],MATCH(表1_4[[#Headers],[聚葡萄糖 g]],表1_4[#Headers],0),)/表1[[#Totals],[聚葡萄糖 g]]*100</f>
        <v>0</v>
      </c>
      <c r="AW32">
        <f>VLOOKUP($A32,表1[#All],MATCH(表1_4[[#Headers],[核苷酸 mg]],表1_4[#Headers],0),)/表1[[#Totals],[核苷酸 mg]]*100</f>
        <v>0</v>
      </c>
      <c r="AX32">
        <f>VLOOKUP($A32,表1[#All],MATCH(表1_4[[#Headers],[13二油酸 g]],表1_4[#Headers],0),)/表1[[#Totals],[13二油酸 g]]*100</f>
        <v>0</v>
      </c>
      <c r="AY32">
        <f>VLOOKUP($A32,表1[#All],MATCH(表1_4[[#Headers],[叶黄素 ug]],表1_4[#Headers],0),)/表1[[#Totals],[叶黄素 ug]]*100</f>
        <v>0</v>
      </c>
      <c r="AZ32">
        <f>VLOOKUP($A32,表1[#All],MATCH(表1_4[[#Headers],[乳铁蛋白 mg]],表1_4[#Headers],0),)/表1[[#Totals],[乳铁蛋白 mg]]*100</f>
        <v>0</v>
      </c>
      <c r="BA32">
        <f>VLOOKUP($A32,表1[#All],MATCH(表1_4[[#Headers],[酪蛋白磷酸肽 mg]],表1_4[#Headers],0),)/表1[[#Totals],[酪蛋白磷酸肽 mg]]*100</f>
        <v>0</v>
      </c>
      <c r="BB32">
        <f>VLOOKUP($A32,表1[#All],MATCH(表1_4[[#Headers],[b胡萝卜素 ug]],表1_4[#Headers],0),)/表1[[#Totals],[b胡萝卜素 ug]]*100</f>
        <v>0</v>
      </c>
      <c r="BC32">
        <f>AVERAGE(表1_4[[#This Row],[能量kj]:[碳水化合物g]])</f>
        <v>98.586605183462495</v>
      </c>
      <c r="BD32">
        <f>AVERAGE(N32:Z32,AM32)</f>
        <v>91.455033185522282</v>
      </c>
      <c r="BE32">
        <f>AVERAGE(表1_4[[#This Row],[钠 mg]:[硒 mg]])</f>
        <v>102.21522138699208</v>
      </c>
      <c r="BF32" s="4">
        <f>SUM(表1_4[[#This Row],[肌醇 mg]:[b胡萝卜素 ug]])/SUM(表1_4[[肌醇 mg]:[b胡萝卜素 ug]])*3400</f>
        <v>48.00136931883678</v>
      </c>
      <c r="BG32" s="4">
        <f>0.5*表1_4[[#This Row],[基础能量]]+表1_4[[#This Row],[维生素]]+表1_4[[#This Row],[微量元素]]+表1_4[[#This Row],[加分项]]+IF(COUNTIF(F32,"*A2*"),0.6,0)*表1_4[[#This Row],[基础能量]]</f>
        <v>290.96492648308242</v>
      </c>
      <c r="BH32" s="4">
        <f>表1_4[[#This Row],[总分]]/表1_4[[#This Row],[百克重量]]</f>
        <v>5.4641300747996695</v>
      </c>
    </row>
  </sheetData>
  <phoneticPr fontId="4" type="noConversion"/>
  <hyperlinks>
    <hyperlink ref="A27" r:id="rId1" xr:uid="{96984DAF-DCB5-4BA9-A66F-A7545293D1A2}"/>
    <hyperlink ref="A17" r:id="rId2" location="crumb-wrap" xr:uid="{69D0A858-17EC-4395-AEE7-322BC9BE7DA8}"/>
    <hyperlink ref="A21" r:id="rId3" location="crumb-wrap" xr:uid="{C6D291BC-1D44-4CB3-ADFE-760F2716D2C9}"/>
    <hyperlink ref="A9" r:id="rId4" location="crumb-wrap" xr:uid="{5097B358-1BEE-4734-9DA0-B02AB3D16C00}"/>
    <hyperlink ref="A2" r:id="rId5" xr:uid="{35F6F3F2-A84F-4D1E-BBDC-C4754735EB7D}"/>
    <hyperlink ref="A3" r:id="rId6" location="crumb-wrap" xr:uid="{D159B912-2275-4F0D-A08D-8101EC5CDEC2}"/>
    <hyperlink ref="A10" r:id="rId7" xr:uid="{6060CE2F-1CD1-4A6D-8A62-CBA45F169382}"/>
    <hyperlink ref="A31" r:id="rId8" xr:uid="{AAD73DAA-6742-41FC-BA1F-1AE09AB9F9B6}"/>
    <hyperlink ref="A14" r:id="rId9" xr:uid="{D0C9B2E8-9B92-4587-8FFA-400969C4F94F}"/>
    <hyperlink ref="A13" r:id="rId10" xr:uid="{4E13EBD8-6932-47F2-B1D0-82E327E9D12E}"/>
    <hyperlink ref="A6" r:id="rId11" location="crumb-wrap" xr:uid="{E6BDA22B-E70E-4CDF-93C7-58FB24EEB28F}"/>
    <hyperlink ref="A28" r:id="rId12" xr:uid="{7DB38DC6-9AF3-4A27-85E8-95DB7F217FFC}"/>
    <hyperlink ref="A25" r:id="rId13" xr:uid="{CC1D462D-5DD6-4320-8377-0CDDF7ED9348}"/>
    <hyperlink ref="A23" r:id="rId14" xr:uid="{90C23BFA-16A1-4966-9A39-1AE421216188}"/>
    <hyperlink ref="A32" r:id="rId15" xr:uid="{DCCBE100-4121-45C2-BAF1-FB1C598B959E}"/>
    <hyperlink ref="A18" r:id="rId16" xr:uid="{7B422D01-B55D-43A1-996E-3DE347DCC2FF}"/>
    <hyperlink ref="A16" r:id="rId17" xr:uid="{86F04223-D5EA-4399-B28C-F2F8AEC68DF0}"/>
    <hyperlink ref="A22" r:id="rId18" xr:uid="{2C02F827-C3DE-4C71-9D2F-91EAB765E9BF}"/>
    <hyperlink ref="A20" r:id="rId19" xr:uid="{EBBCD70E-3BEB-4F9F-AC04-7BDAAE0E8C60}"/>
    <hyperlink ref="A7" r:id="rId20" xr:uid="{60804043-94BB-45E3-BE51-5B9FC4943572}"/>
    <hyperlink ref="A15" r:id="rId21" xr:uid="{9ED8B341-F06D-4770-8074-2CC4DDC88C80}"/>
    <hyperlink ref="A24" r:id="rId22" xr:uid="{EE4CB916-1B63-4CF7-8149-11D95536468E}"/>
    <hyperlink ref="A29" r:id="rId23" xr:uid="{41337F43-4EA7-47D5-96FC-C7E880D6CC26}"/>
    <hyperlink ref="A4" r:id="rId24" xr:uid="{15F34EC6-176B-4BEA-A6B9-47BE2417A798}"/>
    <hyperlink ref="A8" r:id="rId25" xr:uid="{12D4609F-8A7F-480E-BE89-A5B62C38BB2D}"/>
    <hyperlink ref="A30" r:id="rId26" xr:uid="{8BCF9BF7-7D2E-413D-BD3F-41414E0CA050}"/>
    <hyperlink ref="A26" r:id="rId27" location="crumb-wrap" xr:uid="{1BFF62B7-F23A-45AE-8406-84396A58551D}"/>
    <hyperlink ref="A11" r:id="rId28" location="crumb-wrap" xr:uid="{10D2A5B7-D109-4178-AC5A-51CB728E148B}"/>
    <hyperlink ref="A19" r:id="rId29" xr:uid="{15D45D0F-9A93-42D8-BF8A-F4AF5D6A2013}"/>
    <hyperlink ref="A5" r:id="rId30" xr:uid="{38FA1482-98B7-4725-884F-F3A16F672469}"/>
    <hyperlink ref="A12" r:id="rId31" xr:uid="{1ACB6B47-C711-413B-9357-E4E68FD4DB71}"/>
  </hyperlinks>
  <pageMargins left="0.7" right="0.7" top="0.75" bottom="0.75" header="0.3" footer="0.3"/>
  <tableParts count="1">
    <tablePart r:id="rId3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130A-476E-1047-A316-D4FA5C0CF0BA}">
  <dimension ref="A1:M32"/>
  <sheetViews>
    <sheetView tabSelected="1" workbookViewId="0">
      <selection activeCell="M4" sqref="M4"/>
    </sheetView>
  </sheetViews>
  <sheetFormatPr baseColWidth="10" defaultColWidth="8.83203125" defaultRowHeight="15"/>
  <cols>
    <col min="1" max="1" width="68.6640625" style="9" customWidth="1"/>
    <col min="2" max="2" width="9.33203125" style="9" bestFit="1" customWidth="1"/>
    <col min="3" max="4" width="8.1640625" style="4" bestFit="1" customWidth="1"/>
    <col min="5" max="5" width="11.83203125" style="4" bestFit="1" customWidth="1"/>
    <col min="6" max="6" width="41.33203125" style="9" bestFit="1" customWidth="1"/>
    <col min="7" max="7" width="8.1640625" style="9" bestFit="1" customWidth="1"/>
    <col min="8" max="8" width="11.83203125" style="9" bestFit="1" customWidth="1"/>
    <col min="9" max="9" width="10" style="9" bestFit="1" customWidth="1"/>
    <col min="10" max="10" width="11.83203125" style="9" bestFit="1" customWidth="1"/>
    <col min="11" max="11" width="10" style="9" bestFit="1" customWidth="1"/>
    <col min="12" max="12" width="8.1640625" style="9" bestFit="1" customWidth="1"/>
    <col min="13" max="13" width="13.33203125" style="9" bestFit="1" customWidth="1"/>
  </cols>
  <sheetData>
    <row r="1" spans="1:13">
      <c r="A1" s="14" t="s">
        <v>60</v>
      </c>
      <c r="B1" s="14" t="s">
        <v>61</v>
      </c>
      <c r="C1" s="15" t="s">
        <v>62</v>
      </c>
      <c r="D1" s="15" t="s">
        <v>63</v>
      </c>
      <c r="E1" s="15" t="s">
        <v>64</v>
      </c>
      <c r="F1" s="14" t="s">
        <v>65</v>
      </c>
      <c r="G1" s="14" t="s">
        <v>66</v>
      </c>
      <c r="H1" s="14" t="s">
        <v>128</v>
      </c>
      <c r="I1" s="14" t="s">
        <v>130</v>
      </c>
      <c r="J1" s="14" t="s">
        <v>129</v>
      </c>
      <c r="K1" s="14" t="s">
        <v>131</v>
      </c>
      <c r="L1" s="14" t="s">
        <v>132</v>
      </c>
      <c r="M1" s="14" t="s">
        <v>133</v>
      </c>
    </row>
    <row r="2" spans="1:13" ht="32">
      <c r="A2" s="12" t="s">
        <v>11</v>
      </c>
      <c r="B2" s="5" t="s">
        <v>9</v>
      </c>
      <c r="C2" s="10">
        <v>750</v>
      </c>
      <c r="D2" s="10">
        <v>270</v>
      </c>
      <c r="E2" s="10">
        <v>36</v>
      </c>
      <c r="F2" s="5" t="s">
        <v>135</v>
      </c>
      <c r="G2" s="5" t="s">
        <v>3</v>
      </c>
      <c r="H2" s="6">
        <v>100.32491218744376</v>
      </c>
      <c r="I2" s="6">
        <v>107.10811199019619</v>
      </c>
      <c r="J2" s="6">
        <v>93.843868926138455</v>
      </c>
      <c r="K2" s="6">
        <v>138.39744778366708</v>
      </c>
      <c r="L2" s="6">
        <v>449.70683210618984</v>
      </c>
      <c r="M2" s="6">
        <v>12.491856447394163</v>
      </c>
    </row>
    <row r="3" spans="1:13" ht="32">
      <c r="A3" s="13" t="s">
        <v>13</v>
      </c>
      <c r="B3" s="7" t="s">
        <v>9</v>
      </c>
      <c r="C3" s="11">
        <v>708</v>
      </c>
      <c r="D3" s="11">
        <v>263</v>
      </c>
      <c r="E3" s="11">
        <v>37.130000000000003</v>
      </c>
      <c r="F3" s="7" t="s">
        <v>14</v>
      </c>
      <c r="G3" s="7" t="s">
        <v>3</v>
      </c>
      <c r="H3" s="8">
        <v>100.32491218744376</v>
      </c>
      <c r="I3" s="8">
        <v>105.53433122972095</v>
      </c>
      <c r="J3" s="8">
        <v>92.530132638060138</v>
      </c>
      <c r="K3" s="8">
        <v>140.59716508739058</v>
      </c>
      <c r="L3" s="8">
        <v>449.01903236135979</v>
      </c>
      <c r="M3" s="8">
        <v>12.093160042051165</v>
      </c>
    </row>
    <row r="4" spans="1:13" ht="32">
      <c r="A4" s="12" t="s">
        <v>127</v>
      </c>
      <c r="B4" s="5" t="s">
        <v>46</v>
      </c>
      <c r="C4" s="10">
        <v>900</v>
      </c>
      <c r="D4" s="10">
        <v>405</v>
      </c>
      <c r="E4" s="10">
        <v>45</v>
      </c>
      <c r="F4" s="5" t="s">
        <v>134</v>
      </c>
      <c r="G4" s="5" t="s">
        <v>3</v>
      </c>
      <c r="H4" s="6">
        <v>102.14371192603375</v>
      </c>
      <c r="I4" s="6">
        <v>111.60795102260451</v>
      </c>
      <c r="J4" s="6">
        <v>126.2271455449137</v>
      </c>
      <c r="K4" s="6">
        <v>97.842388811326884</v>
      </c>
      <c r="L4" s="6">
        <v>448.03556849748219</v>
      </c>
      <c r="M4" s="6">
        <v>9.9563459666107157</v>
      </c>
    </row>
    <row r="5" spans="1:13" ht="32">
      <c r="A5" s="13" t="s">
        <v>57</v>
      </c>
      <c r="B5" s="7" t="s">
        <v>9</v>
      </c>
      <c r="C5" s="11">
        <v>900</v>
      </c>
      <c r="D5" s="11">
        <v>223</v>
      </c>
      <c r="E5" s="11">
        <v>24.78</v>
      </c>
      <c r="F5" s="7" t="s">
        <v>136</v>
      </c>
      <c r="G5" s="7" t="s">
        <v>56</v>
      </c>
      <c r="H5" s="8">
        <v>100.72764624646409</v>
      </c>
      <c r="I5" s="8">
        <v>105.53433122972095</v>
      </c>
      <c r="J5" s="8">
        <v>92.530132638060138</v>
      </c>
      <c r="K5" s="8">
        <v>123.97512827770386</v>
      </c>
      <c r="L5" s="8">
        <v>432.8400030165954</v>
      </c>
      <c r="M5" s="8">
        <v>17.467312470403364</v>
      </c>
    </row>
    <row r="6" spans="1:13" ht="32">
      <c r="A6" s="12" t="s">
        <v>22</v>
      </c>
      <c r="B6" s="5" t="s">
        <v>23</v>
      </c>
      <c r="C6" s="10">
        <v>800</v>
      </c>
      <c r="D6" s="10">
        <v>416</v>
      </c>
      <c r="E6" s="10">
        <v>52</v>
      </c>
      <c r="F6" s="5" t="s">
        <v>24</v>
      </c>
      <c r="G6" s="5" t="s">
        <v>3</v>
      </c>
      <c r="H6" s="6">
        <v>89.715541466746686</v>
      </c>
      <c r="I6" s="6">
        <v>105.83440216205349</v>
      </c>
      <c r="J6" s="6">
        <v>109.30004943663194</v>
      </c>
      <c r="K6" s="6">
        <v>145.57512928125661</v>
      </c>
      <c r="L6" s="6">
        <v>405.5673516133154</v>
      </c>
      <c r="M6" s="6">
        <v>7.7993721464099117</v>
      </c>
    </row>
    <row r="7" spans="1:13" ht="32">
      <c r="A7" s="13" t="s">
        <v>37</v>
      </c>
      <c r="B7" s="7" t="s">
        <v>33</v>
      </c>
      <c r="C7" s="11">
        <v>800</v>
      </c>
      <c r="D7" s="11">
        <v>459</v>
      </c>
      <c r="E7" s="11">
        <v>57.38</v>
      </c>
      <c r="F7" s="7" t="s">
        <v>38</v>
      </c>
      <c r="G7" s="7" t="s">
        <v>3</v>
      </c>
      <c r="H7" s="8">
        <v>94.360346383886153</v>
      </c>
      <c r="I7" s="8">
        <v>103.73834104988758</v>
      </c>
      <c r="J7" s="8">
        <v>89.794991507601992</v>
      </c>
      <c r="K7" s="8">
        <v>161.29842003332783</v>
      </c>
      <c r="L7" s="8">
        <v>402.0119257827605</v>
      </c>
      <c r="M7" s="8">
        <v>7.0061332482182026</v>
      </c>
    </row>
    <row r="8" spans="1:13" ht="32">
      <c r="A8" s="12" t="s">
        <v>48</v>
      </c>
      <c r="B8" s="5" t="s">
        <v>49</v>
      </c>
      <c r="C8" s="10">
        <v>700</v>
      </c>
      <c r="D8" s="10">
        <v>255</v>
      </c>
      <c r="E8" s="10">
        <v>36.43</v>
      </c>
      <c r="F8" s="5" t="s">
        <v>50</v>
      </c>
      <c r="G8" s="5" t="s">
        <v>3</v>
      </c>
      <c r="H8" s="6">
        <v>105.3851751588217</v>
      </c>
      <c r="I8" s="6">
        <v>85.626821193251402</v>
      </c>
      <c r="J8" s="6">
        <v>91.219722408422442</v>
      </c>
      <c r="K8" s="6">
        <v>100.00665108796139</v>
      </c>
      <c r="L8" s="6">
        <v>392.77688736433907</v>
      </c>
      <c r="M8" s="6">
        <v>10.781687822243731</v>
      </c>
    </row>
    <row r="9" spans="1:13" ht="32">
      <c r="A9" s="13" t="s">
        <v>8</v>
      </c>
      <c r="B9" s="7" t="s">
        <v>9</v>
      </c>
      <c r="C9" s="11">
        <v>750</v>
      </c>
      <c r="D9" s="11">
        <v>328</v>
      </c>
      <c r="E9" s="11">
        <v>43.73</v>
      </c>
      <c r="F9" s="7" t="s">
        <v>10</v>
      </c>
      <c r="G9" s="7" t="s">
        <v>3</v>
      </c>
      <c r="H9" s="8">
        <v>99.919717503642048</v>
      </c>
      <c r="I9" s="8">
        <v>105.53433122972095</v>
      </c>
      <c r="J9" s="8">
        <v>92.530132638060138</v>
      </c>
      <c r="K9" s="8">
        <v>144.2483208450146</v>
      </c>
      <c r="L9" s="8">
        <v>392.27264346461675</v>
      </c>
      <c r="M9" s="8">
        <v>8.9703325740822493</v>
      </c>
    </row>
    <row r="10" spans="1:13" ht="32">
      <c r="A10" s="12" t="s">
        <v>15</v>
      </c>
      <c r="B10" s="5" t="s">
        <v>9</v>
      </c>
      <c r="C10" s="10">
        <v>700</v>
      </c>
      <c r="D10" s="10">
        <v>220</v>
      </c>
      <c r="E10" s="10">
        <v>31.4</v>
      </c>
      <c r="F10" s="5" t="s">
        <v>16</v>
      </c>
      <c r="G10" s="5" t="s">
        <v>3</v>
      </c>
      <c r="H10" s="6">
        <v>100.32491218744376</v>
      </c>
      <c r="I10" s="6">
        <v>105.53433122972095</v>
      </c>
      <c r="J10" s="6">
        <v>92.530132638060138</v>
      </c>
      <c r="K10" s="6">
        <v>140.59716508739058</v>
      </c>
      <c r="L10" s="6">
        <v>388.82408504889355</v>
      </c>
      <c r="M10" s="6">
        <v>12.382932644869221</v>
      </c>
    </row>
    <row r="11" spans="1:13" ht="32">
      <c r="A11" s="13" t="s">
        <v>54</v>
      </c>
      <c r="B11" s="7" t="s">
        <v>53</v>
      </c>
      <c r="C11" s="11">
        <v>820</v>
      </c>
      <c r="D11" s="11">
        <v>368</v>
      </c>
      <c r="E11" s="11">
        <v>44.88</v>
      </c>
      <c r="F11" s="7"/>
      <c r="G11" s="7" t="s">
        <v>3</v>
      </c>
      <c r="H11" s="8">
        <v>102.61000238541955</v>
      </c>
      <c r="I11" s="8">
        <v>108.06452170982304</v>
      </c>
      <c r="J11" s="8">
        <v>113.51788656802574</v>
      </c>
      <c r="K11" s="8">
        <v>114.73494287594548</v>
      </c>
      <c r="L11" s="8">
        <v>387.62235234650404</v>
      </c>
      <c r="M11" s="8">
        <v>8.6368616833000011</v>
      </c>
    </row>
    <row r="12" spans="1:13" ht="32">
      <c r="A12" s="12" t="s">
        <v>59</v>
      </c>
      <c r="B12" s="5" t="s">
        <v>20</v>
      </c>
      <c r="C12" s="10">
        <v>400</v>
      </c>
      <c r="D12" s="10">
        <v>80</v>
      </c>
      <c r="E12" s="10">
        <v>20</v>
      </c>
      <c r="F12" s="5" t="s">
        <v>2</v>
      </c>
      <c r="G12" s="5" t="s">
        <v>56</v>
      </c>
      <c r="H12" s="6">
        <v>103.01957342586071</v>
      </c>
      <c r="I12" s="6">
        <v>108.2890277044862</v>
      </c>
      <c r="J12" s="6">
        <v>95.779294911694024</v>
      </c>
      <c r="K12" s="6">
        <v>130.06598696383617</v>
      </c>
      <c r="L12" s="6">
        <v>385.64409629294676</v>
      </c>
      <c r="M12" s="6">
        <v>19.282204814647336</v>
      </c>
    </row>
    <row r="13" spans="1:13" ht="32">
      <c r="A13" s="13" t="s">
        <v>21</v>
      </c>
      <c r="B13" s="7" t="s">
        <v>20</v>
      </c>
      <c r="C13" s="11">
        <v>808</v>
      </c>
      <c r="D13" s="11">
        <v>306</v>
      </c>
      <c r="E13" s="11">
        <v>37.869999999999997</v>
      </c>
      <c r="F13" s="7" t="s">
        <v>2</v>
      </c>
      <c r="G13" s="7" t="s">
        <v>56</v>
      </c>
      <c r="H13" s="8">
        <v>103.01957342586071</v>
      </c>
      <c r="I13" s="8">
        <v>108.2890277044862</v>
      </c>
      <c r="J13" s="8">
        <v>95.779294911694024</v>
      </c>
      <c r="K13" s="8">
        <v>129.12240144746912</v>
      </c>
      <c r="L13" s="8">
        <v>384.70051077657968</v>
      </c>
      <c r="M13" s="8">
        <v>10.158450244958534</v>
      </c>
    </row>
    <row r="14" spans="1:13" ht="32">
      <c r="A14" s="12" t="s">
        <v>19</v>
      </c>
      <c r="B14" s="5" t="s">
        <v>20</v>
      </c>
      <c r="C14" s="10">
        <v>900</v>
      </c>
      <c r="D14" s="10">
        <v>342</v>
      </c>
      <c r="E14" s="10">
        <v>38</v>
      </c>
      <c r="F14" s="5" t="s">
        <v>2</v>
      </c>
      <c r="G14" s="5" t="s">
        <v>56</v>
      </c>
      <c r="H14" s="6">
        <v>103.01957342586071</v>
      </c>
      <c r="I14" s="6">
        <v>108.2890277044862</v>
      </c>
      <c r="J14" s="6">
        <v>95.779294911694024</v>
      </c>
      <c r="K14" s="6">
        <v>129.12240144746912</v>
      </c>
      <c r="L14" s="6">
        <v>384.70051077657968</v>
      </c>
      <c r="M14" s="6">
        <v>10.123697652015254</v>
      </c>
    </row>
    <row r="15" spans="1:13" ht="32">
      <c r="A15" s="13" t="s">
        <v>39</v>
      </c>
      <c r="B15" s="7" t="s">
        <v>40</v>
      </c>
      <c r="C15" s="11">
        <v>820</v>
      </c>
      <c r="D15" s="11">
        <v>323</v>
      </c>
      <c r="E15" s="11">
        <v>39.35</v>
      </c>
      <c r="F15" s="7" t="s">
        <v>41</v>
      </c>
      <c r="G15" s="7" t="s">
        <v>56</v>
      </c>
      <c r="H15" s="8">
        <v>98.469123653841052</v>
      </c>
      <c r="I15" s="8">
        <v>93.056244129281353</v>
      </c>
      <c r="J15" s="8">
        <v>97.981187682740881</v>
      </c>
      <c r="K15" s="8">
        <v>133.17768127399796</v>
      </c>
      <c r="L15" s="8">
        <v>373.44967491294074</v>
      </c>
      <c r="M15" s="8">
        <v>9.4904618783466503</v>
      </c>
    </row>
    <row r="16" spans="1:13" ht="32">
      <c r="A16" s="12" t="s">
        <v>34</v>
      </c>
      <c r="B16" s="5" t="s">
        <v>33</v>
      </c>
      <c r="C16" s="10">
        <v>800</v>
      </c>
      <c r="D16" s="10">
        <v>180</v>
      </c>
      <c r="E16" s="10">
        <v>22.5</v>
      </c>
      <c r="F16" s="5"/>
      <c r="G16" s="7" t="s">
        <v>56</v>
      </c>
      <c r="H16" s="6">
        <v>97.459778372529897</v>
      </c>
      <c r="I16" s="6">
        <v>95.092832346494191</v>
      </c>
      <c r="J16" s="6">
        <v>87.472720480104613</v>
      </c>
      <c r="K16" s="6">
        <v>134.38786182033499</v>
      </c>
      <c r="L16" s="6">
        <v>365.68330383319875</v>
      </c>
      <c r="M16" s="6">
        <v>16.2525912814755</v>
      </c>
    </row>
    <row r="17" spans="1:13" ht="32">
      <c r="A17" s="13" t="s">
        <v>4</v>
      </c>
      <c r="B17" s="7" t="s">
        <v>1</v>
      </c>
      <c r="C17" s="11">
        <v>800</v>
      </c>
      <c r="D17" s="11">
        <v>375</v>
      </c>
      <c r="E17" s="11">
        <v>46.88</v>
      </c>
      <c r="F17" s="7" t="s">
        <v>5</v>
      </c>
      <c r="G17" s="7" t="s">
        <v>56</v>
      </c>
      <c r="H17" s="8">
        <v>91.819931654881273</v>
      </c>
      <c r="I17" s="8">
        <v>93.648113156791737</v>
      </c>
      <c r="J17" s="8">
        <v>95.71683763942444</v>
      </c>
      <c r="K17" s="8">
        <v>123.54484183900733</v>
      </c>
      <c r="L17" s="8">
        <v>358.81975846266414</v>
      </c>
      <c r="M17" s="8">
        <v>7.6540050866609244</v>
      </c>
    </row>
    <row r="18" spans="1:13" ht="32">
      <c r="A18" s="12" t="s">
        <v>32</v>
      </c>
      <c r="B18" s="5" t="s">
        <v>33</v>
      </c>
      <c r="C18" s="10">
        <v>808</v>
      </c>
      <c r="D18" s="10">
        <v>182</v>
      </c>
      <c r="E18" s="10">
        <v>22.52</v>
      </c>
      <c r="F18" s="5" t="s">
        <v>29</v>
      </c>
      <c r="G18" s="7" t="s">
        <v>56</v>
      </c>
      <c r="H18" s="6">
        <v>103.97516926625489</v>
      </c>
      <c r="I18" s="6">
        <v>102.9873159849712</v>
      </c>
      <c r="J18" s="6">
        <v>86.183006310480792</v>
      </c>
      <c r="K18" s="6">
        <v>117.46732298585145</v>
      </c>
      <c r="L18" s="6">
        <v>358.62522991443092</v>
      </c>
      <c r="M18" s="6">
        <v>15.924743779504038</v>
      </c>
    </row>
    <row r="19" spans="1:13" ht="32">
      <c r="A19" s="13" t="s">
        <v>55</v>
      </c>
      <c r="B19" s="7" t="s">
        <v>9</v>
      </c>
      <c r="C19" s="11">
        <v>900</v>
      </c>
      <c r="D19" s="11">
        <v>228</v>
      </c>
      <c r="E19" s="11">
        <v>25.33</v>
      </c>
      <c r="F19" s="7" t="s">
        <v>29</v>
      </c>
      <c r="G19" s="7" t="s">
        <v>56</v>
      </c>
      <c r="H19" s="8">
        <v>100.22941940531346</v>
      </c>
      <c r="I19" s="8">
        <v>96.771395227439271</v>
      </c>
      <c r="J19" s="8">
        <v>91.82189524789122</v>
      </c>
      <c r="K19" s="8">
        <v>117.14542150746426</v>
      </c>
      <c r="L19" s="8">
        <v>355.85342168545151</v>
      </c>
      <c r="M19" s="8">
        <v>14.048694105229037</v>
      </c>
    </row>
    <row r="20" spans="1:13" ht="32">
      <c r="A20" s="12" t="s">
        <v>36</v>
      </c>
      <c r="B20" s="5" t="s">
        <v>33</v>
      </c>
      <c r="C20" s="10">
        <v>800</v>
      </c>
      <c r="D20" s="10">
        <v>276</v>
      </c>
      <c r="E20" s="10">
        <v>34.5</v>
      </c>
      <c r="F20" s="5" t="s">
        <v>29</v>
      </c>
      <c r="G20" s="7" t="s">
        <v>56</v>
      </c>
      <c r="H20" s="6">
        <v>97.208662240710382</v>
      </c>
      <c r="I20" s="6">
        <v>103.88812054641029</v>
      </c>
      <c r="J20" s="6">
        <v>86.058056670009208</v>
      </c>
      <c r="K20" s="6">
        <v>116.15035111946736</v>
      </c>
      <c r="L20" s="6">
        <v>354.70085945624203</v>
      </c>
      <c r="M20" s="6">
        <v>10.281184332064987</v>
      </c>
    </row>
    <row r="21" spans="1:13" ht="32">
      <c r="A21" s="13" t="s">
        <v>6</v>
      </c>
      <c r="B21" s="7" t="s">
        <v>1</v>
      </c>
      <c r="C21" s="11">
        <v>800</v>
      </c>
      <c r="D21" s="11">
        <v>385</v>
      </c>
      <c r="E21" s="11">
        <v>48.13</v>
      </c>
      <c r="F21" s="7" t="s">
        <v>7</v>
      </c>
      <c r="G21" s="7" t="s">
        <v>56</v>
      </c>
      <c r="H21" s="8">
        <v>96.783718173381374</v>
      </c>
      <c r="I21" s="8">
        <v>101.51367980740095</v>
      </c>
      <c r="J21" s="8">
        <v>98.601486237778019</v>
      </c>
      <c r="K21" s="8">
        <v>103.2749148323895</v>
      </c>
      <c r="L21" s="8">
        <v>351.78193996425921</v>
      </c>
      <c r="M21" s="8">
        <v>7.3089952205331228</v>
      </c>
    </row>
    <row r="22" spans="1:13" ht="32">
      <c r="A22" s="12" t="s">
        <v>35</v>
      </c>
      <c r="B22" s="5" t="s">
        <v>33</v>
      </c>
      <c r="C22" s="10">
        <v>800</v>
      </c>
      <c r="D22" s="10">
        <v>255</v>
      </c>
      <c r="E22" s="10">
        <v>31.88</v>
      </c>
      <c r="F22" s="5" t="s">
        <v>29</v>
      </c>
      <c r="G22" s="7" t="s">
        <v>56</v>
      </c>
      <c r="H22" s="6">
        <v>98.812053789129052</v>
      </c>
      <c r="I22" s="6">
        <v>92.779830922978917</v>
      </c>
      <c r="J22" s="6">
        <v>90.88411409285753</v>
      </c>
      <c r="K22" s="6">
        <v>115.78122491244213</v>
      </c>
      <c r="L22" s="6">
        <v>348.85119682284312</v>
      </c>
      <c r="M22" s="6">
        <v>10.942634781143134</v>
      </c>
    </row>
    <row r="23" spans="1:13" ht="32">
      <c r="A23" s="13" t="s">
        <v>28</v>
      </c>
      <c r="B23" s="7" t="s">
        <v>26</v>
      </c>
      <c r="C23" s="11">
        <v>850</v>
      </c>
      <c r="D23" s="11">
        <v>409</v>
      </c>
      <c r="E23" s="11">
        <v>48.12</v>
      </c>
      <c r="F23" s="7" t="s">
        <v>29</v>
      </c>
      <c r="G23" s="7" t="s">
        <v>56</v>
      </c>
      <c r="H23" s="8">
        <v>95.356630198895758</v>
      </c>
      <c r="I23" s="8">
        <v>93.112065398202958</v>
      </c>
      <c r="J23" s="8">
        <v>112.34402607931578</v>
      </c>
      <c r="K23" s="8">
        <v>85.125095316040401</v>
      </c>
      <c r="L23" s="8">
        <v>338.25950189300704</v>
      </c>
      <c r="M23" s="8">
        <v>7.0294992080841032</v>
      </c>
    </row>
    <row r="24" spans="1:13" ht="32">
      <c r="A24" s="12" t="s">
        <v>42</v>
      </c>
      <c r="B24" s="5" t="s">
        <v>40</v>
      </c>
      <c r="C24" s="10">
        <v>850</v>
      </c>
      <c r="D24" s="10">
        <v>263</v>
      </c>
      <c r="E24" s="10">
        <v>30.94</v>
      </c>
      <c r="F24" s="5" t="s">
        <v>2</v>
      </c>
      <c r="G24" s="7" t="s">
        <v>56</v>
      </c>
      <c r="H24" s="6">
        <v>97.866029099232165</v>
      </c>
      <c r="I24" s="6">
        <v>93.195963428915107</v>
      </c>
      <c r="J24" s="6">
        <v>96.839098198026008</v>
      </c>
      <c r="K24" s="6">
        <v>97.838653210173007</v>
      </c>
      <c r="L24" s="6">
        <v>336.80672938673018</v>
      </c>
      <c r="M24" s="6">
        <v>10.885802501187142</v>
      </c>
    </row>
    <row r="25" spans="1:13" ht="32">
      <c r="A25" s="13" t="s">
        <v>27</v>
      </c>
      <c r="B25" s="7" t="s">
        <v>26</v>
      </c>
      <c r="C25" s="11">
        <v>900</v>
      </c>
      <c r="D25" s="11">
        <v>289</v>
      </c>
      <c r="E25" s="11">
        <v>32.11</v>
      </c>
      <c r="F25" s="7"/>
      <c r="G25" s="7" t="s">
        <v>56</v>
      </c>
      <c r="H25" s="8">
        <v>97.092971860362695</v>
      </c>
      <c r="I25" s="8">
        <v>89.886644927089151</v>
      </c>
      <c r="J25" s="8">
        <v>112.18749336816677</v>
      </c>
      <c r="K25" s="8">
        <v>77.084184889526071</v>
      </c>
      <c r="L25" s="8">
        <v>327.70480911496333</v>
      </c>
      <c r="M25" s="8">
        <v>10.205693214418043</v>
      </c>
    </row>
    <row r="26" spans="1:13" ht="32">
      <c r="A26" s="12" t="s">
        <v>52</v>
      </c>
      <c r="B26" s="5" t="s">
        <v>53</v>
      </c>
      <c r="C26" s="10">
        <v>900</v>
      </c>
      <c r="D26" s="10">
        <v>368</v>
      </c>
      <c r="E26" s="10">
        <v>40.89</v>
      </c>
      <c r="F26" s="5"/>
      <c r="G26" s="7" t="s">
        <v>56</v>
      </c>
      <c r="H26" s="6">
        <v>106.68483956069805</v>
      </c>
      <c r="I26" s="6">
        <v>112.17388902402161</v>
      </c>
      <c r="J26" s="6">
        <v>101.61330212293548</v>
      </c>
      <c r="K26" s="6">
        <v>56.526706415760323</v>
      </c>
      <c r="L26" s="6">
        <v>323.65631734306641</v>
      </c>
      <c r="M26" s="6">
        <v>7.9152926716328293</v>
      </c>
    </row>
    <row r="27" spans="1:13" ht="32">
      <c r="A27" s="13" t="s">
        <v>0</v>
      </c>
      <c r="B27" s="7" t="s">
        <v>1</v>
      </c>
      <c r="C27" s="11">
        <v>900</v>
      </c>
      <c r="D27" s="11">
        <v>375</v>
      </c>
      <c r="E27" s="11">
        <v>41.67</v>
      </c>
      <c r="F27" s="7" t="s">
        <v>2</v>
      </c>
      <c r="G27" s="7" t="s">
        <v>56</v>
      </c>
      <c r="H27" s="8">
        <v>98.806543939057278</v>
      </c>
      <c r="I27" s="8">
        <v>74.549412201985405</v>
      </c>
      <c r="J27" s="8">
        <v>85.9347219091472</v>
      </c>
      <c r="K27" s="8">
        <v>113.45457473971621</v>
      </c>
      <c r="L27" s="8">
        <v>323.34198082037744</v>
      </c>
      <c r="M27" s="8">
        <v>7.7595867727472383</v>
      </c>
    </row>
    <row r="28" spans="1:13" ht="32">
      <c r="A28" s="12" t="s">
        <v>25</v>
      </c>
      <c r="B28" s="5" t="s">
        <v>26</v>
      </c>
      <c r="C28" s="10">
        <v>800</v>
      </c>
      <c r="D28" s="10">
        <v>394</v>
      </c>
      <c r="E28" s="10">
        <v>49.25</v>
      </c>
      <c r="F28" s="5"/>
      <c r="G28" s="5" t="s">
        <v>56</v>
      </c>
      <c r="H28" s="6">
        <v>95.417493024827522</v>
      </c>
      <c r="I28" s="6">
        <v>98.106950398971634</v>
      </c>
      <c r="J28" s="6">
        <v>106.72596255326147</v>
      </c>
      <c r="K28" s="6">
        <v>56.577484916785906</v>
      </c>
      <c r="L28" s="6">
        <v>309.11914438143276</v>
      </c>
      <c r="M28" s="6">
        <v>6.2765308503844217</v>
      </c>
    </row>
    <row r="29" spans="1:13" ht="32">
      <c r="A29" s="13" t="s">
        <v>43</v>
      </c>
      <c r="B29" s="7" t="s">
        <v>40</v>
      </c>
      <c r="C29" s="11">
        <v>300</v>
      </c>
      <c r="D29" s="11">
        <v>171</v>
      </c>
      <c r="E29" s="11">
        <v>57</v>
      </c>
      <c r="F29" s="7" t="s">
        <v>44</v>
      </c>
      <c r="G29" s="7" t="s">
        <v>56</v>
      </c>
      <c r="H29" s="8">
        <v>114.44766997468481</v>
      </c>
      <c r="I29" s="8">
        <v>95.962416096522674</v>
      </c>
      <c r="J29" s="8">
        <v>84.805696203701004</v>
      </c>
      <c r="K29" s="8">
        <v>67.819467029556691</v>
      </c>
      <c r="L29" s="8">
        <v>305.81141431712274</v>
      </c>
      <c r="M29" s="8">
        <v>5.3651125318793467</v>
      </c>
    </row>
    <row r="30" spans="1:13" ht="32">
      <c r="A30" s="12" t="s">
        <v>51</v>
      </c>
      <c r="B30" s="5" t="s">
        <v>49</v>
      </c>
      <c r="C30" s="10">
        <v>1600</v>
      </c>
      <c r="D30" s="10">
        <v>480</v>
      </c>
      <c r="E30" s="10">
        <v>30</v>
      </c>
      <c r="F30" s="5" t="s">
        <v>38</v>
      </c>
      <c r="G30" s="5" t="s">
        <v>56</v>
      </c>
      <c r="H30" s="6">
        <v>106.03715667550152</v>
      </c>
      <c r="I30" s="6">
        <v>80.031912347520731</v>
      </c>
      <c r="J30" s="6">
        <v>79.656651587398315</v>
      </c>
      <c r="K30" s="6">
        <v>91.215237650998318</v>
      </c>
      <c r="L30" s="6">
        <v>303.92237992366813</v>
      </c>
      <c r="M30" s="6">
        <v>10.130745997455604</v>
      </c>
    </row>
    <row r="31" spans="1:13" ht="32">
      <c r="A31" s="13" t="s">
        <v>17</v>
      </c>
      <c r="B31" s="7" t="s">
        <v>9</v>
      </c>
      <c r="C31" s="11">
        <v>700</v>
      </c>
      <c r="D31" s="11">
        <v>245</v>
      </c>
      <c r="E31" s="11">
        <v>35</v>
      </c>
      <c r="F31" s="7" t="s">
        <v>18</v>
      </c>
      <c r="G31" s="7" t="s">
        <v>56</v>
      </c>
      <c r="H31" s="8">
        <v>99.769776547139216</v>
      </c>
      <c r="I31" s="8">
        <v>105.53433122972095</v>
      </c>
      <c r="J31" s="8">
        <v>92.530132638060138</v>
      </c>
      <c r="K31" s="8">
        <v>49.844057191892844</v>
      </c>
      <c r="L31" s="8">
        <v>297.79340933324352</v>
      </c>
      <c r="M31" s="8">
        <v>8.5083831238069578</v>
      </c>
    </row>
    <row r="32" spans="1:13" ht="32">
      <c r="A32" s="16" t="s">
        <v>30</v>
      </c>
      <c r="B32" s="17" t="s">
        <v>26</v>
      </c>
      <c r="C32" s="18">
        <v>800</v>
      </c>
      <c r="D32" s="18">
        <v>426</v>
      </c>
      <c r="E32" s="18">
        <v>53.25</v>
      </c>
      <c r="F32" s="17" t="s">
        <v>31</v>
      </c>
      <c r="G32" s="17" t="s">
        <v>56</v>
      </c>
      <c r="H32" s="19">
        <v>98.586605183462495</v>
      </c>
      <c r="I32" s="19">
        <v>91.455033185522282</v>
      </c>
      <c r="J32" s="19">
        <v>102.21522138699208</v>
      </c>
      <c r="K32" s="19">
        <v>48.00136931883678</v>
      </c>
      <c r="L32" s="19">
        <v>290.96492648308242</v>
      </c>
      <c r="M32" s="19">
        <v>5.4641300747996695</v>
      </c>
    </row>
  </sheetData>
  <phoneticPr fontId="4" type="noConversion"/>
  <conditionalFormatting sqref="H2:H32">
    <cfRule type="top10" dxfId="23" priority="15" percent="1" rank="20"/>
    <cfRule type="top10" dxfId="22" priority="14" percent="1" bottom="1" rank="20"/>
  </conditionalFormatting>
  <conditionalFormatting sqref="I2:I32">
    <cfRule type="top10" dxfId="21" priority="12" stopIfTrue="1" percent="1" bottom="1" rank="20"/>
    <cfRule type="top10" dxfId="20" priority="11" percent="1" rank="20"/>
  </conditionalFormatting>
  <conditionalFormatting sqref="J1:J1048576">
    <cfRule type="top10" dxfId="19" priority="10" percent="1" rank="20"/>
    <cfRule type="top10" dxfId="18" priority="9" percent="1" bottom="1" rank="20"/>
  </conditionalFormatting>
  <conditionalFormatting sqref="K2:K32">
    <cfRule type="top10" dxfId="17" priority="8" percent="1" rank="20"/>
    <cfRule type="top10" dxfId="16" priority="7" percent="1" bottom="1" rank="20"/>
  </conditionalFormatting>
  <conditionalFormatting sqref="M2:M32">
    <cfRule type="top10" dxfId="15" priority="6" percent="1" rank="20"/>
    <cfRule type="top10" dxfId="14" priority="5" percent="1" bottom="1" rank="20"/>
  </conditionalFormatting>
  <conditionalFormatting sqref="L2:L32">
    <cfRule type="top10" dxfId="13" priority="4" percent="1" rank="20"/>
    <cfRule type="top10" dxfId="12" priority="3" percent="1" bottom="1" rank="20"/>
  </conditionalFormatting>
  <conditionalFormatting sqref="E2:E32">
    <cfRule type="colorScale" priority="1">
      <colorScale>
        <cfvo type="min"/>
        <cfvo type="percentile" val="50"/>
        <cfvo type="max"/>
        <color rgb="FF92D050"/>
        <color rgb="FFFCFCFF"/>
        <color theme="5" tint="0.39997558519241921"/>
      </colorScale>
    </cfRule>
  </conditionalFormatting>
  <dataValidations count="1">
    <dataValidation type="list" allowBlank="1" showInputMessage="1" showErrorMessage="1" sqref="G2:G32" xr:uid="{2B750A2E-EF7A-1245-AF68-1C73BC749DF0}">
      <formula1>"是,否"</formula1>
    </dataValidation>
  </dataValidations>
  <hyperlinks>
    <hyperlink ref="A27" r:id="rId1" xr:uid="{F332358E-45A7-1C47-9D4C-62FD5D48BAF4}"/>
    <hyperlink ref="A17" r:id="rId2" location="crumb-wrap" xr:uid="{9D944848-83A0-8548-856A-D8E6582EE083}"/>
    <hyperlink ref="A21" r:id="rId3" location="crumb-wrap" xr:uid="{1CB7BE67-E8F2-F646-9B6B-AC34BB9DECA7}"/>
    <hyperlink ref="A9" r:id="rId4" location="crumb-wrap" xr:uid="{72621D80-7801-2C4A-8D0F-9F266225BA1C}"/>
    <hyperlink ref="A2" r:id="rId5" xr:uid="{603DC2DE-E433-CF45-AC24-72F9BE6A90BC}"/>
    <hyperlink ref="A3" r:id="rId6" location="crumb-wrap" xr:uid="{B2E522EA-C32C-9E4D-819E-7C3B96CE21E4}"/>
    <hyperlink ref="A10" r:id="rId7" xr:uid="{98750D43-A9F1-2643-B62E-D4742344FF86}"/>
    <hyperlink ref="A31" r:id="rId8" xr:uid="{10FBD1B2-5BEF-B848-9880-BD6DAD11806D}"/>
    <hyperlink ref="A14" r:id="rId9" xr:uid="{763C9DEF-7755-9448-B337-8693F55D277C}"/>
    <hyperlink ref="A13" r:id="rId10" xr:uid="{9A10FC54-007F-974F-B448-D964E04D13E1}"/>
    <hyperlink ref="A6" r:id="rId11" location="crumb-wrap" xr:uid="{9D97A67E-ABDC-FA4A-8665-35611312DC12}"/>
    <hyperlink ref="A28" r:id="rId12" xr:uid="{8AB04B29-38D1-AD4F-BFED-A54EA0503322}"/>
    <hyperlink ref="A25" r:id="rId13" xr:uid="{6630874E-AC35-244E-B4BC-689AD905011A}"/>
    <hyperlink ref="A23" r:id="rId14" xr:uid="{683952A2-CFA8-B342-8E7D-E638F1EFC7B6}"/>
    <hyperlink ref="A32" r:id="rId15" xr:uid="{DBFC868C-CFDF-CB46-9AB0-153134E54B20}"/>
    <hyperlink ref="A18" r:id="rId16" xr:uid="{A0BD57E7-1B02-C74B-96DD-17F6A1F0F500}"/>
    <hyperlink ref="A16" r:id="rId17" xr:uid="{B22A39A5-8796-4743-A23C-31ED517793F1}"/>
    <hyperlink ref="A22" r:id="rId18" xr:uid="{53F3C31D-E805-3445-BA52-3609A4F2950A}"/>
    <hyperlink ref="A20" r:id="rId19" xr:uid="{0CB28AE5-B693-B743-A783-1E93A1DB3D70}"/>
    <hyperlink ref="A7" r:id="rId20" xr:uid="{1EE846B4-E977-0B40-896B-76E49B824136}"/>
    <hyperlink ref="A15" r:id="rId21" xr:uid="{82093505-B9D0-CA45-89D7-5ACAC32A76C1}"/>
    <hyperlink ref="A24" r:id="rId22" xr:uid="{9AA68F06-EAEB-4D47-B7BB-183B1B09FEBD}"/>
    <hyperlink ref="A29" r:id="rId23" xr:uid="{2899D056-17CB-6C49-81FB-CB86A7B632BC}"/>
    <hyperlink ref="A4" r:id="rId24" xr:uid="{3D0064A6-256C-E44B-9608-CC2003344420}"/>
    <hyperlink ref="A8" r:id="rId25" xr:uid="{0586E5CC-4BD7-E54C-A96B-B8A47AC0C6DA}"/>
    <hyperlink ref="A30" r:id="rId26" xr:uid="{D22A1FD8-073D-BA41-B75D-5D7FC62FFF91}"/>
    <hyperlink ref="A26" r:id="rId27" location="crumb-wrap" xr:uid="{46F85F75-B428-5E45-8210-B273D677580D}"/>
    <hyperlink ref="A11" r:id="rId28" location="crumb-wrap" xr:uid="{1FEA5742-0F17-E940-BC27-0A95844F6151}"/>
    <hyperlink ref="A19" r:id="rId29" xr:uid="{E86C0633-0030-7445-93A9-058605B279DF}"/>
    <hyperlink ref="A5" r:id="rId30" xr:uid="{7C39510B-4225-0645-8870-B17198D16846}"/>
    <hyperlink ref="A12" r:id="rId31" xr:uid="{B4365719-69B9-3C4D-9A15-3FA34352A941}"/>
  </hyperlinks>
  <pageMargins left="0.7" right="0.7" top="0.75" bottom="0.75" header="0.3" footer="0.3"/>
  <tableParts count="1">
    <tablePart r:id="rId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录入表</vt:lpstr>
      <vt:lpstr>海选表</vt:lpstr>
      <vt:lpstr>市场均值表</vt:lpstr>
      <vt:lpstr>评分表</vt:lpstr>
      <vt:lpstr>汇总表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德杰 蔡</dc:creator>
  <cp:lastModifiedBy>德杰 蔡</cp:lastModifiedBy>
  <dcterms:created xsi:type="dcterms:W3CDTF">2023-08-24T23:08:29Z</dcterms:created>
  <dcterms:modified xsi:type="dcterms:W3CDTF">2023-08-26T03:28:18Z</dcterms:modified>
</cp:coreProperties>
</file>