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KULIAH\kuliah\Skripsi\11. Yudisium\"/>
    </mc:Choice>
  </mc:AlternateContent>
  <bookViews>
    <workbookView xWindow="0" yWindow="0" windowWidth="28800" windowHeight="12435" tabRatio="799" firstSheet="3" activeTab="7"/>
  </bookViews>
  <sheets>
    <sheet name="Petunjuk" sheetId="8" r:id="rId1"/>
    <sheet name="Lembar Pernyataan" sheetId="13" r:id="rId2"/>
    <sheet name="Lembar Data Diri" sheetId="14" r:id="rId3"/>
    <sheet name="Lembar Transkrip" sheetId="12" r:id="rId4"/>
    <sheet name="Nilai Kurikulum 2013" sheetId="7" r:id="rId5"/>
    <sheet name="Hapus MK" sheetId="10" r:id="rId6"/>
    <sheet name="Data Akademik" sheetId="9" r:id="rId7"/>
    <sheet name="Data Diri" sheetId="5" r:id="rId8"/>
  </sheets>
  <definedNames>
    <definedName name="_xlnm._FilterDatabase" localSheetId="1" hidden="1">'Lembar Pernyataan'!$B$13:$B$44</definedName>
    <definedName name="_xlnm._FilterDatabase" localSheetId="3" hidden="1">'Lembar Transkrip'!$F$7:$F$168</definedName>
  </definedNames>
  <calcPr calcId="152511"/>
</workbook>
</file>

<file path=xl/calcChain.xml><?xml version="1.0" encoding="utf-8"?>
<calcChain xmlns="http://schemas.openxmlformats.org/spreadsheetml/2006/main">
  <c r="D137" i="12" l="1"/>
  <c r="C137" i="12"/>
  <c r="P90" i="9"/>
  <c r="N90" i="9"/>
  <c r="O90" i="9" s="1"/>
  <c r="G79" i="7"/>
  <c r="K79" i="7" s="1"/>
  <c r="J79" i="7" l="1"/>
  <c r="D131" i="12"/>
  <c r="C131" i="12"/>
  <c r="G147" i="7"/>
  <c r="K147" i="7" s="1"/>
  <c r="J147" i="7" l="1"/>
  <c r="E12" i="5"/>
  <c r="B81" i="13" l="1"/>
  <c r="B74" i="13"/>
  <c r="D147" i="12" l="1"/>
  <c r="C147" i="12"/>
  <c r="G159" i="7"/>
  <c r="K159" i="7" s="1"/>
  <c r="I1" i="7"/>
  <c r="O1" i="7" s="1"/>
  <c r="R79" i="7" s="1"/>
  <c r="P170" i="9"/>
  <c r="N170" i="9"/>
  <c r="O170" i="9" s="1"/>
  <c r="C47" i="5"/>
  <c r="B68" i="13" s="1"/>
  <c r="S176" i="7"/>
  <c r="U176" i="7" s="1"/>
  <c r="B183" i="7"/>
  <c r="T32" i="10"/>
  <c r="T31" i="10"/>
  <c r="T30" i="10"/>
  <c r="T29" i="10"/>
  <c r="T28" i="10"/>
  <c r="T27" i="10"/>
  <c r="T26" i="10"/>
  <c r="T25" i="10"/>
  <c r="T24" i="10"/>
  <c r="T23" i="10"/>
  <c r="T22" i="10"/>
  <c r="T21" i="10"/>
  <c r="T20" i="10"/>
  <c r="T19" i="10"/>
  <c r="T18" i="10"/>
  <c r="T17" i="10"/>
  <c r="T16" i="10"/>
  <c r="T15" i="10"/>
  <c r="T14" i="10"/>
  <c r="S32" i="10"/>
  <c r="S31" i="10"/>
  <c r="S30" i="10"/>
  <c r="S29" i="10"/>
  <c r="S28" i="10"/>
  <c r="S27" i="10"/>
  <c r="S26" i="10"/>
  <c r="S25" i="10"/>
  <c r="S24" i="10"/>
  <c r="S23" i="10"/>
  <c r="S22" i="10"/>
  <c r="S21" i="10"/>
  <c r="S20" i="10"/>
  <c r="S19" i="10"/>
  <c r="S18" i="10"/>
  <c r="S17" i="10"/>
  <c r="S16" i="10"/>
  <c r="S15" i="10"/>
  <c r="S14" i="10"/>
  <c r="S13" i="10"/>
  <c r="R32" i="10"/>
  <c r="R31" i="10"/>
  <c r="R30" i="10"/>
  <c r="R29" i="10"/>
  <c r="R28" i="10"/>
  <c r="R27" i="10"/>
  <c r="R26" i="10"/>
  <c r="R25" i="10"/>
  <c r="R24" i="10"/>
  <c r="R23" i="10"/>
  <c r="R22" i="10"/>
  <c r="R21" i="10"/>
  <c r="R20" i="10"/>
  <c r="R19" i="10"/>
  <c r="R18" i="10"/>
  <c r="R17" i="10"/>
  <c r="R16" i="10"/>
  <c r="R15" i="10"/>
  <c r="R14" i="10"/>
  <c r="R13" i="10"/>
  <c r="F180" i="7"/>
  <c r="H180" i="7"/>
  <c r="I180" i="7"/>
  <c r="E180" i="7"/>
  <c r="F179" i="7"/>
  <c r="H179" i="7"/>
  <c r="I179" i="7"/>
  <c r="E179" i="7"/>
  <c r="I178" i="7"/>
  <c r="H178" i="7"/>
  <c r="F178" i="7"/>
  <c r="E178" i="7"/>
  <c r="N15" i="9"/>
  <c r="O15" i="9" s="1"/>
  <c r="G4" i="7"/>
  <c r="K4" i="7" s="1"/>
  <c r="N16" i="9"/>
  <c r="O16" i="9" s="1"/>
  <c r="G5" i="7"/>
  <c r="J5" i="7" s="1"/>
  <c r="N17" i="9"/>
  <c r="O17" i="9" s="1"/>
  <c r="N18" i="9"/>
  <c r="O18" i="9" s="1"/>
  <c r="N19" i="9"/>
  <c r="O19" i="9" s="1"/>
  <c r="N20" i="9"/>
  <c r="O20" i="9" s="1"/>
  <c r="P15" i="9"/>
  <c r="P16" i="9"/>
  <c r="P17" i="9"/>
  <c r="P18" i="9"/>
  <c r="P19" i="9"/>
  <c r="P20" i="9"/>
  <c r="N21" i="9"/>
  <c r="O21" i="9" s="1"/>
  <c r="P21" i="9"/>
  <c r="N22" i="9"/>
  <c r="O22" i="9" s="1"/>
  <c r="P22" i="9"/>
  <c r="N23" i="9"/>
  <c r="O23" i="9" s="1"/>
  <c r="P23" i="9"/>
  <c r="N24" i="9"/>
  <c r="O24" i="9" s="1"/>
  <c r="P24" i="9"/>
  <c r="N25" i="9"/>
  <c r="O25" i="9" s="1"/>
  <c r="P25" i="9"/>
  <c r="N26" i="9"/>
  <c r="O26" i="9" s="1"/>
  <c r="P26" i="9"/>
  <c r="N27" i="9"/>
  <c r="O27" i="9" s="1"/>
  <c r="P27" i="9"/>
  <c r="N28" i="9"/>
  <c r="O28" i="9" s="1"/>
  <c r="P28" i="9"/>
  <c r="N29" i="9"/>
  <c r="O29" i="9" s="1"/>
  <c r="P29" i="9"/>
  <c r="N30" i="9"/>
  <c r="O30" i="9" s="1"/>
  <c r="P30" i="9"/>
  <c r="N31" i="9"/>
  <c r="O31" i="9" s="1"/>
  <c r="P31" i="9"/>
  <c r="N32" i="9"/>
  <c r="O32" i="9" s="1"/>
  <c r="P32" i="9"/>
  <c r="N33" i="9"/>
  <c r="O33" i="9" s="1"/>
  <c r="P33" i="9"/>
  <c r="N34" i="9"/>
  <c r="O34" i="9" s="1"/>
  <c r="P34" i="9"/>
  <c r="N35" i="9"/>
  <c r="O35" i="9" s="1"/>
  <c r="P35" i="9"/>
  <c r="N36" i="9"/>
  <c r="O36" i="9" s="1"/>
  <c r="P36" i="9"/>
  <c r="N37" i="9"/>
  <c r="O37" i="9" s="1"/>
  <c r="P37" i="9"/>
  <c r="N38" i="9"/>
  <c r="O38" i="9" s="1"/>
  <c r="P38" i="9"/>
  <c r="N39" i="9"/>
  <c r="O39" i="9" s="1"/>
  <c r="P39" i="9"/>
  <c r="N40" i="9"/>
  <c r="O40" i="9" s="1"/>
  <c r="P40" i="9"/>
  <c r="N41" i="9"/>
  <c r="O41" i="9" s="1"/>
  <c r="P41" i="9"/>
  <c r="N42" i="9"/>
  <c r="O42" i="9" s="1"/>
  <c r="P42" i="9"/>
  <c r="N43" i="9"/>
  <c r="O43" i="9" s="1"/>
  <c r="P43" i="9"/>
  <c r="N44" i="9"/>
  <c r="O44" i="9" s="1"/>
  <c r="P44" i="9"/>
  <c r="N45" i="9"/>
  <c r="O45" i="9" s="1"/>
  <c r="P45" i="9"/>
  <c r="N46" i="9"/>
  <c r="O46" i="9" s="1"/>
  <c r="P46" i="9"/>
  <c r="N47" i="9"/>
  <c r="O47" i="9" s="1"/>
  <c r="P47" i="9"/>
  <c r="N48" i="9"/>
  <c r="O48" i="9" s="1"/>
  <c r="P48" i="9"/>
  <c r="N49" i="9"/>
  <c r="O49" i="9" s="1"/>
  <c r="P49" i="9"/>
  <c r="N50" i="9"/>
  <c r="O50" i="9" s="1"/>
  <c r="P50" i="9"/>
  <c r="N51" i="9"/>
  <c r="O51" i="9" s="1"/>
  <c r="P51" i="9"/>
  <c r="N52" i="9"/>
  <c r="O52" i="9" s="1"/>
  <c r="P52" i="9"/>
  <c r="N53" i="9"/>
  <c r="O53" i="9" s="1"/>
  <c r="P53" i="9"/>
  <c r="N54" i="9"/>
  <c r="O54" i="9" s="1"/>
  <c r="P54" i="9"/>
  <c r="N55" i="9"/>
  <c r="O55" i="9" s="1"/>
  <c r="P55" i="9"/>
  <c r="N56" i="9"/>
  <c r="O56" i="9" s="1"/>
  <c r="P56" i="9"/>
  <c r="N57" i="9"/>
  <c r="O57" i="9" s="1"/>
  <c r="P57" i="9"/>
  <c r="N58" i="9"/>
  <c r="O58" i="9" s="1"/>
  <c r="P58" i="9"/>
  <c r="N59" i="9"/>
  <c r="O59" i="9" s="1"/>
  <c r="P59" i="9"/>
  <c r="N60" i="9"/>
  <c r="O60" i="9" s="1"/>
  <c r="P60" i="9"/>
  <c r="N61" i="9"/>
  <c r="O61" i="9" s="1"/>
  <c r="P61" i="9"/>
  <c r="N62" i="9"/>
  <c r="O62" i="9" s="1"/>
  <c r="P62" i="9"/>
  <c r="N63" i="9"/>
  <c r="O63" i="9" s="1"/>
  <c r="P63" i="9"/>
  <c r="N64" i="9"/>
  <c r="O64" i="9" s="1"/>
  <c r="P64" i="9"/>
  <c r="N65" i="9"/>
  <c r="O65" i="9" s="1"/>
  <c r="P65" i="9"/>
  <c r="N66" i="9"/>
  <c r="O66" i="9" s="1"/>
  <c r="P66" i="9"/>
  <c r="N67" i="9"/>
  <c r="O67" i="9" s="1"/>
  <c r="P67" i="9"/>
  <c r="N68" i="9"/>
  <c r="O68" i="9" s="1"/>
  <c r="P68" i="9"/>
  <c r="N69" i="9"/>
  <c r="O69" i="9" s="1"/>
  <c r="P69" i="9"/>
  <c r="N70" i="9"/>
  <c r="O70" i="9" s="1"/>
  <c r="P70" i="9"/>
  <c r="N71" i="9"/>
  <c r="O71" i="9" s="1"/>
  <c r="P71" i="9"/>
  <c r="N72" i="9"/>
  <c r="O72" i="9" s="1"/>
  <c r="P72" i="9"/>
  <c r="N73" i="9"/>
  <c r="O73" i="9" s="1"/>
  <c r="P73" i="9"/>
  <c r="N74" i="9"/>
  <c r="O74" i="9" s="1"/>
  <c r="P74" i="9"/>
  <c r="N75" i="9"/>
  <c r="O75" i="9" s="1"/>
  <c r="P75" i="9"/>
  <c r="N76" i="9"/>
  <c r="O76" i="9" s="1"/>
  <c r="P76" i="9"/>
  <c r="N77" i="9"/>
  <c r="O77" i="9" s="1"/>
  <c r="P77" i="9"/>
  <c r="N78" i="9"/>
  <c r="O78" i="9" s="1"/>
  <c r="P78" i="9"/>
  <c r="N79" i="9"/>
  <c r="O79" i="9" s="1"/>
  <c r="P79" i="9"/>
  <c r="N80" i="9"/>
  <c r="O80" i="9" s="1"/>
  <c r="P80" i="9"/>
  <c r="N81" i="9"/>
  <c r="O81" i="9" s="1"/>
  <c r="P81" i="9"/>
  <c r="N82" i="9"/>
  <c r="O82" i="9" s="1"/>
  <c r="P82" i="9"/>
  <c r="N83" i="9"/>
  <c r="O83" i="9" s="1"/>
  <c r="P83" i="9"/>
  <c r="N84" i="9"/>
  <c r="O84" i="9" s="1"/>
  <c r="P84" i="9"/>
  <c r="N85" i="9"/>
  <c r="O85" i="9" s="1"/>
  <c r="P85" i="9"/>
  <c r="N86" i="9"/>
  <c r="O86" i="9" s="1"/>
  <c r="P86" i="9"/>
  <c r="N87" i="9"/>
  <c r="O87" i="9" s="1"/>
  <c r="P87" i="9"/>
  <c r="N88" i="9"/>
  <c r="O88" i="9" s="1"/>
  <c r="P88" i="9"/>
  <c r="N89" i="9"/>
  <c r="O89" i="9" s="1"/>
  <c r="P89" i="9"/>
  <c r="N91" i="9"/>
  <c r="O91" i="9" s="1"/>
  <c r="P91" i="9"/>
  <c r="N92" i="9"/>
  <c r="O92" i="9" s="1"/>
  <c r="P92" i="9"/>
  <c r="N93" i="9"/>
  <c r="O93" i="9" s="1"/>
  <c r="P93" i="9"/>
  <c r="N94" i="9"/>
  <c r="O94" i="9" s="1"/>
  <c r="P94" i="9"/>
  <c r="N95" i="9"/>
  <c r="O95" i="9" s="1"/>
  <c r="P95" i="9"/>
  <c r="N96" i="9"/>
  <c r="O96" i="9" s="1"/>
  <c r="P96" i="9"/>
  <c r="N97" i="9"/>
  <c r="O97" i="9" s="1"/>
  <c r="P97" i="9"/>
  <c r="N98" i="9"/>
  <c r="O98" i="9" s="1"/>
  <c r="P98" i="9"/>
  <c r="N99" i="9"/>
  <c r="O99" i="9" s="1"/>
  <c r="P99" i="9"/>
  <c r="N100" i="9"/>
  <c r="O100" i="9" s="1"/>
  <c r="P100" i="9"/>
  <c r="N101" i="9"/>
  <c r="O101" i="9" s="1"/>
  <c r="P101" i="9"/>
  <c r="N102" i="9"/>
  <c r="O102" i="9" s="1"/>
  <c r="P102" i="9"/>
  <c r="N103" i="9"/>
  <c r="O103" i="9" s="1"/>
  <c r="P103" i="9"/>
  <c r="N104" i="9"/>
  <c r="O104" i="9" s="1"/>
  <c r="P104" i="9"/>
  <c r="N105" i="9"/>
  <c r="O105" i="9" s="1"/>
  <c r="P105" i="9"/>
  <c r="N106" i="9"/>
  <c r="O106" i="9" s="1"/>
  <c r="P106" i="9"/>
  <c r="N107" i="9"/>
  <c r="O107" i="9" s="1"/>
  <c r="P107" i="9"/>
  <c r="N108" i="9"/>
  <c r="O108" i="9" s="1"/>
  <c r="P108" i="9"/>
  <c r="N109" i="9"/>
  <c r="O109" i="9" s="1"/>
  <c r="P109" i="9"/>
  <c r="N110" i="9"/>
  <c r="O110" i="9" s="1"/>
  <c r="P110" i="9"/>
  <c r="N111" i="9"/>
  <c r="O111" i="9" s="1"/>
  <c r="P111" i="9"/>
  <c r="N112" i="9"/>
  <c r="O112" i="9" s="1"/>
  <c r="P112" i="9"/>
  <c r="N113" i="9"/>
  <c r="O113" i="9" s="1"/>
  <c r="P113" i="9"/>
  <c r="N114" i="9"/>
  <c r="O114" i="9" s="1"/>
  <c r="P114" i="9"/>
  <c r="N115" i="9"/>
  <c r="O115" i="9" s="1"/>
  <c r="P115" i="9"/>
  <c r="N116" i="9"/>
  <c r="O116" i="9" s="1"/>
  <c r="P116" i="9"/>
  <c r="N117" i="9"/>
  <c r="O117" i="9" s="1"/>
  <c r="P117" i="9"/>
  <c r="N118" i="9"/>
  <c r="O118" i="9" s="1"/>
  <c r="P118" i="9"/>
  <c r="N119" i="9"/>
  <c r="O119" i="9" s="1"/>
  <c r="P119" i="9"/>
  <c r="N120" i="9"/>
  <c r="O120" i="9" s="1"/>
  <c r="P120" i="9"/>
  <c r="N121" i="9"/>
  <c r="O121" i="9" s="1"/>
  <c r="P121" i="9"/>
  <c r="N122" i="9"/>
  <c r="O122" i="9" s="1"/>
  <c r="P122" i="9"/>
  <c r="N123" i="9"/>
  <c r="O123" i="9" s="1"/>
  <c r="P123" i="9"/>
  <c r="N124" i="9"/>
  <c r="O124" i="9" s="1"/>
  <c r="P124" i="9"/>
  <c r="N125" i="9"/>
  <c r="O125" i="9" s="1"/>
  <c r="P125" i="9"/>
  <c r="N126" i="9"/>
  <c r="O126" i="9" s="1"/>
  <c r="P126" i="9"/>
  <c r="N127" i="9"/>
  <c r="O127" i="9" s="1"/>
  <c r="P127" i="9"/>
  <c r="N128" i="9"/>
  <c r="O128" i="9" s="1"/>
  <c r="P128" i="9"/>
  <c r="N129" i="9"/>
  <c r="O129" i="9" s="1"/>
  <c r="P129" i="9"/>
  <c r="N130" i="9"/>
  <c r="O130" i="9" s="1"/>
  <c r="P130" i="9"/>
  <c r="N131" i="9"/>
  <c r="O131" i="9" s="1"/>
  <c r="P131" i="9"/>
  <c r="N132" i="9"/>
  <c r="O132" i="9" s="1"/>
  <c r="P132" i="9"/>
  <c r="N133" i="9"/>
  <c r="O133" i="9" s="1"/>
  <c r="P133" i="9"/>
  <c r="N134" i="9"/>
  <c r="O134" i="9" s="1"/>
  <c r="P134" i="9"/>
  <c r="N135" i="9"/>
  <c r="O135" i="9" s="1"/>
  <c r="P135" i="9"/>
  <c r="N136" i="9"/>
  <c r="O136" i="9" s="1"/>
  <c r="P136" i="9"/>
  <c r="N137" i="9"/>
  <c r="O137" i="9" s="1"/>
  <c r="P137" i="9"/>
  <c r="N138" i="9"/>
  <c r="O138" i="9" s="1"/>
  <c r="P138" i="9"/>
  <c r="N139" i="9"/>
  <c r="O139" i="9" s="1"/>
  <c r="P139" i="9"/>
  <c r="N140" i="9"/>
  <c r="O140" i="9" s="1"/>
  <c r="P140" i="9"/>
  <c r="N141" i="9"/>
  <c r="O141" i="9" s="1"/>
  <c r="P141" i="9"/>
  <c r="N142" i="9"/>
  <c r="O142" i="9" s="1"/>
  <c r="P142" i="9"/>
  <c r="N143" i="9"/>
  <c r="O143" i="9" s="1"/>
  <c r="P143" i="9"/>
  <c r="N144" i="9"/>
  <c r="O144" i="9" s="1"/>
  <c r="P144" i="9"/>
  <c r="N145" i="9"/>
  <c r="O145" i="9" s="1"/>
  <c r="P145" i="9"/>
  <c r="N146" i="9"/>
  <c r="O146" i="9" s="1"/>
  <c r="P146" i="9"/>
  <c r="N147" i="9"/>
  <c r="O147" i="9" s="1"/>
  <c r="P147" i="9"/>
  <c r="N148" i="9"/>
  <c r="O148" i="9" s="1"/>
  <c r="P148" i="9"/>
  <c r="N149" i="9"/>
  <c r="O149" i="9" s="1"/>
  <c r="P149" i="9"/>
  <c r="N150" i="9"/>
  <c r="O150" i="9" s="1"/>
  <c r="P150" i="9"/>
  <c r="N151" i="9"/>
  <c r="O151" i="9" s="1"/>
  <c r="P151" i="9"/>
  <c r="N152" i="9"/>
  <c r="O152" i="9" s="1"/>
  <c r="P152" i="9"/>
  <c r="N153" i="9"/>
  <c r="O153" i="9" s="1"/>
  <c r="P153" i="9"/>
  <c r="N154" i="9"/>
  <c r="O154" i="9" s="1"/>
  <c r="P154" i="9"/>
  <c r="N155" i="9"/>
  <c r="O155" i="9" s="1"/>
  <c r="P155" i="9"/>
  <c r="N156" i="9"/>
  <c r="O156" i="9" s="1"/>
  <c r="P156" i="9"/>
  <c r="N157" i="9"/>
  <c r="O157" i="9" s="1"/>
  <c r="P157" i="9"/>
  <c r="N159" i="9"/>
  <c r="O159" i="9" s="1"/>
  <c r="P159" i="9"/>
  <c r="N160" i="9"/>
  <c r="O160" i="9" s="1"/>
  <c r="P160" i="9"/>
  <c r="N161" i="9"/>
  <c r="O161" i="9" s="1"/>
  <c r="P161" i="9"/>
  <c r="N162" i="9"/>
  <c r="O162" i="9" s="1"/>
  <c r="P162" i="9"/>
  <c r="N163" i="9"/>
  <c r="O163" i="9" s="1"/>
  <c r="P163" i="9"/>
  <c r="N164" i="9"/>
  <c r="O164" i="9" s="1"/>
  <c r="P164" i="9"/>
  <c r="N165" i="9"/>
  <c r="O165" i="9" s="1"/>
  <c r="P165" i="9"/>
  <c r="N166" i="9"/>
  <c r="O166" i="9" s="1"/>
  <c r="P166" i="9"/>
  <c r="N167" i="9"/>
  <c r="O167" i="9" s="1"/>
  <c r="P167" i="9"/>
  <c r="N168" i="9"/>
  <c r="O168" i="9" s="1"/>
  <c r="P168" i="9"/>
  <c r="N169" i="9"/>
  <c r="O169" i="9" s="1"/>
  <c r="P169" i="9"/>
  <c r="N171" i="9"/>
  <c r="O171" i="9" s="1"/>
  <c r="P171" i="9"/>
  <c r="N172" i="9"/>
  <c r="O172" i="9" s="1"/>
  <c r="P172" i="9"/>
  <c r="N173" i="9"/>
  <c r="O173" i="9" s="1"/>
  <c r="P173" i="9"/>
  <c r="N174" i="9"/>
  <c r="O174" i="9" s="1"/>
  <c r="P174" i="9"/>
  <c r="N175" i="9"/>
  <c r="O175" i="9" s="1"/>
  <c r="P175" i="9"/>
  <c r="N176" i="9"/>
  <c r="O176" i="9" s="1"/>
  <c r="P176" i="9"/>
  <c r="N177" i="9"/>
  <c r="O177" i="9" s="1"/>
  <c r="P177" i="9"/>
  <c r="N178" i="9"/>
  <c r="O178" i="9" s="1"/>
  <c r="P178" i="9"/>
  <c r="N179" i="9"/>
  <c r="O179" i="9" s="1"/>
  <c r="P179" i="9"/>
  <c r="N180" i="9"/>
  <c r="O180" i="9" s="1"/>
  <c r="P180" i="9"/>
  <c r="N181" i="9"/>
  <c r="O181" i="9" s="1"/>
  <c r="P181" i="9"/>
  <c r="N182" i="9"/>
  <c r="O182" i="9" s="1"/>
  <c r="P182" i="9"/>
  <c r="N183" i="9"/>
  <c r="O183" i="9" s="1"/>
  <c r="P183" i="9"/>
  <c r="N184" i="9"/>
  <c r="O184" i="9" s="1"/>
  <c r="P184" i="9"/>
  <c r="N185" i="9"/>
  <c r="O185" i="9" s="1"/>
  <c r="P185" i="9"/>
  <c r="N186" i="9"/>
  <c r="O186" i="9" s="1"/>
  <c r="P186" i="9"/>
  <c r="G11" i="7"/>
  <c r="G12" i="7"/>
  <c r="J12" i="7" s="1"/>
  <c r="G15" i="7"/>
  <c r="G16" i="7"/>
  <c r="J16" i="7" s="1"/>
  <c r="G23" i="7"/>
  <c r="G24" i="7"/>
  <c r="J24" i="7" s="1"/>
  <c r="G26" i="7"/>
  <c r="G27" i="7"/>
  <c r="K27" i="7" s="1"/>
  <c r="G28" i="7"/>
  <c r="G29" i="7"/>
  <c r="J29" i="7" s="1"/>
  <c r="G40" i="7"/>
  <c r="J40" i="7" s="1"/>
  <c r="G41" i="7"/>
  <c r="J41" i="7" s="1"/>
  <c r="G39" i="7"/>
  <c r="G38" i="7"/>
  <c r="K38" i="7" s="1"/>
  <c r="G42" i="7"/>
  <c r="J42" i="7" s="1"/>
  <c r="G43" i="7"/>
  <c r="K43" i="7" s="1"/>
  <c r="G45" i="7"/>
  <c r="J45" i="7" s="1"/>
  <c r="G46" i="7"/>
  <c r="K46" i="7" s="1"/>
  <c r="G152" i="7"/>
  <c r="J152" i="7" s="1"/>
  <c r="G153" i="7"/>
  <c r="J153" i="7" s="1"/>
  <c r="G154" i="7"/>
  <c r="G155" i="7"/>
  <c r="K155" i="7" s="1"/>
  <c r="G156" i="7"/>
  <c r="J156" i="7" s="1"/>
  <c r="G157" i="7"/>
  <c r="J157" i="7" s="1"/>
  <c r="G158" i="7"/>
  <c r="G160" i="7"/>
  <c r="K160" i="7" s="1"/>
  <c r="G161" i="7"/>
  <c r="J161" i="7" s="1"/>
  <c r="G162" i="7"/>
  <c r="J162" i="7" s="1"/>
  <c r="G163" i="7"/>
  <c r="J163" i="7" s="1"/>
  <c r="G164" i="7"/>
  <c r="J164" i="7" s="1"/>
  <c r="G165" i="7"/>
  <c r="K165" i="7" s="1"/>
  <c r="G166" i="7"/>
  <c r="J166" i="7" s="1"/>
  <c r="G167" i="7"/>
  <c r="G168" i="7"/>
  <c r="J168" i="7" s="1"/>
  <c r="G169" i="7"/>
  <c r="G170" i="7"/>
  <c r="K170" i="7" s="1"/>
  <c r="G171" i="7"/>
  <c r="J171" i="7" s="1"/>
  <c r="G172" i="7"/>
  <c r="K172" i="7" s="1"/>
  <c r="G173" i="7"/>
  <c r="J173" i="7" s="1"/>
  <c r="G174" i="7"/>
  <c r="K174" i="7" s="1"/>
  <c r="G6" i="7"/>
  <c r="K6" i="7" s="1"/>
  <c r="G7" i="7"/>
  <c r="K7" i="7" s="1"/>
  <c r="G8" i="7"/>
  <c r="K8" i="7" s="1"/>
  <c r="G9" i="7"/>
  <c r="J9" i="7" s="1"/>
  <c r="G10" i="7"/>
  <c r="K10" i="7" s="1"/>
  <c r="G13" i="7"/>
  <c r="K13" i="7" s="1"/>
  <c r="G14" i="7"/>
  <c r="K14" i="7" s="1"/>
  <c r="G17" i="7"/>
  <c r="J17" i="7" s="1"/>
  <c r="G18" i="7"/>
  <c r="K18" i="7" s="1"/>
  <c r="G19" i="7"/>
  <c r="K19" i="7" s="1"/>
  <c r="G20" i="7"/>
  <c r="K20" i="7" s="1"/>
  <c r="K178" i="7" s="1"/>
  <c r="G21" i="7"/>
  <c r="G22" i="7"/>
  <c r="J22" i="7" s="1"/>
  <c r="G25" i="7"/>
  <c r="J25" i="7" s="1"/>
  <c r="G30" i="7"/>
  <c r="J30" i="7" s="1"/>
  <c r="G31" i="7"/>
  <c r="G179" i="7" s="1"/>
  <c r="G32" i="7"/>
  <c r="J32" i="7" s="1"/>
  <c r="G33" i="7"/>
  <c r="G180" i="7" s="1"/>
  <c r="G34" i="7"/>
  <c r="J34" i="7" s="1"/>
  <c r="G35" i="7"/>
  <c r="J35" i="7" s="1"/>
  <c r="G36" i="7"/>
  <c r="J36" i="7" s="1"/>
  <c r="G37" i="7"/>
  <c r="K37" i="7" s="1"/>
  <c r="G44" i="7"/>
  <c r="J44" i="7" s="1"/>
  <c r="G47" i="7"/>
  <c r="J47" i="7" s="1"/>
  <c r="G48" i="7"/>
  <c r="G49" i="7"/>
  <c r="K49" i="7" s="1"/>
  <c r="G50" i="7"/>
  <c r="J50" i="7" s="1"/>
  <c r="G51" i="7"/>
  <c r="K51" i="7" s="1"/>
  <c r="G52" i="7"/>
  <c r="J52" i="7" s="1"/>
  <c r="G53" i="7"/>
  <c r="K53" i="7" s="1"/>
  <c r="G54" i="7"/>
  <c r="G55" i="7"/>
  <c r="K55" i="7" s="1"/>
  <c r="G57" i="7"/>
  <c r="J57" i="7" s="1"/>
  <c r="G58" i="7"/>
  <c r="J58" i="7" s="1"/>
  <c r="G59" i="7"/>
  <c r="K59" i="7" s="1"/>
  <c r="G60" i="7"/>
  <c r="J60" i="7" s="1"/>
  <c r="G61" i="7"/>
  <c r="G62" i="7"/>
  <c r="K62" i="7" s="1"/>
  <c r="G63" i="7"/>
  <c r="J63" i="7" s="1"/>
  <c r="G64" i="7"/>
  <c r="J64" i="7" s="1"/>
  <c r="G65" i="7"/>
  <c r="G66" i="7"/>
  <c r="K66" i="7" s="1"/>
  <c r="G67" i="7"/>
  <c r="J67" i="7" s="1"/>
  <c r="G68" i="7"/>
  <c r="J68" i="7" s="1"/>
  <c r="G69" i="7"/>
  <c r="G70" i="7"/>
  <c r="K70" i="7" s="1"/>
  <c r="G71" i="7"/>
  <c r="J71" i="7" s="1"/>
  <c r="G72" i="7"/>
  <c r="K72" i="7" s="1"/>
  <c r="G73" i="7"/>
  <c r="G74" i="7"/>
  <c r="G75" i="7"/>
  <c r="J75" i="7" s="1"/>
  <c r="G76" i="7"/>
  <c r="J76" i="7" s="1"/>
  <c r="G77" i="7"/>
  <c r="K77" i="7" s="1"/>
  <c r="G78" i="7"/>
  <c r="J78" i="7" s="1"/>
  <c r="G80" i="7"/>
  <c r="G81" i="7"/>
  <c r="K81" i="7" s="1"/>
  <c r="G82" i="7"/>
  <c r="J82" i="7" s="1"/>
  <c r="G83" i="7"/>
  <c r="J83" i="7" s="1"/>
  <c r="G84" i="7"/>
  <c r="G85" i="7"/>
  <c r="K85" i="7" s="1"/>
  <c r="G86" i="7"/>
  <c r="J86" i="7" s="1"/>
  <c r="G87" i="7"/>
  <c r="K87" i="7" s="1"/>
  <c r="J87" i="7"/>
  <c r="G88" i="7"/>
  <c r="G89" i="7"/>
  <c r="K89" i="7" s="1"/>
  <c r="G90" i="7"/>
  <c r="J90" i="7" s="1"/>
  <c r="G91" i="7"/>
  <c r="J91" i="7" s="1"/>
  <c r="G92" i="7"/>
  <c r="G93" i="7"/>
  <c r="K93" i="7" s="1"/>
  <c r="G94" i="7"/>
  <c r="K94" i="7" s="1"/>
  <c r="G95" i="7"/>
  <c r="K95" i="7" s="1"/>
  <c r="G96" i="7"/>
  <c r="K96" i="7" s="1"/>
  <c r="G97" i="7"/>
  <c r="J97" i="7" s="1"/>
  <c r="G98" i="7"/>
  <c r="G99" i="7"/>
  <c r="J99" i="7" s="1"/>
  <c r="G100" i="7"/>
  <c r="G101" i="7"/>
  <c r="J101" i="7" s="1"/>
  <c r="G102" i="7"/>
  <c r="G103" i="7"/>
  <c r="K103" i="7" s="1"/>
  <c r="G104" i="7"/>
  <c r="J104" i="7" s="1"/>
  <c r="K104" i="7"/>
  <c r="G105" i="7"/>
  <c r="J105" i="7" s="1"/>
  <c r="G106" i="7"/>
  <c r="G107" i="7"/>
  <c r="K107" i="7" s="1"/>
  <c r="G108" i="7"/>
  <c r="J108" i="7" s="1"/>
  <c r="G109" i="7"/>
  <c r="J109" i="7" s="1"/>
  <c r="G110" i="7"/>
  <c r="G111" i="7"/>
  <c r="K111" i="7" s="1"/>
  <c r="G112" i="7"/>
  <c r="J112" i="7" s="1"/>
  <c r="G113" i="7"/>
  <c r="J113" i="7" s="1"/>
  <c r="G114" i="7"/>
  <c r="J114" i="7" s="1"/>
  <c r="G115" i="7"/>
  <c r="K115" i="7" s="1"/>
  <c r="G116" i="7"/>
  <c r="G117" i="7"/>
  <c r="K117" i="7" s="1"/>
  <c r="G118" i="7"/>
  <c r="G119" i="7"/>
  <c r="K119" i="7" s="1"/>
  <c r="G120" i="7"/>
  <c r="J120" i="7" s="1"/>
  <c r="G121" i="7"/>
  <c r="J121" i="7" s="1"/>
  <c r="G122" i="7"/>
  <c r="G123" i="7"/>
  <c r="K123" i="7" s="1"/>
  <c r="G124" i="7"/>
  <c r="J124" i="7" s="1"/>
  <c r="G125" i="7"/>
  <c r="K125" i="7" s="1"/>
  <c r="J125" i="7"/>
  <c r="G126" i="7"/>
  <c r="G127" i="7"/>
  <c r="K127" i="7" s="1"/>
  <c r="G128" i="7"/>
  <c r="J128" i="7" s="1"/>
  <c r="G129" i="7"/>
  <c r="J129" i="7" s="1"/>
  <c r="G130" i="7"/>
  <c r="G131" i="7"/>
  <c r="K131" i="7" s="1"/>
  <c r="G132" i="7"/>
  <c r="J132" i="7" s="1"/>
  <c r="G133" i="7"/>
  <c r="K133" i="7" s="1"/>
  <c r="G134" i="7"/>
  <c r="G135" i="7"/>
  <c r="K135" i="7" s="1"/>
  <c r="G136" i="7"/>
  <c r="J136" i="7" s="1"/>
  <c r="G137" i="7"/>
  <c r="J137" i="7" s="1"/>
  <c r="G138" i="7"/>
  <c r="G139" i="7"/>
  <c r="K139" i="7" s="1"/>
  <c r="G140" i="7"/>
  <c r="J140" i="7" s="1"/>
  <c r="G141" i="7"/>
  <c r="J141" i="7" s="1"/>
  <c r="G142" i="7"/>
  <c r="G143" i="7"/>
  <c r="K143" i="7" s="1"/>
  <c r="G144" i="7"/>
  <c r="K144" i="7" s="1"/>
  <c r="G145" i="7"/>
  <c r="J145" i="7" s="1"/>
  <c r="G146" i="7"/>
  <c r="G148" i="7"/>
  <c r="K148" i="7" s="1"/>
  <c r="G149" i="7"/>
  <c r="J149" i="7" s="1"/>
  <c r="G150" i="7"/>
  <c r="K150" i="7" s="1"/>
  <c r="G151" i="7"/>
  <c r="J151" i="7" s="1"/>
  <c r="G56" i="7"/>
  <c r="J56" i="7" s="1"/>
  <c r="L6" i="13"/>
  <c r="J55" i="13"/>
  <c r="E44" i="5"/>
  <c r="F66" i="13" s="1"/>
  <c r="C13" i="12"/>
  <c r="C161" i="12"/>
  <c r="C151" i="12"/>
  <c r="C152" i="12"/>
  <c r="C153" i="12"/>
  <c r="C154" i="12"/>
  <c r="C155" i="12"/>
  <c r="C9" i="12"/>
  <c r="C11" i="12"/>
  <c r="C12" i="12"/>
  <c r="C21" i="12"/>
  <c r="D9" i="12"/>
  <c r="C10" i="12"/>
  <c r="D10" i="12"/>
  <c r="D11" i="12"/>
  <c r="D12" i="12"/>
  <c r="D13" i="12"/>
  <c r="C18" i="12"/>
  <c r="D18" i="12"/>
  <c r="C19" i="12"/>
  <c r="D19" i="12"/>
  <c r="D21" i="12"/>
  <c r="C25" i="12"/>
  <c r="D25" i="12"/>
  <c r="C26" i="12"/>
  <c r="D26" i="12"/>
  <c r="C27" i="12"/>
  <c r="D27"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2" i="12"/>
  <c r="D132" i="12"/>
  <c r="C133" i="12"/>
  <c r="D133" i="12"/>
  <c r="C134" i="12"/>
  <c r="D134" i="12"/>
  <c r="C135" i="12"/>
  <c r="D135" i="12"/>
  <c r="C136" i="12"/>
  <c r="D136" i="12"/>
  <c r="C140" i="12"/>
  <c r="D140" i="12"/>
  <c r="C141" i="12"/>
  <c r="D141" i="12"/>
  <c r="C142" i="12"/>
  <c r="D142" i="12"/>
  <c r="C143" i="12"/>
  <c r="D143" i="12"/>
  <c r="C144" i="12"/>
  <c r="D144" i="12"/>
  <c r="C145" i="12"/>
  <c r="D145" i="12"/>
  <c r="C146" i="12"/>
  <c r="D146" i="12"/>
  <c r="C148" i="12"/>
  <c r="D148" i="12"/>
  <c r="C149" i="12"/>
  <c r="D149" i="12"/>
  <c r="C150" i="12"/>
  <c r="D150" i="12"/>
  <c r="D151" i="12"/>
  <c r="D152" i="12"/>
  <c r="D153" i="12"/>
  <c r="D154" i="12"/>
  <c r="D155" i="12"/>
  <c r="C156" i="12"/>
  <c r="D156" i="12"/>
  <c r="C157" i="12"/>
  <c r="D157" i="12"/>
  <c r="C158" i="12"/>
  <c r="D158" i="12"/>
  <c r="C159" i="12"/>
  <c r="D159" i="12"/>
  <c r="C160" i="12"/>
  <c r="D160" i="12"/>
  <c r="D161" i="12"/>
  <c r="C162" i="12"/>
  <c r="D162" i="12"/>
  <c r="C163" i="12"/>
  <c r="D163" i="12"/>
  <c r="H9" i="12"/>
  <c r="H10" i="12"/>
  <c r="H12" i="12"/>
  <c r="H13" i="12"/>
  <c r="H18" i="12"/>
  <c r="H24" i="12"/>
  <c r="F14" i="12"/>
  <c r="F15" i="12"/>
  <c r="F22" i="12"/>
  <c r="F23" i="12"/>
  <c r="F28" i="12"/>
  <c r="F29" i="12"/>
  <c r="F33" i="12"/>
  <c r="F34" i="12"/>
  <c r="F35" i="12"/>
  <c r="F40" i="12"/>
  <c r="F41" i="12"/>
  <c r="F138" i="12"/>
  <c r="F139" i="12"/>
  <c r="I9" i="12"/>
  <c r="I10" i="12"/>
  <c r="I12" i="12"/>
  <c r="I13" i="12"/>
  <c r="I18" i="12"/>
  <c r="I24" i="12"/>
  <c r="E39" i="5"/>
  <c r="C28" i="14" s="1"/>
  <c r="E3" i="5"/>
  <c r="C9" i="14"/>
  <c r="C26" i="14"/>
  <c r="E26" i="14" s="1"/>
  <c r="B25" i="13"/>
  <c r="C25" i="13" s="1"/>
  <c r="B26" i="13"/>
  <c r="B27" i="13"/>
  <c r="D27" i="13" s="1"/>
  <c r="B28" i="13"/>
  <c r="J28" i="13" s="1"/>
  <c r="B29" i="13"/>
  <c r="C29" i="13" s="1"/>
  <c r="B30" i="13"/>
  <c r="C30" i="13" s="1"/>
  <c r="B31" i="13"/>
  <c r="C31" i="13" s="1"/>
  <c r="B32" i="13"/>
  <c r="C32" i="13" s="1"/>
  <c r="B33" i="13"/>
  <c r="J33" i="13" s="1"/>
  <c r="B34" i="13"/>
  <c r="J34" i="13" s="1"/>
  <c r="B35" i="13"/>
  <c r="D35" i="13" s="1"/>
  <c r="B36" i="13"/>
  <c r="C36" i="13" s="1"/>
  <c r="B37" i="13"/>
  <c r="D37" i="13" s="1"/>
  <c r="B38" i="13"/>
  <c r="C38" i="13" s="1"/>
  <c r="B39" i="13"/>
  <c r="J39" i="13" s="1"/>
  <c r="B40" i="13"/>
  <c r="D40" i="13" s="1"/>
  <c r="B41" i="13"/>
  <c r="J41" i="13" s="1"/>
  <c r="B42" i="13"/>
  <c r="J42" i="13" s="1"/>
  <c r="B43" i="13"/>
  <c r="J43" i="13" s="1"/>
  <c r="B24" i="13"/>
  <c r="D24" i="13" s="1"/>
  <c r="C19" i="14"/>
  <c r="C17" i="14"/>
  <c r="C16" i="14"/>
  <c r="C13" i="14"/>
  <c r="C10" i="14"/>
  <c r="I74" i="13"/>
  <c r="F7" i="12"/>
  <c r="F168" i="12"/>
  <c r="F167" i="12"/>
  <c r="F166" i="12"/>
  <c r="F165" i="12"/>
  <c r="F164" i="12"/>
  <c r="C31" i="14"/>
  <c r="E31" i="14" s="1"/>
  <c r="C30" i="14"/>
  <c r="E30" i="14" s="1"/>
  <c r="C25" i="14"/>
  <c r="E25" i="14" s="1"/>
  <c r="C22" i="14"/>
  <c r="C21" i="14"/>
  <c r="C14" i="14"/>
  <c r="C12" i="14"/>
  <c r="C11" i="14"/>
  <c r="C7" i="14"/>
  <c r="C6" i="14"/>
  <c r="D4" i="12"/>
  <c r="M4" i="12"/>
  <c r="D8" i="13"/>
  <c r="D9" i="13"/>
  <c r="F64" i="13"/>
  <c r="D20" i="10"/>
  <c r="C20" i="10"/>
  <c r="D19" i="10"/>
  <c r="C19" i="10"/>
  <c r="J54" i="13"/>
  <c r="H52" i="13"/>
  <c r="H54" i="13"/>
  <c r="H55" i="13"/>
  <c r="E183" i="7"/>
  <c r="K175" i="7"/>
  <c r="J175" i="7"/>
  <c r="C14" i="10"/>
  <c r="D14" i="10"/>
  <c r="C15" i="10"/>
  <c r="D15" i="10"/>
  <c r="C16" i="10"/>
  <c r="D16" i="10"/>
  <c r="C17" i="10"/>
  <c r="D17" i="10"/>
  <c r="C18" i="10"/>
  <c r="D18" i="10"/>
  <c r="C21" i="10"/>
  <c r="D21" i="10"/>
  <c r="C22" i="10"/>
  <c r="D22" i="10"/>
  <c r="C23" i="10"/>
  <c r="D23" i="10"/>
  <c r="C24" i="10"/>
  <c r="D24" i="10"/>
  <c r="C25" i="10"/>
  <c r="D25" i="10"/>
  <c r="C26" i="10"/>
  <c r="D26" i="10"/>
  <c r="C27" i="10"/>
  <c r="D27" i="10"/>
  <c r="C28" i="10"/>
  <c r="D28" i="10"/>
  <c r="C29" i="10"/>
  <c r="D29" i="10"/>
  <c r="C30" i="10"/>
  <c r="D30" i="10"/>
  <c r="C31" i="10"/>
  <c r="D31" i="10"/>
  <c r="C32" i="10"/>
  <c r="D32" i="10"/>
  <c r="D13" i="10"/>
  <c r="C13" i="10"/>
  <c r="G176" i="7"/>
  <c r="K173" i="7"/>
  <c r="J172" i="7"/>
  <c r="K164" i="7"/>
  <c r="J94" i="7"/>
  <c r="J18" i="7"/>
  <c r="J10" i="7"/>
  <c r="K167" i="7"/>
  <c r="J167" i="7"/>
  <c r="J117" i="7"/>
  <c r="J74" i="7"/>
  <c r="K74" i="7"/>
  <c r="K60" i="7"/>
  <c r="K58" i="7"/>
  <c r="K50" i="7"/>
  <c r="J37" i="7"/>
  <c r="J27" i="7"/>
  <c r="J28" i="7"/>
  <c r="K28" i="7"/>
  <c r="J21" i="7"/>
  <c r="K21" i="7"/>
  <c r="K9" i="7"/>
  <c r="D30" i="13"/>
  <c r="J31" i="7"/>
  <c r="J179" i="7" s="1"/>
  <c r="D36" i="13" l="1"/>
  <c r="K30" i="7"/>
  <c r="J165" i="7"/>
  <c r="J133" i="7"/>
  <c r="K99" i="7"/>
  <c r="D39" i="13"/>
  <c r="L79" i="7"/>
  <c r="M79" i="7" s="1"/>
  <c r="N79" i="7" s="1"/>
  <c r="O79" i="7" s="1"/>
  <c r="S79" i="7" s="1"/>
  <c r="U79" i="7" s="1"/>
  <c r="X79" i="7" s="1"/>
  <c r="K56" i="7"/>
  <c r="K24" i="7"/>
  <c r="K34" i="7"/>
  <c r="J4" i="7"/>
  <c r="K97" i="7"/>
  <c r="K29" i="7"/>
  <c r="J14" i="7"/>
  <c r="K25" i="7"/>
  <c r="K33" i="7"/>
  <c r="K180" i="7" s="1"/>
  <c r="K42" i="7"/>
  <c r="K113" i="7"/>
  <c r="J150" i="7"/>
  <c r="J8" i="7"/>
  <c r="J59" i="7"/>
  <c r="J33" i="7"/>
  <c r="J180" i="7" s="1"/>
  <c r="K151" i="7"/>
  <c r="J53" i="7"/>
  <c r="K44" i="7"/>
  <c r="K162" i="7"/>
  <c r="D29" i="13"/>
  <c r="K124" i="7"/>
  <c r="K121" i="7"/>
  <c r="J55" i="7"/>
  <c r="J20" i="7"/>
  <c r="J178" i="7" s="1"/>
  <c r="J174" i="7"/>
  <c r="K171" i="7"/>
  <c r="K168" i="7"/>
  <c r="J36" i="13"/>
  <c r="D28" i="13"/>
  <c r="C28" i="13"/>
  <c r="AB5" i="7"/>
  <c r="H51" i="13" s="1"/>
  <c r="R147" i="7"/>
  <c r="L147" i="7"/>
  <c r="M147" i="7" s="1"/>
  <c r="N147" i="7" s="1"/>
  <c r="O147" i="7" s="1"/>
  <c r="S147" i="7" s="1"/>
  <c r="U147" i="7" s="1"/>
  <c r="X147" i="7" s="1"/>
  <c r="J46" i="7"/>
  <c r="J72" i="7"/>
  <c r="K120" i="7"/>
  <c r="K82" i="7"/>
  <c r="J43" i="7"/>
  <c r="J13" i="7"/>
  <c r="K163" i="7"/>
  <c r="K140" i="7"/>
  <c r="K137" i="7"/>
  <c r="J127" i="7"/>
  <c r="J95" i="7"/>
  <c r="J144" i="7"/>
  <c r="J135" i="7"/>
  <c r="J115" i="7"/>
  <c r="K112" i="7"/>
  <c r="K109" i="7"/>
  <c r="J89" i="7"/>
  <c r="K83" i="7"/>
  <c r="J66" i="7"/>
  <c r="K16" i="7"/>
  <c r="K141" i="7"/>
  <c r="K128" i="7"/>
  <c r="K108" i="7"/>
  <c r="J96" i="7"/>
  <c r="K90" i="7"/>
  <c r="K86" i="7"/>
  <c r="K67" i="7"/>
  <c r="K157" i="7"/>
  <c r="K41" i="7"/>
  <c r="K35" i="7"/>
  <c r="K40" i="7"/>
  <c r="K64" i="7"/>
  <c r="J7" i="7"/>
  <c r="K22" i="7"/>
  <c r="K149" i="7"/>
  <c r="K145" i="7"/>
  <c r="J143" i="7"/>
  <c r="K32" i="7"/>
  <c r="K153" i="7"/>
  <c r="K45" i="7"/>
  <c r="J6" i="7"/>
  <c r="K63" i="7"/>
  <c r="K166" i="7"/>
  <c r="D32" i="13"/>
  <c r="K17" i="7"/>
  <c r="K101" i="7"/>
  <c r="K12" i="7"/>
  <c r="K36" i="7"/>
  <c r="J77" i="7"/>
  <c r="C39" i="13"/>
  <c r="K136" i="7"/>
  <c r="K105" i="7"/>
  <c r="K78" i="7"/>
  <c r="K76" i="7"/>
  <c r="K57" i="7"/>
  <c r="K47" i="7"/>
  <c r="K31" i="7"/>
  <c r="K179" i="7" s="1"/>
  <c r="K132" i="7"/>
  <c r="K129" i="7"/>
  <c r="J119" i="7"/>
  <c r="K114" i="7"/>
  <c r="J107" i="7"/>
  <c r="K91" i="7"/>
  <c r="J81" i="7"/>
  <c r="K71" i="7"/>
  <c r="K68" i="7"/>
  <c r="K52" i="7"/>
  <c r="J49" i="7"/>
  <c r="K5" i="7"/>
  <c r="J29" i="13"/>
  <c r="K75" i="7"/>
  <c r="J40" i="13"/>
  <c r="J148" i="7"/>
  <c r="J139" i="7"/>
  <c r="J131" i="7"/>
  <c r="J123" i="7"/>
  <c r="J111" i="7"/>
  <c r="J103" i="7"/>
  <c r="J93" i="7"/>
  <c r="J85" i="7"/>
  <c r="J70" i="7"/>
  <c r="J62" i="7"/>
  <c r="J51" i="7"/>
  <c r="G178" i="7"/>
  <c r="J19" i="7"/>
  <c r="J170" i="7"/>
  <c r="K161" i="7"/>
  <c r="J160" i="7"/>
  <c r="K156" i="7"/>
  <c r="J155" i="7"/>
  <c r="K152" i="7"/>
  <c r="J38" i="7"/>
  <c r="J159" i="7"/>
  <c r="D38" i="13"/>
  <c r="C41" i="13"/>
  <c r="J138" i="7"/>
  <c r="K138" i="7"/>
  <c r="J122" i="7"/>
  <c r="K122" i="7"/>
  <c r="J110" i="7"/>
  <c r="K110" i="7"/>
  <c r="J100" i="7"/>
  <c r="K100" i="7"/>
  <c r="J84" i="7"/>
  <c r="K84" i="7"/>
  <c r="J69" i="7"/>
  <c r="K69" i="7"/>
  <c r="J169" i="7"/>
  <c r="K169" i="7"/>
  <c r="J158" i="7"/>
  <c r="K158" i="7"/>
  <c r="J154" i="7"/>
  <c r="K154" i="7"/>
  <c r="J26" i="7"/>
  <c r="K26" i="7"/>
  <c r="J15" i="7"/>
  <c r="K15" i="7"/>
  <c r="J134" i="7"/>
  <c r="K134" i="7"/>
  <c r="J118" i="7"/>
  <c r="K118" i="7"/>
  <c r="J106" i="7"/>
  <c r="K106" i="7"/>
  <c r="J80" i="7"/>
  <c r="K80" i="7"/>
  <c r="J65" i="7"/>
  <c r="K65" i="7"/>
  <c r="C35" i="13"/>
  <c r="J35" i="13"/>
  <c r="D26" i="13"/>
  <c r="C26" i="13"/>
  <c r="J146" i="7"/>
  <c r="K146" i="7"/>
  <c r="J130" i="7"/>
  <c r="K130" i="7"/>
  <c r="J102" i="7"/>
  <c r="K102" i="7"/>
  <c r="J98" i="7"/>
  <c r="K98" i="7"/>
  <c r="J92" i="7"/>
  <c r="K92" i="7"/>
  <c r="J61" i="7"/>
  <c r="K61" i="7"/>
  <c r="J39" i="7"/>
  <c r="K39" i="7"/>
  <c r="J23" i="7"/>
  <c r="K23" i="7"/>
  <c r="J11" i="7"/>
  <c r="K11" i="7"/>
  <c r="J142" i="7"/>
  <c r="K142" i="7"/>
  <c r="J126" i="7"/>
  <c r="K126" i="7"/>
  <c r="J116" i="7"/>
  <c r="K116" i="7"/>
  <c r="J88" i="7"/>
  <c r="K88" i="7"/>
  <c r="J73" i="7"/>
  <c r="K73" i="7"/>
  <c r="J54" i="7"/>
  <c r="K54" i="7"/>
  <c r="J48" i="7"/>
  <c r="K48" i="7"/>
  <c r="D33" i="13"/>
  <c r="J27" i="13"/>
  <c r="C40" i="13"/>
  <c r="C27" i="13"/>
  <c r="C33" i="13"/>
  <c r="J37" i="13"/>
  <c r="C34" i="13"/>
  <c r="J30" i="13"/>
  <c r="D41" i="13"/>
  <c r="D31" i="13"/>
  <c r="J31" i="13"/>
  <c r="C37" i="13"/>
  <c r="J32" i="13"/>
  <c r="L85" i="7"/>
  <c r="L93" i="7"/>
  <c r="L97" i="7"/>
  <c r="L137" i="7"/>
  <c r="L141" i="7"/>
  <c r="M141" i="7" s="1"/>
  <c r="N141" i="7" s="1"/>
  <c r="O141" i="7" s="1"/>
  <c r="S141" i="7" s="1"/>
  <c r="U141" i="7" s="1"/>
  <c r="X141" i="7" s="1"/>
  <c r="L145" i="7"/>
  <c r="L150" i="7"/>
  <c r="M150" i="7" s="1"/>
  <c r="N150" i="7" s="1"/>
  <c r="O150" i="7" s="1"/>
  <c r="S150" i="7" s="1"/>
  <c r="U150" i="7" s="1"/>
  <c r="X150" i="7" s="1"/>
  <c r="L24" i="7"/>
  <c r="L38" i="7"/>
  <c r="L155" i="7"/>
  <c r="M155" i="7" s="1"/>
  <c r="N155" i="7" s="1"/>
  <c r="O155" i="7" s="1"/>
  <c r="S155" i="7" s="1"/>
  <c r="U155" i="7" s="1"/>
  <c r="X155" i="7" s="1"/>
  <c r="L160" i="7"/>
  <c r="L168" i="7"/>
  <c r="M168" i="7" s="1"/>
  <c r="N168" i="7" s="1"/>
  <c r="O168" i="7" s="1"/>
  <c r="S168" i="7" s="1"/>
  <c r="U168" i="7" s="1"/>
  <c r="X168" i="7" s="1"/>
  <c r="L172" i="7"/>
  <c r="M172" i="7" s="1"/>
  <c r="N172" i="7" s="1"/>
  <c r="O172" i="7" s="1"/>
  <c r="S172" i="7" s="1"/>
  <c r="U172" i="7" s="1"/>
  <c r="X172" i="7" s="1"/>
  <c r="L32" i="7"/>
  <c r="M32" i="7" s="1"/>
  <c r="N32" i="7" s="1"/>
  <c r="O32" i="7" s="1"/>
  <c r="S32" i="7" s="1"/>
  <c r="U32" i="7" s="1"/>
  <c r="L36" i="7"/>
  <c r="L52" i="7"/>
  <c r="L61" i="7"/>
  <c r="L65" i="7"/>
  <c r="L73" i="7"/>
  <c r="M73" i="7" s="1"/>
  <c r="N73" i="7" s="1"/>
  <c r="O73" i="7" s="1"/>
  <c r="S73" i="7" s="1"/>
  <c r="U73" i="7" s="1"/>
  <c r="X73" i="7" s="1"/>
  <c r="L20" i="7"/>
  <c r="L117" i="7"/>
  <c r="M117" i="7" s="1"/>
  <c r="N117" i="7" s="1"/>
  <c r="O117" i="7" s="1"/>
  <c r="S117" i="7" s="1"/>
  <c r="U117" i="7" s="1"/>
  <c r="X117" i="7" s="1"/>
  <c r="L121" i="7"/>
  <c r="L125" i="7"/>
  <c r="M125" i="7" s="1"/>
  <c r="N125" i="7" s="1"/>
  <c r="O125" i="7" s="1"/>
  <c r="S125" i="7" s="1"/>
  <c r="U125" i="7" s="1"/>
  <c r="X125" i="7" s="1"/>
  <c r="L129" i="7"/>
  <c r="L133" i="7"/>
  <c r="L5" i="7"/>
  <c r="L23" i="7"/>
  <c r="L39" i="7"/>
  <c r="L154" i="7"/>
  <c r="L167" i="7"/>
  <c r="M167" i="7" s="1"/>
  <c r="N167" i="7" s="1"/>
  <c r="O167" i="7" s="1"/>
  <c r="S167" i="7" s="1"/>
  <c r="U167" i="7" s="1"/>
  <c r="X167" i="7" s="1"/>
  <c r="L9" i="7"/>
  <c r="M9" i="7" s="1"/>
  <c r="N9" i="7" s="1"/>
  <c r="O9" i="7" s="1"/>
  <c r="S9" i="7" s="1"/>
  <c r="U9" i="7" s="1"/>
  <c r="L21" i="7"/>
  <c r="M21" i="7" s="1"/>
  <c r="N21" i="7" s="1"/>
  <c r="O21" i="7" s="1"/>
  <c r="AB28" i="7" s="1"/>
  <c r="L48" i="7"/>
  <c r="L57" i="7"/>
  <c r="L69" i="7"/>
  <c r="L77" i="7"/>
  <c r="L82" i="7"/>
  <c r="L90" i="7"/>
  <c r="L101" i="7"/>
  <c r="M101" i="7" s="1"/>
  <c r="N101" i="7" s="1"/>
  <c r="O101" i="7" s="1"/>
  <c r="S101" i="7" s="1"/>
  <c r="U101" i="7" s="1"/>
  <c r="X101" i="7" s="1"/>
  <c r="L105" i="7"/>
  <c r="M105" i="7" s="1"/>
  <c r="N105" i="7" s="1"/>
  <c r="O105" i="7" s="1"/>
  <c r="S105" i="7" s="1"/>
  <c r="U105" i="7" s="1"/>
  <c r="X105" i="7" s="1"/>
  <c r="L109" i="7"/>
  <c r="L113" i="7"/>
  <c r="M113" i="7" s="1"/>
  <c r="N113" i="7" s="1"/>
  <c r="O113" i="7" s="1"/>
  <c r="S113" i="7" s="1"/>
  <c r="U113" i="7" s="1"/>
  <c r="X113" i="7" s="1"/>
  <c r="L136" i="7"/>
  <c r="M136" i="7" s="1"/>
  <c r="N136" i="7" s="1"/>
  <c r="O136" i="7" s="1"/>
  <c r="S136" i="7" s="1"/>
  <c r="U136" i="7" s="1"/>
  <c r="X136" i="7" s="1"/>
  <c r="L175" i="7"/>
  <c r="M175" i="7" s="1"/>
  <c r="N175" i="7" s="1"/>
  <c r="O175" i="7" s="1"/>
  <c r="S175" i="7" s="1"/>
  <c r="U175" i="7" s="1"/>
  <c r="X175" i="7" s="1"/>
  <c r="L158" i="7"/>
  <c r="L35" i="7"/>
  <c r="M35" i="7" s="1"/>
  <c r="N35" i="7" s="1"/>
  <c r="O35" i="7" s="1"/>
  <c r="S35" i="7" s="1"/>
  <c r="U35" i="7" s="1"/>
  <c r="L72" i="7"/>
  <c r="L124" i="7"/>
  <c r="M124" i="7" s="1"/>
  <c r="N124" i="7" s="1"/>
  <c r="O124" i="7" s="1"/>
  <c r="S124" i="7" s="1"/>
  <c r="U124" i="7" s="1"/>
  <c r="X124" i="7" s="1"/>
  <c r="L4" i="7"/>
  <c r="M4" i="7" s="1"/>
  <c r="N4" i="7" s="1"/>
  <c r="O4" i="7" s="1"/>
  <c r="E13" i="10" s="1"/>
  <c r="F13" i="10" s="1"/>
  <c r="L166" i="7"/>
  <c r="L47" i="7"/>
  <c r="L76" i="7"/>
  <c r="M76" i="7" s="1"/>
  <c r="N76" i="7" s="1"/>
  <c r="O76" i="7" s="1"/>
  <c r="S76" i="7" s="1"/>
  <c r="U76" i="7" s="1"/>
  <c r="X76" i="7" s="1"/>
  <c r="L104" i="7"/>
  <c r="M104" i="7" s="1"/>
  <c r="N104" i="7" s="1"/>
  <c r="O104" i="7" s="1"/>
  <c r="S104" i="7" s="1"/>
  <c r="U104" i="7" s="1"/>
  <c r="X104" i="7" s="1"/>
  <c r="L163" i="7"/>
  <c r="L60" i="7"/>
  <c r="M60" i="7" s="1"/>
  <c r="N60" i="7" s="1"/>
  <c r="O60" i="7" s="1"/>
  <c r="S60" i="7" s="1"/>
  <c r="U60" i="7" s="1"/>
  <c r="X60" i="7" s="1"/>
  <c r="L19" i="7"/>
  <c r="L128" i="7"/>
  <c r="M128" i="7" s="1"/>
  <c r="N128" i="7" s="1"/>
  <c r="O128" i="7" s="1"/>
  <c r="S128" i="7" s="1"/>
  <c r="U128" i="7" s="1"/>
  <c r="X128" i="7" s="1"/>
  <c r="L41" i="7"/>
  <c r="L8" i="7"/>
  <c r="L55" i="7"/>
  <c r="M55" i="7" s="1"/>
  <c r="N55" i="7" s="1"/>
  <c r="O55" i="7" s="1"/>
  <c r="S55" i="7" s="1"/>
  <c r="U55" i="7" s="1"/>
  <c r="L89" i="7"/>
  <c r="M89" i="7" s="1"/>
  <c r="N89" i="7" s="1"/>
  <c r="O89" i="7" s="1"/>
  <c r="S89" i="7" s="1"/>
  <c r="U89" i="7" s="1"/>
  <c r="X89" i="7" s="1"/>
  <c r="L112" i="7"/>
  <c r="L74" i="7"/>
  <c r="M74" i="7" s="1"/>
  <c r="N74" i="7" s="1"/>
  <c r="O74" i="7" s="1"/>
  <c r="S74" i="7" s="1"/>
  <c r="U74" i="7" s="1"/>
  <c r="X74" i="7" s="1"/>
  <c r="L87" i="7"/>
  <c r="M87" i="7" s="1"/>
  <c r="N87" i="7" s="1"/>
  <c r="O87" i="7" s="1"/>
  <c r="S87" i="7" s="1"/>
  <c r="U87" i="7" s="1"/>
  <c r="X87" i="7" s="1"/>
  <c r="L95" i="7"/>
  <c r="M95" i="7" s="1"/>
  <c r="N95" i="7" s="1"/>
  <c r="O95" i="7" s="1"/>
  <c r="S95" i="7" s="1"/>
  <c r="U95" i="7" s="1"/>
  <c r="X95" i="7" s="1"/>
  <c r="L99" i="7"/>
  <c r="M99" i="7" s="1"/>
  <c r="N99" i="7" s="1"/>
  <c r="O99" i="7" s="1"/>
  <c r="S99" i="7" s="1"/>
  <c r="U99" i="7" s="1"/>
  <c r="X99" i="7" s="1"/>
  <c r="L139" i="7"/>
  <c r="M139" i="7" s="1"/>
  <c r="N139" i="7" s="1"/>
  <c r="O139" i="7" s="1"/>
  <c r="S139" i="7" s="1"/>
  <c r="U139" i="7" s="1"/>
  <c r="X139" i="7" s="1"/>
  <c r="L143" i="7"/>
  <c r="L148" i="7"/>
  <c r="M148" i="7" s="1"/>
  <c r="N148" i="7" s="1"/>
  <c r="O148" i="7" s="1"/>
  <c r="S148" i="7" s="1"/>
  <c r="U148" i="7" s="1"/>
  <c r="X148" i="7" s="1"/>
  <c r="L56" i="7"/>
  <c r="L27" i="7"/>
  <c r="M27" i="7" s="1"/>
  <c r="N27" i="7" s="1"/>
  <c r="O27" i="7" s="1"/>
  <c r="E22" i="10" s="1"/>
  <c r="F22" i="10" s="1"/>
  <c r="G22" i="10" s="1"/>
  <c r="L43" i="7"/>
  <c r="L157" i="7"/>
  <c r="L162" i="7"/>
  <c r="M162" i="7" s="1"/>
  <c r="N162" i="7" s="1"/>
  <c r="O162" i="7" s="1"/>
  <c r="S162" i="7" s="1"/>
  <c r="U162" i="7" s="1"/>
  <c r="X162" i="7" s="1"/>
  <c r="L170" i="7"/>
  <c r="M170" i="7" s="1"/>
  <c r="N170" i="7" s="1"/>
  <c r="O170" i="7" s="1"/>
  <c r="S170" i="7" s="1"/>
  <c r="U170" i="7" s="1"/>
  <c r="X170" i="7" s="1"/>
  <c r="L174" i="7"/>
  <c r="M174" i="7" s="1"/>
  <c r="N174" i="7" s="1"/>
  <c r="O174" i="7" s="1"/>
  <c r="S174" i="7" s="1"/>
  <c r="U174" i="7" s="1"/>
  <c r="X174" i="7" s="1"/>
  <c r="L34" i="7"/>
  <c r="M34" i="7" s="1"/>
  <c r="N34" i="7" s="1"/>
  <c r="O34" i="7" s="1"/>
  <c r="S34" i="7" s="1"/>
  <c r="U34" i="7" s="1"/>
  <c r="L44" i="7"/>
  <c r="L54" i="7"/>
  <c r="L63" i="7"/>
  <c r="M63" i="7" s="1"/>
  <c r="N63" i="7" s="1"/>
  <c r="O63" i="7" s="1"/>
  <c r="S63" i="7" s="1"/>
  <c r="U63" i="7" s="1"/>
  <c r="X63" i="7" s="1"/>
  <c r="L67" i="7"/>
  <c r="L18" i="7"/>
  <c r="M18" i="7" s="1"/>
  <c r="N18" i="7" s="1"/>
  <c r="O18" i="7" s="1"/>
  <c r="S18" i="7" s="1"/>
  <c r="U18" i="7" s="1"/>
  <c r="L115" i="7"/>
  <c r="M115" i="7" s="1"/>
  <c r="N115" i="7" s="1"/>
  <c r="O115" i="7" s="1"/>
  <c r="S115" i="7" s="1"/>
  <c r="U115" i="7" s="1"/>
  <c r="X115" i="7" s="1"/>
  <c r="L119" i="7"/>
  <c r="M119" i="7" s="1"/>
  <c r="N119" i="7" s="1"/>
  <c r="O119" i="7" s="1"/>
  <c r="S119" i="7" s="1"/>
  <c r="U119" i="7" s="1"/>
  <c r="X119" i="7" s="1"/>
  <c r="L123" i="7"/>
  <c r="L127" i="7"/>
  <c r="L131" i="7"/>
  <c r="M131" i="7" s="1"/>
  <c r="N131" i="7" s="1"/>
  <c r="O131" i="7" s="1"/>
  <c r="S131" i="7" s="1"/>
  <c r="U131" i="7" s="1"/>
  <c r="X131" i="7" s="1"/>
  <c r="L135" i="7"/>
  <c r="L15" i="7"/>
  <c r="L40" i="7"/>
  <c r="L152" i="7"/>
  <c r="M152" i="7" s="1"/>
  <c r="N152" i="7" s="1"/>
  <c r="O152" i="7" s="1"/>
  <c r="S152" i="7" s="1"/>
  <c r="U152" i="7" s="1"/>
  <c r="L165" i="7"/>
  <c r="M165" i="7" s="1"/>
  <c r="N165" i="7" s="1"/>
  <c r="O165" i="7" s="1"/>
  <c r="S165" i="7" s="1"/>
  <c r="U165" i="7" s="1"/>
  <c r="X165" i="7" s="1"/>
  <c r="L7" i="7"/>
  <c r="M7" i="7" s="1"/>
  <c r="N7" i="7" s="1"/>
  <c r="O7" i="7" s="1"/>
  <c r="S7" i="7" s="1"/>
  <c r="U7" i="7" s="1"/>
  <c r="L13" i="7"/>
  <c r="M13" i="7" s="1"/>
  <c r="N13" i="7" s="1"/>
  <c r="O13" i="7" s="1"/>
  <c r="S13" i="7" s="1"/>
  <c r="U13" i="7" s="1"/>
  <c r="L30" i="7"/>
  <c r="M30" i="7" s="1"/>
  <c r="N30" i="7" s="1"/>
  <c r="O30" i="7" s="1"/>
  <c r="S30" i="7" s="1"/>
  <c r="U30" i="7" s="1"/>
  <c r="L50" i="7"/>
  <c r="M50" i="7" s="1"/>
  <c r="N50" i="7" s="1"/>
  <c r="O50" i="7" s="1"/>
  <c r="S50" i="7" s="1"/>
  <c r="U50" i="7" s="1"/>
  <c r="L59" i="7"/>
  <c r="M59" i="7" s="1"/>
  <c r="N59" i="7" s="1"/>
  <c r="O59" i="7" s="1"/>
  <c r="S59" i="7" s="1"/>
  <c r="U59" i="7" s="1"/>
  <c r="X59" i="7" s="1"/>
  <c r="L71" i="7"/>
  <c r="L80" i="7"/>
  <c r="L84" i="7"/>
  <c r="L92" i="7"/>
  <c r="L103" i="7"/>
  <c r="M103" i="7" s="1"/>
  <c r="N103" i="7" s="1"/>
  <c r="O103" i="7" s="1"/>
  <c r="S103" i="7" s="1"/>
  <c r="U103" i="7" s="1"/>
  <c r="X103" i="7" s="1"/>
  <c r="L107" i="7"/>
  <c r="M107" i="7" s="1"/>
  <c r="N107" i="7" s="1"/>
  <c r="O107" i="7" s="1"/>
  <c r="S107" i="7" s="1"/>
  <c r="U107" i="7" s="1"/>
  <c r="X107" i="7" s="1"/>
  <c r="L111" i="7"/>
  <c r="L11" i="7"/>
  <c r="L86" i="7"/>
  <c r="M86" i="7" s="1"/>
  <c r="N86" i="7" s="1"/>
  <c r="O86" i="7" s="1"/>
  <c r="S86" i="7" s="1"/>
  <c r="U86" i="7" s="1"/>
  <c r="X86" i="7" s="1"/>
  <c r="L94" i="7"/>
  <c r="M94" i="7" s="1"/>
  <c r="N94" i="7" s="1"/>
  <c r="O94" i="7" s="1"/>
  <c r="S94" i="7" s="1"/>
  <c r="U94" i="7" s="1"/>
  <c r="X94" i="7" s="1"/>
  <c r="L98" i="7"/>
  <c r="L138" i="7"/>
  <c r="L142" i="7"/>
  <c r="L146" i="7"/>
  <c r="L151" i="7"/>
  <c r="L26" i="7"/>
  <c r="M26" i="7" s="1"/>
  <c r="N26" i="7" s="1"/>
  <c r="O26" i="7" s="1"/>
  <c r="S26" i="7" s="1"/>
  <c r="U26" i="7" s="1"/>
  <c r="L42" i="7"/>
  <c r="L156" i="7"/>
  <c r="M156" i="7" s="1"/>
  <c r="N156" i="7" s="1"/>
  <c r="O156" i="7" s="1"/>
  <c r="S156" i="7" s="1"/>
  <c r="U156" i="7" s="1"/>
  <c r="X156" i="7" s="1"/>
  <c r="L161" i="7"/>
  <c r="L169" i="7"/>
  <c r="L173" i="7"/>
  <c r="M173" i="7" s="1"/>
  <c r="N173" i="7" s="1"/>
  <c r="O173" i="7" s="1"/>
  <c r="S173" i="7" s="1"/>
  <c r="U173" i="7" s="1"/>
  <c r="X173" i="7" s="1"/>
  <c r="L33" i="7"/>
  <c r="L37" i="7"/>
  <c r="M37" i="7" s="1"/>
  <c r="N37" i="7" s="1"/>
  <c r="O37" i="7" s="1"/>
  <c r="S37" i="7" s="1"/>
  <c r="U37" i="7" s="1"/>
  <c r="L53" i="7"/>
  <c r="L62" i="7"/>
  <c r="M62" i="7" s="1"/>
  <c r="N62" i="7" s="1"/>
  <c r="O62" i="7" s="1"/>
  <c r="S62" i="7" s="1"/>
  <c r="U62" i="7" s="1"/>
  <c r="X62" i="7" s="1"/>
  <c r="L66" i="7"/>
  <c r="M66" i="7" s="1"/>
  <c r="N66" i="7" s="1"/>
  <c r="O66" i="7" s="1"/>
  <c r="S66" i="7" s="1"/>
  <c r="U66" i="7" s="1"/>
  <c r="X66" i="7" s="1"/>
  <c r="L17" i="7"/>
  <c r="L25" i="7"/>
  <c r="M25" i="7" s="1"/>
  <c r="N25" i="7" s="1"/>
  <c r="O25" i="7" s="1"/>
  <c r="S25" i="7" s="1"/>
  <c r="U25" i="7" s="1"/>
  <c r="L118" i="7"/>
  <c r="L122" i="7"/>
  <c r="L126" i="7"/>
  <c r="L130" i="7"/>
  <c r="L134" i="7"/>
  <c r="L12" i="7"/>
  <c r="M12" i="7" s="1"/>
  <c r="N12" i="7" s="1"/>
  <c r="O12" i="7" s="1"/>
  <c r="E16" i="10" s="1"/>
  <c r="F16" i="10" s="1"/>
  <c r="L29" i="7"/>
  <c r="L46" i="7"/>
  <c r="M46" i="7" s="1"/>
  <c r="N46" i="7" s="1"/>
  <c r="O46" i="7" s="1"/>
  <c r="E32" i="10" s="1"/>
  <c r="F32" i="10" s="1"/>
  <c r="L164" i="7"/>
  <c r="M164" i="7" s="1"/>
  <c r="N164" i="7" s="1"/>
  <c r="O164" i="7" s="1"/>
  <c r="S164" i="7" s="1"/>
  <c r="U164" i="7" s="1"/>
  <c r="X164" i="7" s="1"/>
  <c r="L6" i="7"/>
  <c r="M6" i="7" s="1"/>
  <c r="N6" i="7" s="1"/>
  <c r="O6" i="7" s="1"/>
  <c r="S6" i="7" s="1"/>
  <c r="U6" i="7" s="1"/>
  <c r="L10" i="7"/>
  <c r="M10" i="7" s="1"/>
  <c r="N10" i="7" s="1"/>
  <c r="O10" i="7" s="1"/>
  <c r="S10" i="7" s="1"/>
  <c r="U10" i="7" s="1"/>
  <c r="L22" i="7"/>
  <c r="M22" i="7" s="1"/>
  <c r="N22" i="7" s="1"/>
  <c r="O22" i="7" s="1"/>
  <c r="S22" i="7" s="1"/>
  <c r="U22" i="7" s="1"/>
  <c r="L49" i="7"/>
  <c r="L58" i="7"/>
  <c r="M58" i="7" s="1"/>
  <c r="N58" i="7" s="1"/>
  <c r="O58" i="7" s="1"/>
  <c r="S58" i="7" s="1"/>
  <c r="U58" i="7" s="1"/>
  <c r="X58" i="7" s="1"/>
  <c r="L70" i="7"/>
  <c r="L78" i="7"/>
  <c r="M78" i="7" s="1"/>
  <c r="N78" i="7" s="1"/>
  <c r="L83" i="7"/>
  <c r="M83" i="7" s="1"/>
  <c r="N83" i="7" s="1"/>
  <c r="O83" i="7" s="1"/>
  <c r="S83" i="7" s="1"/>
  <c r="U83" i="7" s="1"/>
  <c r="X83" i="7" s="1"/>
  <c r="L91" i="7"/>
  <c r="L102" i="7"/>
  <c r="L106" i="7"/>
  <c r="L110" i="7"/>
  <c r="L114" i="7"/>
  <c r="M114" i="7" s="1"/>
  <c r="N114" i="7" s="1"/>
  <c r="O114" i="7" s="1"/>
  <c r="S114" i="7" s="1"/>
  <c r="U114" i="7" s="1"/>
  <c r="X114" i="7" s="1"/>
  <c r="L159" i="7"/>
  <c r="L75" i="7"/>
  <c r="L88" i="7"/>
  <c r="L96" i="7"/>
  <c r="L140" i="7"/>
  <c r="M140" i="7" s="1"/>
  <c r="N140" i="7" s="1"/>
  <c r="O140" i="7" s="1"/>
  <c r="S140" i="7" s="1"/>
  <c r="U140" i="7" s="1"/>
  <c r="X140" i="7" s="1"/>
  <c r="L144" i="7"/>
  <c r="L149" i="7"/>
  <c r="L28" i="7"/>
  <c r="M28" i="7" s="1"/>
  <c r="N28" i="7" s="1"/>
  <c r="O28" i="7" s="1"/>
  <c r="S28" i="7" s="1"/>
  <c r="U28" i="7" s="1"/>
  <c r="L45" i="7"/>
  <c r="M45" i="7" s="1"/>
  <c r="N45" i="7" s="1"/>
  <c r="O45" i="7" s="1"/>
  <c r="E31" i="10" s="1"/>
  <c r="F31" i="10" s="1"/>
  <c r="G31" i="10" s="1"/>
  <c r="L171" i="7"/>
  <c r="M171" i="7" s="1"/>
  <c r="N171" i="7" s="1"/>
  <c r="O171" i="7" s="1"/>
  <c r="S171" i="7" s="1"/>
  <c r="U171" i="7" s="1"/>
  <c r="X171" i="7" s="1"/>
  <c r="L31" i="7"/>
  <c r="L179" i="7" s="1"/>
  <c r="L51" i="7"/>
  <c r="M51" i="7" s="1"/>
  <c r="N51" i="7" s="1"/>
  <c r="O51" i="7" s="1"/>
  <c r="S51" i="7" s="1"/>
  <c r="U51" i="7" s="1"/>
  <c r="L64" i="7"/>
  <c r="M64" i="7" s="1"/>
  <c r="N64" i="7" s="1"/>
  <c r="O64" i="7" s="1"/>
  <c r="S64" i="7" s="1"/>
  <c r="U64" i="7" s="1"/>
  <c r="X64" i="7" s="1"/>
  <c r="L116" i="7"/>
  <c r="L120" i="7"/>
  <c r="L132" i="7"/>
  <c r="M132" i="7" s="1"/>
  <c r="N132" i="7" s="1"/>
  <c r="O132" i="7" s="1"/>
  <c r="S132" i="7" s="1"/>
  <c r="U132" i="7" s="1"/>
  <c r="X132" i="7" s="1"/>
  <c r="L16" i="7"/>
  <c r="M16" i="7" s="1"/>
  <c r="N16" i="7" s="1"/>
  <c r="O16" i="7" s="1"/>
  <c r="S16" i="7" s="1"/>
  <c r="U16" i="7" s="1"/>
  <c r="L153" i="7"/>
  <c r="L14" i="7"/>
  <c r="M14" i="7" s="1"/>
  <c r="N14" i="7" s="1"/>
  <c r="O14" i="7" s="1"/>
  <c r="S14" i="7" s="1"/>
  <c r="U14" i="7" s="1"/>
  <c r="L68" i="7"/>
  <c r="M68" i="7" s="1"/>
  <c r="N68" i="7" s="1"/>
  <c r="O68" i="7" s="1"/>
  <c r="S68" i="7" s="1"/>
  <c r="U68" i="7" s="1"/>
  <c r="X68" i="7" s="1"/>
  <c r="L81" i="7"/>
  <c r="M81" i="7" s="1"/>
  <c r="N81" i="7" s="1"/>
  <c r="O81" i="7" s="1"/>
  <c r="S81" i="7" s="1"/>
  <c r="U81" i="7" s="1"/>
  <c r="X81" i="7" s="1"/>
  <c r="L100" i="7"/>
  <c r="L108" i="7"/>
  <c r="D42" i="13"/>
  <c r="C42" i="13"/>
  <c r="C43" i="13"/>
  <c r="J26" i="13"/>
  <c r="C24" i="13"/>
  <c r="D25" i="13"/>
  <c r="J38" i="13"/>
  <c r="J25" i="13"/>
  <c r="D43" i="13"/>
  <c r="D34" i="13"/>
  <c r="R164" i="7"/>
  <c r="R21" i="7"/>
  <c r="AB26" i="7"/>
  <c r="R100" i="7"/>
  <c r="R113" i="7"/>
  <c r="R78" i="7"/>
  <c r="R166" i="7"/>
  <c r="R53" i="7"/>
  <c r="R93" i="7"/>
  <c r="R143" i="7"/>
  <c r="R155" i="7"/>
  <c r="R114" i="7"/>
  <c r="J24" i="13"/>
  <c r="T13" i="10"/>
  <c r="R62" i="7"/>
  <c r="R127" i="7"/>
  <c r="R23" i="7"/>
  <c r="R84" i="7"/>
  <c r="R149" i="7"/>
  <c r="R28" i="7"/>
  <c r="R151" i="7"/>
  <c r="R145" i="7"/>
  <c r="R60" i="7"/>
  <c r="R49" i="7"/>
  <c r="R172" i="7"/>
  <c r="R159" i="7"/>
  <c r="R14" i="7"/>
  <c r="R95" i="7"/>
  <c r="R161" i="7"/>
  <c r="R51" i="7"/>
  <c r="R116" i="7"/>
  <c r="R86" i="7"/>
  <c r="R90" i="7"/>
  <c r="R81" i="7"/>
  <c r="R125" i="7"/>
  <c r="R44" i="7"/>
  <c r="R111" i="7"/>
  <c r="R4" i="7"/>
  <c r="R67" i="7"/>
  <c r="R132" i="7"/>
  <c r="R118" i="7"/>
  <c r="R7" i="7"/>
  <c r="R48" i="7"/>
  <c r="R10" i="7"/>
  <c r="R158" i="7"/>
  <c r="R42" i="7"/>
  <c r="R30" i="7"/>
  <c r="R54" i="7"/>
  <c r="R70" i="7"/>
  <c r="R87" i="7"/>
  <c r="R103" i="7"/>
  <c r="R119" i="7"/>
  <c r="R135" i="7"/>
  <c r="R152" i="7"/>
  <c r="R169" i="7"/>
  <c r="R9" i="7"/>
  <c r="R35" i="7"/>
  <c r="R59" i="7"/>
  <c r="R75" i="7"/>
  <c r="R92" i="7"/>
  <c r="R108" i="7"/>
  <c r="R124" i="7"/>
  <c r="R140" i="7"/>
  <c r="R157" i="7"/>
  <c r="R174" i="7"/>
  <c r="R25" i="7"/>
  <c r="R69" i="7"/>
  <c r="R102" i="7"/>
  <c r="R134" i="7"/>
  <c r="R168" i="7"/>
  <c r="R122" i="7"/>
  <c r="R57" i="7"/>
  <c r="R163" i="7"/>
  <c r="R129" i="7"/>
  <c r="R97" i="7"/>
  <c r="R64" i="7"/>
  <c r="R18" i="7"/>
  <c r="R36" i="7"/>
  <c r="R76" i="7"/>
  <c r="R109" i="7"/>
  <c r="R141" i="7"/>
  <c r="R11" i="7"/>
  <c r="R82" i="7"/>
  <c r="R146" i="7"/>
  <c r="R15" i="7"/>
  <c r="R20" i="7"/>
  <c r="R50" i="7"/>
  <c r="R66" i="7"/>
  <c r="R83" i="7"/>
  <c r="R99" i="7"/>
  <c r="R115" i="7"/>
  <c r="R131" i="7"/>
  <c r="R148" i="7"/>
  <c r="R165" i="7"/>
  <c r="R45" i="7"/>
  <c r="R31" i="7"/>
  <c r="R55" i="7"/>
  <c r="R71" i="7"/>
  <c r="R88" i="7"/>
  <c r="R104" i="7"/>
  <c r="R120" i="7"/>
  <c r="R136" i="7"/>
  <c r="R153" i="7"/>
  <c r="R170" i="7"/>
  <c r="R171" i="7"/>
  <c r="R13" i="7"/>
  <c r="R61" i="7"/>
  <c r="R94" i="7"/>
  <c r="R126" i="7"/>
  <c r="R160" i="7"/>
  <c r="R138" i="7"/>
  <c r="R73" i="7"/>
  <c r="R175" i="7"/>
  <c r="R137" i="7"/>
  <c r="R105" i="7"/>
  <c r="R72" i="7"/>
  <c r="R32" i="7"/>
  <c r="R22" i="7"/>
  <c r="R68" i="7"/>
  <c r="R101" i="7"/>
  <c r="R133" i="7"/>
  <c r="R167" i="7"/>
  <c r="R65" i="7"/>
  <c r="R130" i="7"/>
  <c r="AE7" i="7"/>
  <c r="J53" i="13" s="1"/>
  <c r="R39" i="7"/>
  <c r="AE6" i="7" s="1"/>
  <c r="R8" i="7"/>
  <c r="R34" i="7"/>
  <c r="R58" i="7"/>
  <c r="R74" i="7"/>
  <c r="R91" i="7"/>
  <c r="R107" i="7"/>
  <c r="R123" i="7"/>
  <c r="R139" i="7"/>
  <c r="R156" i="7"/>
  <c r="R173" i="7"/>
  <c r="R17" i="7"/>
  <c r="R47" i="7"/>
  <c r="R63" i="7"/>
  <c r="R80" i="7"/>
  <c r="R96" i="7"/>
  <c r="R112" i="7"/>
  <c r="R128" i="7"/>
  <c r="R144" i="7"/>
  <c r="R162" i="7"/>
  <c r="AB7" i="7"/>
  <c r="H53" i="13" s="1"/>
  <c r="R37" i="7"/>
  <c r="R77" i="7"/>
  <c r="R110" i="7"/>
  <c r="R142" i="7"/>
  <c r="R176" i="7"/>
  <c r="R106" i="7"/>
  <c r="R33" i="7"/>
  <c r="R154" i="7"/>
  <c r="R121" i="7"/>
  <c r="R89" i="7"/>
  <c r="R56" i="7"/>
  <c r="R6" i="7"/>
  <c r="R26" i="7"/>
  <c r="R52" i="7"/>
  <c r="R85" i="7"/>
  <c r="R117" i="7"/>
  <c r="R150" i="7"/>
  <c r="R19" i="7"/>
  <c r="R98" i="7"/>
  <c r="M96" i="7" l="1"/>
  <c r="N96" i="7" s="1"/>
  <c r="O96" i="7" s="1"/>
  <c r="S96" i="7" s="1"/>
  <c r="U96" i="7" s="1"/>
  <c r="X96" i="7" s="1"/>
  <c r="M33" i="7"/>
  <c r="M180" i="7" s="1"/>
  <c r="M8" i="7"/>
  <c r="N8" i="7" s="1"/>
  <c r="O8" i="7" s="1"/>
  <c r="S8" i="7" s="1"/>
  <c r="U8" i="7" s="1"/>
  <c r="M47" i="7"/>
  <c r="N47" i="7" s="1"/>
  <c r="O47" i="7" s="1"/>
  <c r="S47" i="7" s="1"/>
  <c r="U47" i="7" s="1"/>
  <c r="M36" i="7"/>
  <c r="N36" i="7" s="1"/>
  <c r="O36" i="7" s="1"/>
  <c r="S36" i="7" s="1"/>
  <c r="U36" i="7" s="1"/>
  <c r="M97" i="7"/>
  <c r="N97" i="7" s="1"/>
  <c r="O97" i="7" s="1"/>
  <c r="S97" i="7" s="1"/>
  <c r="U97" i="7" s="1"/>
  <c r="X97" i="7" s="1"/>
  <c r="M49" i="7"/>
  <c r="N49" i="7" s="1"/>
  <c r="O49" i="7" s="1"/>
  <c r="S49" i="7" s="1"/>
  <c r="U49" i="7" s="1"/>
  <c r="M56" i="7"/>
  <c r="N56" i="7" s="1"/>
  <c r="O56" i="7" s="1"/>
  <c r="S56" i="7" s="1"/>
  <c r="U56" i="7" s="1"/>
  <c r="M53" i="7"/>
  <c r="N53" i="7" s="1"/>
  <c r="O53" i="7" s="1"/>
  <c r="S53" i="7" s="1"/>
  <c r="U53" i="7" s="1"/>
  <c r="M11" i="7"/>
  <c r="N11" i="7" s="1"/>
  <c r="O11" i="7" s="1"/>
  <c r="E15" i="10" s="1"/>
  <c r="F15" i="10" s="1"/>
  <c r="G15" i="10" s="1"/>
  <c r="M92" i="7"/>
  <c r="N92" i="7" s="1"/>
  <c r="O92" i="7" s="1"/>
  <c r="S92" i="7" s="1"/>
  <c r="U92" i="7" s="1"/>
  <c r="X92" i="7" s="1"/>
  <c r="M82" i="7"/>
  <c r="N82" i="7" s="1"/>
  <c r="O82" i="7" s="1"/>
  <c r="S82" i="7" s="1"/>
  <c r="U82" i="7" s="1"/>
  <c r="X82" i="7" s="1"/>
  <c r="M133" i="7"/>
  <c r="N133" i="7" s="1"/>
  <c r="O133" i="7" s="1"/>
  <c r="S133" i="7" s="1"/>
  <c r="U133" i="7" s="1"/>
  <c r="X133" i="7" s="1"/>
  <c r="O78" i="7"/>
  <c r="S78" i="7" s="1"/>
  <c r="U78" i="7" s="1"/>
  <c r="X78" i="7" s="1"/>
  <c r="M29" i="7"/>
  <c r="N29" i="7" s="1"/>
  <c r="O29" i="7" s="1"/>
  <c r="E24" i="10" s="1"/>
  <c r="F24" i="10" s="1"/>
  <c r="G24" i="10" s="1"/>
  <c r="M24" i="7"/>
  <c r="N24" i="7" s="1"/>
  <c r="O24" i="7" s="1"/>
  <c r="S24" i="7" s="1"/>
  <c r="U24" i="7" s="1"/>
  <c r="M120" i="7"/>
  <c r="N120" i="7" s="1"/>
  <c r="O120" i="7" s="1"/>
  <c r="S120" i="7" s="1"/>
  <c r="U120" i="7" s="1"/>
  <c r="X120" i="7" s="1"/>
  <c r="M159" i="7"/>
  <c r="N159" i="7" s="1"/>
  <c r="O159" i="7" s="1"/>
  <c r="S159" i="7" s="1"/>
  <c r="U159" i="7" s="1"/>
  <c r="X159" i="7" s="1"/>
  <c r="M102" i="7"/>
  <c r="N102" i="7" s="1"/>
  <c r="O102" i="7" s="1"/>
  <c r="S102" i="7" s="1"/>
  <c r="U102" i="7" s="1"/>
  <c r="X102" i="7" s="1"/>
  <c r="M70" i="7"/>
  <c r="N70" i="7" s="1"/>
  <c r="O70" i="7" s="1"/>
  <c r="S70" i="7" s="1"/>
  <c r="U70" i="7" s="1"/>
  <c r="X70" i="7" s="1"/>
  <c r="M126" i="7"/>
  <c r="N126" i="7" s="1"/>
  <c r="O126" i="7" s="1"/>
  <c r="S126" i="7" s="1"/>
  <c r="U126" i="7" s="1"/>
  <c r="X126" i="7" s="1"/>
  <c r="M118" i="7"/>
  <c r="N118" i="7" s="1"/>
  <c r="O118" i="7" s="1"/>
  <c r="S118" i="7" s="1"/>
  <c r="U118" i="7" s="1"/>
  <c r="X118" i="7" s="1"/>
  <c r="M17" i="7"/>
  <c r="N17" i="7" s="1"/>
  <c r="O17" i="7" s="1"/>
  <c r="S17" i="7" s="1"/>
  <c r="U17" i="7" s="1"/>
  <c r="M42" i="7"/>
  <c r="N42" i="7" s="1"/>
  <c r="O42" i="7" s="1"/>
  <c r="S42" i="7" s="1"/>
  <c r="U42" i="7" s="1"/>
  <c r="M151" i="7"/>
  <c r="N151" i="7" s="1"/>
  <c r="O151" i="7" s="1"/>
  <c r="S151" i="7" s="1"/>
  <c r="U151" i="7" s="1"/>
  <c r="X151" i="7" s="1"/>
  <c r="M142" i="7"/>
  <c r="N142" i="7" s="1"/>
  <c r="O142" i="7" s="1"/>
  <c r="S142" i="7" s="1"/>
  <c r="U142" i="7" s="1"/>
  <c r="X142" i="7" s="1"/>
  <c r="M111" i="7"/>
  <c r="N111" i="7" s="1"/>
  <c r="O111" i="7" s="1"/>
  <c r="S111" i="7" s="1"/>
  <c r="U111" i="7" s="1"/>
  <c r="X111" i="7" s="1"/>
  <c r="M84" i="7"/>
  <c r="N84" i="7" s="1"/>
  <c r="O84" i="7" s="1"/>
  <c r="S84" i="7" s="1"/>
  <c r="U84" i="7" s="1"/>
  <c r="X84" i="7" s="1"/>
  <c r="M71" i="7"/>
  <c r="N71" i="7" s="1"/>
  <c r="O71" i="7" s="1"/>
  <c r="S71" i="7" s="1"/>
  <c r="U71" i="7" s="1"/>
  <c r="X71" i="7" s="1"/>
  <c r="M40" i="7"/>
  <c r="N40" i="7" s="1"/>
  <c r="O40" i="7" s="1"/>
  <c r="E26" i="10" s="1"/>
  <c r="F26" i="10" s="1"/>
  <c r="G26" i="10" s="1"/>
  <c r="M135" i="7"/>
  <c r="N135" i="7" s="1"/>
  <c r="O135" i="7" s="1"/>
  <c r="S135" i="7" s="1"/>
  <c r="U135" i="7" s="1"/>
  <c r="X135" i="7" s="1"/>
  <c r="M44" i="7"/>
  <c r="N44" i="7" s="1"/>
  <c r="O44" i="7" s="1"/>
  <c r="S44" i="7" s="1"/>
  <c r="U44" i="7" s="1"/>
  <c r="M43" i="7"/>
  <c r="N43" i="7" s="1"/>
  <c r="O43" i="7" s="1"/>
  <c r="S43" i="7" s="1"/>
  <c r="U43" i="7" s="1"/>
  <c r="M143" i="7"/>
  <c r="N143" i="7" s="1"/>
  <c r="O143" i="7" s="1"/>
  <c r="S143" i="7" s="1"/>
  <c r="U143" i="7" s="1"/>
  <c r="X143" i="7" s="1"/>
  <c r="M112" i="7"/>
  <c r="N112" i="7" s="1"/>
  <c r="O112" i="7" s="1"/>
  <c r="S112" i="7" s="1"/>
  <c r="U112" i="7" s="1"/>
  <c r="X112" i="7" s="1"/>
  <c r="M41" i="7"/>
  <c r="N41" i="7" s="1"/>
  <c r="O41" i="7" s="1"/>
  <c r="S41" i="7" s="1"/>
  <c r="U41" i="7" s="1"/>
  <c r="M19" i="7"/>
  <c r="N19" i="7" s="1"/>
  <c r="O19" i="7" s="1"/>
  <c r="S19" i="7" s="1"/>
  <c r="U19" i="7" s="1"/>
  <c r="M163" i="7"/>
  <c r="N163" i="7" s="1"/>
  <c r="O163" i="7" s="1"/>
  <c r="S163" i="7" s="1"/>
  <c r="U163" i="7" s="1"/>
  <c r="X163" i="7" s="1"/>
  <c r="M90" i="7"/>
  <c r="N90" i="7" s="1"/>
  <c r="O90" i="7" s="1"/>
  <c r="S90" i="7" s="1"/>
  <c r="U90" i="7" s="1"/>
  <c r="X90" i="7" s="1"/>
  <c r="M77" i="7"/>
  <c r="N77" i="7" s="1"/>
  <c r="O77" i="7" s="1"/>
  <c r="S77" i="7" s="1"/>
  <c r="U77" i="7" s="1"/>
  <c r="X77" i="7" s="1"/>
  <c r="M5" i="7"/>
  <c r="N5" i="7" s="1"/>
  <c r="O5" i="7" s="1"/>
  <c r="E14" i="10" s="1"/>
  <c r="F14" i="10" s="1"/>
  <c r="G14" i="10" s="1"/>
  <c r="M121" i="7"/>
  <c r="N121" i="7" s="1"/>
  <c r="O121" i="7" s="1"/>
  <c r="S121" i="7" s="1"/>
  <c r="U121" i="7" s="1"/>
  <c r="X121" i="7" s="1"/>
  <c r="M20" i="7"/>
  <c r="N20" i="7" s="1"/>
  <c r="M137" i="7"/>
  <c r="N137" i="7" s="1"/>
  <c r="O137" i="7" s="1"/>
  <c r="S137" i="7" s="1"/>
  <c r="U137" i="7" s="1"/>
  <c r="X137" i="7" s="1"/>
  <c r="M91" i="7"/>
  <c r="N91" i="7" s="1"/>
  <c r="O91" i="7" s="1"/>
  <c r="S91" i="7" s="1"/>
  <c r="U91" i="7" s="1"/>
  <c r="X91" i="7" s="1"/>
  <c r="M39" i="7"/>
  <c r="N39" i="7" s="1"/>
  <c r="O39" i="7" s="1"/>
  <c r="S39" i="7" s="1"/>
  <c r="U39" i="7" s="1"/>
  <c r="M122" i="7"/>
  <c r="N122" i="7" s="1"/>
  <c r="O122" i="7" s="1"/>
  <c r="S122" i="7" s="1"/>
  <c r="U122" i="7" s="1"/>
  <c r="X122" i="7" s="1"/>
  <c r="M72" i="7"/>
  <c r="N72" i="7" s="1"/>
  <c r="O72" i="7" s="1"/>
  <c r="S72" i="7" s="1"/>
  <c r="U72" i="7" s="1"/>
  <c r="X72" i="7" s="1"/>
  <c r="M127" i="7"/>
  <c r="N127" i="7" s="1"/>
  <c r="O127" i="7" s="1"/>
  <c r="S127" i="7" s="1"/>
  <c r="U127" i="7" s="1"/>
  <c r="X127" i="7" s="1"/>
  <c r="M69" i="7"/>
  <c r="N69" i="7" s="1"/>
  <c r="O69" i="7" s="1"/>
  <c r="S69" i="7" s="1"/>
  <c r="U69" i="7" s="1"/>
  <c r="X69" i="7" s="1"/>
  <c r="M23" i="7"/>
  <c r="N23" i="7" s="1"/>
  <c r="O23" i="7" s="1"/>
  <c r="E19" i="10" s="1"/>
  <c r="F19" i="10" s="1"/>
  <c r="G19" i="10" s="1"/>
  <c r="M145" i="7"/>
  <c r="N145" i="7" s="1"/>
  <c r="O145" i="7" s="1"/>
  <c r="S145" i="7" s="1"/>
  <c r="U145" i="7" s="1"/>
  <c r="X145" i="7" s="1"/>
  <c r="M144" i="7"/>
  <c r="N144" i="7" s="1"/>
  <c r="O144" i="7" s="1"/>
  <c r="S144" i="7" s="1"/>
  <c r="U144" i="7" s="1"/>
  <c r="X144" i="7" s="1"/>
  <c r="M157" i="7"/>
  <c r="N157" i="7" s="1"/>
  <c r="O157" i="7" s="1"/>
  <c r="S157" i="7" s="1"/>
  <c r="U157" i="7" s="1"/>
  <c r="X157" i="7" s="1"/>
  <c r="M109" i="7"/>
  <c r="N109" i="7" s="1"/>
  <c r="O109" i="7" s="1"/>
  <c r="S109" i="7" s="1"/>
  <c r="U109" i="7" s="1"/>
  <c r="X109" i="7" s="1"/>
  <c r="M108" i="7"/>
  <c r="N108" i="7" s="1"/>
  <c r="O108" i="7" s="1"/>
  <c r="S108" i="7" s="1"/>
  <c r="U108" i="7" s="1"/>
  <c r="X108" i="7" s="1"/>
  <c r="M149" i="7"/>
  <c r="N149" i="7" s="1"/>
  <c r="O149" i="7" s="1"/>
  <c r="S149" i="7" s="1"/>
  <c r="U149" i="7" s="1"/>
  <c r="X149" i="7" s="1"/>
  <c r="M134" i="7"/>
  <c r="N134" i="7" s="1"/>
  <c r="O134" i="7" s="1"/>
  <c r="S134" i="7" s="1"/>
  <c r="U134" i="7" s="1"/>
  <c r="X134" i="7" s="1"/>
  <c r="M166" i="7"/>
  <c r="N166" i="7" s="1"/>
  <c r="O166" i="7" s="1"/>
  <c r="S166" i="7" s="1"/>
  <c r="U166" i="7" s="1"/>
  <c r="X166" i="7" s="1"/>
  <c r="M57" i="7"/>
  <c r="N57" i="7" s="1"/>
  <c r="O57" i="7" s="1"/>
  <c r="S57" i="7" s="1"/>
  <c r="U57" i="7" s="1"/>
  <c r="X57" i="7" s="1"/>
  <c r="M65" i="7"/>
  <c r="N65" i="7" s="1"/>
  <c r="O65" i="7" s="1"/>
  <c r="S65" i="7" s="1"/>
  <c r="U65" i="7" s="1"/>
  <c r="X65" i="7" s="1"/>
  <c r="M93" i="7"/>
  <c r="N93" i="7" s="1"/>
  <c r="O93" i="7" s="1"/>
  <c r="S93" i="7" s="1"/>
  <c r="U93" i="7" s="1"/>
  <c r="X93" i="7" s="1"/>
  <c r="M100" i="7"/>
  <c r="N100" i="7" s="1"/>
  <c r="O100" i="7" s="1"/>
  <c r="S100" i="7" s="1"/>
  <c r="U100" i="7" s="1"/>
  <c r="X100" i="7" s="1"/>
  <c r="M116" i="7"/>
  <c r="N116" i="7" s="1"/>
  <c r="O116" i="7" s="1"/>
  <c r="S116" i="7" s="1"/>
  <c r="U116" i="7" s="1"/>
  <c r="X116" i="7" s="1"/>
  <c r="M75" i="7"/>
  <c r="N75" i="7" s="1"/>
  <c r="O75" i="7" s="1"/>
  <c r="S75" i="7" s="1"/>
  <c r="U75" i="7" s="1"/>
  <c r="X75" i="7" s="1"/>
  <c r="M106" i="7"/>
  <c r="N106" i="7" s="1"/>
  <c r="O106" i="7" s="1"/>
  <c r="S106" i="7" s="1"/>
  <c r="U106" i="7" s="1"/>
  <c r="X106" i="7" s="1"/>
  <c r="M130" i="7"/>
  <c r="N130" i="7" s="1"/>
  <c r="O130" i="7" s="1"/>
  <c r="S130" i="7" s="1"/>
  <c r="U130" i="7" s="1"/>
  <c r="X130" i="7" s="1"/>
  <c r="M67" i="7"/>
  <c r="N67" i="7" s="1"/>
  <c r="O67" i="7" s="1"/>
  <c r="S67" i="7" s="1"/>
  <c r="U67" i="7" s="1"/>
  <c r="X67" i="7" s="1"/>
  <c r="M158" i="7"/>
  <c r="N158" i="7" s="1"/>
  <c r="O158" i="7" s="1"/>
  <c r="S158" i="7" s="1"/>
  <c r="U158" i="7" s="1"/>
  <c r="X158" i="7" s="1"/>
  <c r="M161" i="7"/>
  <c r="N161" i="7" s="1"/>
  <c r="O161" i="7" s="1"/>
  <c r="S161" i="7" s="1"/>
  <c r="U161" i="7" s="1"/>
  <c r="X161" i="7" s="1"/>
  <c r="M98" i="7"/>
  <c r="N98" i="7" s="1"/>
  <c r="O98" i="7" s="1"/>
  <c r="S98" i="7" s="1"/>
  <c r="U98" i="7" s="1"/>
  <c r="X98" i="7" s="1"/>
  <c r="M129" i="7"/>
  <c r="N129" i="7" s="1"/>
  <c r="O129" i="7" s="1"/>
  <c r="S129" i="7" s="1"/>
  <c r="U129" i="7" s="1"/>
  <c r="X129" i="7" s="1"/>
  <c r="M52" i="7"/>
  <c r="N52" i="7" s="1"/>
  <c r="O52" i="7" s="1"/>
  <c r="S52" i="7" s="1"/>
  <c r="U52" i="7" s="1"/>
  <c r="M54" i="7"/>
  <c r="N54" i="7" s="1"/>
  <c r="O54" i="7" s="1"/>
  <c r="S54" i="7" s="1"/>
  <c r="U54" i="7" s="1"/>
  <c r="M160" i="7"/>
  <c r="N160" i="7" s="1"/>
  <c r="O160" i="7" s="1"/>
  <c r="S160" i="7" s="1"/>
  <c r="U160" i="7" s="1"/>
  <c r="X160" i="7" s="1"/>
  <c r="E20" i="10"/>
  <c r="F20" i="10" s="1"/>
  <c r="G20" i="10" s="1"/>
  <c r="M80" i="7"/>
  <c r="N80" i="7" s="1"/>
  <c r="M88" i="7"/>
  <c r="N88" i="7" s="1"/>
  <c r="O88" i="7" s="1"/>
  <c r="S88" i="7" s="1"/>
  <c r="U88" i="7" s="1"/>
  <c r="X88" i="7" s="1"/>
  <c r="M110" i="7"/>
  <c r="N110" i="7" s="1"/>
  <c r="O110" i="7" s="1"/>
  <c r="S110" i="7" s="1"/>
  <c r="U110" i="7" s="1"/>
  <c r="X110" i="7" s="1"/>
  <c r="M146" i="7"/>
  <c r="N146" i="7" s="1"/>
  <c r="O146" i="7" s="1"/>
  <c r="S146" i="7" s="1"/>
  <c r="U146" i="7" s="1"/>
  <c r="X146" i="7" s="1"/>
  <c r="M169" i="7"/>
  <c r="N169" i="7" s="1"/>
  <c r="O169" i="7" s="1"/>
  <c r="S169" i="7" s="1"/>
  <c r="U169" i="7" s="1"/>
  <c r="X169" i="7" s="1"/>
  <c r="M138" i="7"/>
  <c r="N138" i="7" s="1"/>
  <c r="O138" i="7" s="1"/>
  <c r="S138" i="7" s="1"/>
  <c r="U138" i="7" s="1"/>
  <c r="X138" i="7" s="1"/>
  <c r="M15" i="7"/>
  <c r="N15" i="7" s="1"/>
  <c r="O15" i="7" s="1"/>
  <c r="S15" i="7" s="1"/>
  <c r="U15" i="7" s="1"/>
  <c r="M123" i="7"/>
  <c r="N123" i="7" s="1"/>
  <c r="O123" i="7" s="1"/>
  <c r="S123" i="7" s="1"/>
  <c r="U123" i="7" s="1"/>
  <c r="X123" i="7" s="1"/>
  <c r="M48" i="7"/>
  <c r="N48" i="7" s="1"/>
  <c r="O48" i="7" s="1"/>
  <c r="S48" i="7" s="1"/>
  <c r="U48" i="7" s="1"/>
  <c r="M154" i="7"/>
  <c r="N154" i="7" s="1"/>
  <c r="O154" i="7" s="1"/>
  <c r="S154" i="7" s="1"/>
  <c r="U154" i="7" s="1"/>
  <c r="X154" i="7" s="1"/>
  <c r="M61" i="7"/>
  <c r="N61" i="7" s="1"/>
  <c r="O61" i="7" s="1"/>
  <c r="S61" i="7" s="1"/>
  <c r="U61" i="7" s="1"/>
  <c r="X61" i="7" s="1"/>
  <c r="M38" i="7"/>
  <c r="N38" i="7" s="1"/>
  <c r="O38" i="7" s="1"/>
  <c r="S38" i="7" s="1"/>
  <c r="U38" i="7" s="1"/>
  <c r="M85" i="7"/>
  <c r="N85" i="7" s="1"/>
  <c r="O85" i="7" s="1"/>
  <c r="S85" i="7" s="1"/>
  <c r="U85" i="7" s="1"/>
  <c r="X85" i="7" s="1"/>
  <c r="L178" i="7"/>
  <c r="S21" i="7"/>
  <c r="U21" i="7" s="1"/>
  <c r="S4" i="7"/>
  <c r="U4" i="7" s="1"/>
  <c r="M31" i="7"/>
  <c r="M179" i="7" s="1"/>
  <c r="E18" i="10"/>
  <c r="F18" i="10" s="1"/>
  <c r="G18" i="10" s="1"/>
  <c r="S45" i="7"/>
  <c r="U45" i="7" s="1"/>
  <c r="M153" i="7"/>
  <c r="N153" i="7" s="1"/>
  <c r="O153" i="7" s="1"/>
  <c r="S153" i="7" s="1"/>
  <c r="E21" i="10"/>
  <c r="F21" i="10" s="1"/>
  <c r="G21" i="10" s="1"/>
  <c r="S46" i="7"/>
  <c r="U46" i="7" s="1"/>
  <c r="S11" i="7"/>
  <c r="U11" i="7" s="1"/>
  <c r="S27" i="7"/>
  <c r="U27" i="7" s="1"/>
  <c r="L180" i="7"/>
  <c r="X152" i="7"/>
  <c r="S12" i="7"/>
  <c r="U12" i="7" s="1"/>
  <c r="N33" i="7"/>
  <c r="N180" i="7" s="1"/>
  <c r="E23" i="10"/>
  <c r="F23" i="10" s="1"/>
  <c r="G23" i="10" s="1"/>
  <c r="H56" i="13"/>
  <c r="H31" i="10"/>
  <c r="H15" i="10"/>
  <c r="I31" i="10"/>
  <c r="G32" i="10"/>
  <c r="X56" i="7"/>
  <c r="G16" i="10"/>
  <c r="I15" i="10"/>
  <c r="G13" i="10"/>
  <c r="AE5" i="7"/>
  <c r="J51" i="13" s="1"/>
  <c r="J52" i="13"/>
  <c r="K31" i="10"/>
  <c r="K15" i="10"/>
  <c r="E27" i="10" l="1"/>
  <c r="F27" i="10" s="1"/>
  <c r="G27" i="10" s="1"/>
  <c r="E29" i="10"/>
  <c r="F29" i="10" s="1"/>
  <c r="G29" i="10" s="1"/>
  <c r="M178" i="7"/>
  <c r="O80" i="7"/>
  <c r="S80" i="7" s="1"/>
  <c r="I13" i="10"/>
  <c r="S29" i="7"/>
  <c r="U29" i="7" s="1"/>
  <c r="E28" i="10"/>
  <c r="F28" i="10" s="1"/>
  <c r="H28" i="10" s="1"/>
  <c r="S40" i="7"/>
  <c r="U40" i="7" s="1"/>
  <c r="AD27" i="7" s="1"/>
  <c r="E52" i="13" s="1"/>
  <c r="H13" i="10"/>
  <c r="I19" i="10"/>
  <c r="S23" i="7"/>
  <c r="U23" i="7" s="1"/>
  <c r="S5" i="7"/>
  <c r="U5" i="7" s="1"/>
  <c r="E30" i="10"/>
  <c r="F30" i="10" s="1"/>
  <c r="G30" i="10" s="1"/>
  <c r="H19" i="10"/>
  <c r="E17" i="10"/>
  <c r="F17" i="10" s="1"/>
  <c r="G17" i="10" s="1"/>
  <c r="AD28" i="7"/>
  <c r="E53" i="13" s="1"/>
  <c r="AC28" i="7"/>
  <c r="D53" i="13" s="1"/>
  <c r="AA22" i="7"/>
  <c r="Z16" i="10" s="1"/>
  <c r="E25" i="10"/>
  <c r="F25" i="10" s="1"/>
  <c r="I25" i="10" s="1"/>
  <c r="AC27" i="7"/>
  <c r="N31" i="7"/>
  <c r="O31" i="7" s="1"/>
  <c r="H26" i="10"/>
  <c r="I28" i="10"/>
  <c r="U153" i="7"/>
  <c r="X153" i="7" s="1"/>
  <c r="O33" i="7"/>
  <c r="S33" i="7" s="1"/>
  <c r="U33" i="7" s="1"/>
  <c r="H21" i="10"/>
  <c r="H23" i="10"/>
  <c r="I21" i="10"/>
  <c r="I23" i="10"/>
  <c r="J31" i="10"/>
  <c r="M31" i="10"/>
  <c r="M15" i="10"/>
  <c r="J15" i="10"/>
  <c r="O20" i="7"/>
  <c r="N178" i="7"/>
  <c r="D52" i="13"/>
  <c r="K21" i="10"/>
  <c r="K26" i="10"/>
  <c r="K13" i="10"/>
  <c r="K19" i="10"/>
  <c r="K23" i="10"/>
  <c r="G28" i="10" l="1"/>
  <c r="K25" i="10" s="1"/>
  <c r="I26" i="10"/>
  <c r="U80" i="7"/>
  <c r="AA21" i="7"/>
  <c r="Z15" i="10" s="1"/>
  <c r="I29" i="10"/>
  <c r="H29" i="10"/>
  <c r="M13" i="10"/>
  <c r="J13" i="10"/>
  <c r="J34" i="10" s="1"/>
  <c r="J19" i="10"/>
  <c r="M19" i="10"/>
  <c r="I17" i="10"/>
  <c r="H17" i="10"/>
  <c r="H25" i="10"/>
  <c r="G25" i="10"/>
  <c r="N179" i="7"/>
  <c r="J26" i="10"/>
  <c r="M26" i="10"/>
  <c r="AD30" i="7"/>
  <c r="E55" i="13" s="1"/>
  <c r="AC30" i="7"/>
  <c r="D55" i="13" s="1"/>
  <c r="O180" i="7"/>
  <c r="J21" i="10"/>
  <c r="M21" i="10"/>
  <c r="J23" i="10"/>
  <c r="M23" i="10"/>
  <c r="N31" i="10"/>
  <c r="O179" i="7"/>
  <c r="S31" i="7"/>
  <c r="U31" i="7" s="1"/>
  <c r="N15" i="10"/>
  <c r="B15" i="13" s="1"/>
  <c r="S20" i="7"/>
  <c r="O178" i="7"/>
  <c r="K17" i="10"/>
  <c r="K29" i="10"/>
  <c r="J28" i="10" l="1"/>
  <c r="J25" i="10" s="1"/>
  <c r="X80" i="7"/>
  <c r="AC29" i="7"/>
  <c r="D54" i="13" s="1"/>
  <c r="AD29" i="7"/>
  <c r="E54" i="13" s="1"/>
  <c r="M29" i="10"/>
  <c r="J29" i="10"/>
  <c r="N13" i="10"/>
  <c r="N19" i="10"/>
  <c r="B17" i="13" s="1"/>
  <c r="C17" i="13" s="1"/>
  <c r="J17" i="10"/>
  <c r="M17" i="10"/>
  <c r="N26" i="10"/>
  <c r="B21" i="13" s="1"/>
  <c r="D21" i="13" s="1"/>
  <c r="M25" i="10"/>
  <c r="N21" i="10"/>
  <c r="B18" i="13" s="1"/>
  <c r="C18" i="13" s="1"/>
  <c r="N23" i="10"/>
  <c r="B19" i="13" s="1"/>
  <c r="J19" i="13" s="1"/>
  <c r="U20" i="7"/>
  <c r="AC26" i="7" s="1"/>
  <c r="AB36" i="7"/>
  <c r="X18" i="10" s="1"/>
  <c r="AA36" i="7"/>
  <c r="AB37" i="7"/>
  <c r="AC37" i="7"/>
  <c r="AD36" i="7"/>
  <c r="Z18" i="10" s="1"/>
  <c r="AE37" i="7"/>
  <c r="AE38" i="7" s="1"/>
  <c r="AD37" i="7"/>
  <c r="AE36" i="7"/>
  <c r="AC36" i="7"/>
  <c r="Y18" i="10" s="1"/>
  <c r="AA37" i="7"/>
  <c r="J15" i="13"/>
  <c r="C15" i="13"/>
  <c r="D15" i="13"/>
  <c r="N28" i="10" l="1"/>
  <c r="N25" i="10" s="1"/>
  <c r="B20" i="13" s="1"/>
  <c r="N29" i="10"/>
  <c r="B23" i="13" s="1"/>
  <c r="D23" i="13" s="1"/>
  <c r="B14" i="13"/>
  <c r="C14" i="13" s="1"/>
  <c r="J17" i="13"/>
  <c r="D17" i="13"/>
  <c r="N17" i="10"/>
  <c r="C21" i="13"/>
  <c r="J21" i="13"/>
  <c r="J18" i="13"/>
  <c r="C19" i="13"/>
  <c r="D19" i="13"/>
  <c r="D18" i="13"/>
  <c r="AD38" i="7"/>
  <c r="Z19" i="10"/>
  <c r="X19" i="10"/>
  <c r="AB38" i="7"/>
  <c r="AA38" i="7"/>
  <c r="W19" i="10"/>
  <c r="AF37" i="7"/>
  <c r="W18" i="10"/>
  <c r="AF36" i="7"/>
  <c r="AC38" i="7"/>
  <c r="Y19" i="10"/>
  <c r="AC31" i="7"/>
  <c r="D56" i="13" s="1"/>
  <c r="D51" i="13"/>
  <c r="B22" i="13" l="1"/>
  <c r="C22" i="13" s="1"/>
  <c r="J23" i="13"/>
  <c r="T88" i="7"/>
  <c r="P88" i="7" s="1"/>
  <c r="E73" i="12" s="1"/>
  <c r="F73" i="12" s="1"/>
  <c r="C23" i="13"/>
  <c r="D14" i="13"/>
  <c r="J14" i="13"/>
  <c r="T79" i="7"/>
  <c r="T12" i="7"/>
  <c r="X11" i="7" s="1"/>
  <c r="G8" i="12" s="1"/>
  <c r="T33" i="7"/>
  <c r="W33" i="7" s="1"/>
  <c r="T65" i="7"/>
  <c r="V65" i="7" s="1"/>
  <c r="T49" i="7"/>
  <c r="W49" i="7" s="1"/>
  <c r="T21" i="7"/>
  <c r="W21" i="7" s="1"/>
  <c r="T72" i="7"/>
  <c r="P72" i="7" s="1"/>
  <c r="E58" i="12" s="1"/>
  <c r="F58" i="12" s="1"/>
  <c r="T138" i="7"/>
  <c r="P138" i="7" s="1"/>
  <c r="E123" i="12" s="1"/>
  <c r="F123" i="12" s="1"/>
  <c r="T167" i="7"/>
  <c r="W167" i="7" s="1"/>
  <c r="T19" i="7"/>
  <c r="P19" i="7" s="1"/>
  <c r="T15" i="7"/>
  <c r="W15" i="7" s="1"/>
  <c r="T24" i="7"/>
  <c r="X23" i="7" s="1"/>
  <c r="B20" i="12" s="1"/>
  <c r="C20" i="12" s="1"/>
  <c r="T85" i="7"/>
  <c r="W85" i="7" s="1"/>
  <c r="T133" i="7"/>
  <c r="P133" i="7" s="1"/>
  <c r="E118" i="12" s="1"/>
  <c r="F118" i="12" s="1"/>
  <c r="T153" i="7"/>
  <c r="P153" i="7" s="1"/>
  <c r="E141" i="12" s="1"/>
  <c r="F141" i="12" s="1"/>
  <c r="T149" i="7"/>
  <c r="P149" i="7" s="1"/>
  <c r="E134" i="12" s="1"/>
  <c r="F134" i="12" s="1"/>
  <c r="T150" i="7"/>
  <c r="P150" i="7" s="1"/>
  <c r="E135" i="12" s="1"/>
  <c r="F135" i="12" s="1"/>
  <c r="T28" i="7"/>
  <c r="P28" i="7" s="1"/>
  <c r="T169" i="7"/>
  <c r="V169" i="7" s="1"/>
  <c r="T16" i="7"/>
  <c r="X15" i="7" s="1"/>
  <c r="G11" i="12" s="1"/>
  <c r="T168" i="7"/>
  <c r="P168" i="7" s="1"/>
  <c r="E156" i="12" s="1"/>
  <c r="F156" i="12" s="1"/>
  <c r="T102" i="7"/>
  <c r="W102" i="7" s="1"/>
  <c r="T78" i="7"/>
  <c r="P78" i="7" s="1"/>
  <c r="E64" i="12" s="1"/>
  <c r="F64" i="12" s="1"/>
  <c r="T67" i="7"/>
  <c r="P67" i="7" s="1"/>
  <c r="E53" i="12" s="1"/>
  <c r="F53" i="12" s="1"/>
  <c r="T143" i="7"/>
  <c r="V143" i="7" s="1"/>
  <c r="T59" i="7"/>
  <c r="W59" i="7" s="1"/>
  <c r="T31" i="7"/>
  <c r="V31" i="7" s="1"/>
  <c r="X31" i="7" s="1"/>
  <c r="T131" i="7"/>
  <c r="W131" i="7" s="1"/>
  <c r="T13" i="7"/>
  <c r="W13" i="7" s="1"/>
  <c r="T63" i="7"/>
  <c r="P63" i="7" s="1"/>
  <c r="E49" i="12" s="1"/>
  <c r="F49" i="12" s="1"/>
  <c r="T163" i="7"/>
  <c r="W163" i="7" s="1"/>
  <c r="T5" i="7"/>
  <c r="X4" i="7" s="1"/>
  <c r="B8" i="12" s="1"/>
  <c r="T25" i="7"/>
  <c r="W25" i="7" s="1"/>
  <c r="T124" i="7"/>
  <c r="V124" i="7" s="1"/>
  <c r="T119" i="7"/>
  <c r="W119" i="7" s="1"/>
  <c r="T23" i="7"/>
  <c r="P23" i="7" s="1"/>
  <c r="T152" i="7"/>
  <c r="W152" i="7" s="1"/>
  <c r="T42" i="7"/>
  <c r="P42" i="7" s="1"/>
  <c r="T173" i="7"/>
  <c r="V173" i="7" s="1"/>
  <c r="T118" i="7"/>
  <c r="P118" i="7" s="1"/>
  <c r="E103" i="12" s="1"/>
  <c r="F103" i="12" s="1"/>
  <c r="T7" i="7"/>
  <c r="W7" i="7" s="1"/>
  <c r="T155" i="7"/>
  <c r="W155" i="7" s="1"/>
  <c r="T6" i="7"/>
  <c r="P6" i="7" s="1"/>
  <c r="E9" i="12" s="1"/>
  <c r="T161" i="7"/>
  <c r="V161" i="7" s="1"/>
  <c r="T130" i="7"/>
  <c r="P130" i="7" s="1"/>
  <c r="E115" i="12" s="1"/>
  <c r="F115" i="12" s="1"/>
  <c r="T129" i="7"/>
  <c r="P129" i="7" s="1"/>
  <c r="E114" i="12" s="1"/>
  <c r="F114" i="12" s="1"/>
  <c r="T140" i="7"/>
  <c r="V140" i="7" s="1"/>
  <c r="T86" i="7"/>
  <c r="V86" i="7" s="1"/>
  <c r="T64" i="7"/>
  <c r="W64" i="7" s="1"/>
  <c r="T160" i="7"/>
  <c r="V160" i="7" s="1"/>
  <c r="T154" i="7"/>
  <c r="P154" i="7" s="1"/>
  <c r="E142" i="12" s="1"/>
  <c r="F142" i="12" s="1"/>
  <c r="T20" i="7"/>
  <c r="W20" i="7" s="1"/>
  <c r="T26" i="7"/>
  <c r="W26" i="7" s="1"/>
  <c r="T87" i="7"/>
  <c r="V87" i="7" s="1"/>
  <c r="T114" i="7"/>
  <c r="V114" i="7" s="1"/>
  <c r="T115" i="7"/>
  <c r="P115" i="7" s="1"/>
  <c r="E100" i="12" s="1"/>
  <c r="F100" i="12" s="1"/>
  <c r="T108" i="7"/>
  <c r="P108" i="7" s="1"/>
  <c r="E93" i="12" s="1"/>
  <c r="F93" i="12" s="1"/>
  <c r="T132" i="7"/>
  <c r="V132" i="7" s="1"/>
  <c r="T159" i="7"/>
  <c r="W159" i="7" s="1"/>
  <c r="T95" i="7"/>
  <c r="P95" i="7" s="1"/>
  <c r="E80" i="12" s="1"/>
  <c r="F80" i="12" s="1"/>
  <c r="T18" i="7"/>
  <c r="W18" i="7" s="1"/>
  <c r="T126" i="7"/>
  <c r="V126" i="7" s="1"/>
  <c r="T41" i="7"/>
  <c r="W41" i="7" s="1"/>
  <c r="T106" i="7"/>
  <c r="W106" i="7" s="1"/>
  <c r="T98" i="7"/>
  <c r="W98" i="7" s="1"/>
  <c r="T56" i="7"/>
  <c r="V56" i="7" s="1"/>
  <c r="T175" i="7"/>
  <c r="V175" i="7" s="1"/>
  <c r="T92" i="7"/>
  <c r="P92" i="7" s="1"/>
  <c r="E77" i="12" s="1"/>
  <c r="F77" i="12" s="1"/>
  <c r="T165" i="7"/>
  <c r="V165" i="7" s="1"/>
  <c r="T60" i="7"/>
  <c r="P60" i="7" s="1"/>
  <c r="E46" i="12" s="1"/>
  <c r="F46" i="12" s="1"/>
  <c r="T46" i="7"/>
  <c r="V46" i="7" s="1"/>
  <c r="T90" i="7"/>
  <c r="V90" i="7" s="1"/>
  <c r="T172" i="7"/>
  <c r="W172" i="7" s="1"/>
  <c r="T32" i="7"/>
  <c r="W32" i="7" s="1"/>
  <c r="T148" i="7"/>
  <c r="W148" i="7" s="1"/>
  <c r="T91" i="7"/>
  <c r="V91" i="7" s="1"/>
  <c r="T44" i="7"/>
  <c r="V44" i="7" s="1"/>
  <c r="X44" i="7" s="1"/>
  <c r="B31" i="12" s="1"/>
  <c r="D31" i="12" s="1"/>
  <c r="T137" i="7"/>
  <c r="V137" i="7" s="1"/>
  <c r="T17" i="7"/>
  <c r="P17" i="7" s="1"/>
  <c r="P12" i="12" s="1"/>
  <c r="T94" i="7"/>
  <c r="W94" i="7" s="1"/>
  <c r="T48" i="7"/>
  <c r="W48" i="7" s="1"/>
  <c r="T69" i="7"/>
  <c r="V69" i="7" s="1"/>
  <c r="T75" i="7"/>
  <c r="P75" i="7" s="1"/>
  <c r="E61" i="12" s="1"/>
  <c r="F61" i="12" s="1"/>
  <c r="T47" i="7"/>
  <c r="P47" i="7" s="1"/>
  <c r="T142" i="7"/>
  <c r="V142" i="7" s="1"/>
  <c r="T113" i="7"/>
  <c r="P113" i="7" s="1"/>
  <c r="E98" i="12" s="1"/>
  <c r="F98" i="12" s="1"/>
  <c r="T176" i="7"/>
  <c r="W176" i="7" s="1"/>
  <c r="T4" i="7"/>
  <c r="P4" i="7" s="1"/>
  <c r="T110" i="7"/>
  <c r="W110" i="7" s="1"/>
  <c r="T57" i="7"/>
  <c r="W57" i="7" s="1"/>
  <c r="T104" i="7"/>
  <c r="W104" i="7" s="1"/>
  <c r="T10" i="7"/>
  <c r="V10" i="7" s="1"/>
  <c r="T139" i="7"/>
  <c r="V139" i="7" s="1"/>
  <c r="T101" i="7"/>
  <c r="V101" i="7" s="1"/>
  <c r="T27" i="7"/>
  <c r="X26" i="7" s="1"/>
  <c r="G16" i="12" s="1"/>
  <c r="T71" i="7"/>
  <c r="P71" i="7" s="1"/>
  <c r="E57" i="12" s="1"/>
  <c r="F57" i="12" s="1"/>
  <c r="T84" i="7"/>
  <c r="W84" i="7" s="1"/>
  <c r="T120" i="7"/>
  <c r="V120" i="7" s="1"/>
  <c r="T112" i="7"/>
  <c r="V112" i="7" s="1"/>
  <c r="T8" i="7"/>
  <c r="V8" i="7" s="1"/>
  <c r="T174" i="7"/>
  <c r="W174" i="7" s="1"/>
  <c r="T37" i="7"/>
  <c r="V37" i="7" s="1"/>
  <c r="T109" i="7"/>
  <c r="P109" i="7" s="1"/>
  <c r="E94" i="12" s="1"/>
  <c r="F94" i="12" s="1"/>
  <c r="T128" i="7"/>
  <c r="P128" i="7" s="1"/>
  <c r="E113" i="12" s="1"/>
  <c r="F113" i="12" s="1"/>
  <c r="T100" i="7"/>
  <c r="W100" i="7" s="1"/>
  <c r="T34" i="7"/>
  <c r="P34" i="7" s="1"/>
  <c r="E25" i="12" s="1"/>
  <c r="T157" i="7"/>
  <c r="P157" i="7" s="1"/>
  <c r="E145" i="12" s="1"/>
  <c r="F145" i="12" s="1"/>
  <c r="T74" i="7"/>
  <c r="W74" i="7" s="1"/>
  <c r="T51" i="7"/>
  <c r="P51" i="7" s="1"/>
  <c r="T99" i="7"/>
  <c r="W99" i="7" s="1"/>
  <c r="T170" i="7"/>
  <c r="V170" i="7" s="1"/>
  <c r="T141" i="7"/>
  <c r="V141" i="7" s="1"/>
  <c r="T145" i="7"/>
  <c r="P145" i="7" s="1"/>
  <c r="E130" i="12" s="1"/>
  <c r="F130" i="12" s="1"/>
  <c r="T81" i="7"/>
  <c r="P81" i="7" s="1"/>
  <c r="E66" i="12" s="1"/>
  <c r="F66" i="12" s="1"/>
  <c r="T83" i="7"/>
  <c r="P83" i="7" s="1"/>
  <c r="E68" i="12" s="1"/>
  <c r="F68" i="12" s="1"/>
  <c r="T52" i="7"/>
  <c r="P52" i="7" s="1"/>
  <c r="T105" i="7"/>
  <c r="W105" i="7" s="1"/>
  <c r="T134" i="7"/>
  <c r="V134" i="7" s="1"/>
  <c r="T30" i="7"/>
  <c r="V30" i="7" s="1"/>
  <c r="T164" i="7"/>
  <c r="W164" i="7" s="1"/>
  <c r="T116" i="7"/>
  <c r="P116" i="7" s="1"/>
  <c r="E101" i="12" s="1"/>
  <c r="F101" i="12" s="1"/>
  <c r="T166" i="7"/>
  <c r="P166" i="7" s="1"/>
  <c r="E154" i="12" s="1"/>
  <c r="F154" i="12" s="1"/>
  <c r="T117" i="7"/>
  <c r="P117" i="7" s="1"/>
  <c r="E102" i="12" s="1"/>
  <c r="F102" i="12" s="1"/>
  <c r="T9" i="7"/>
  <c r="P9" i="7" s="1"/>
  <c r="E12" i="12" s="1"/>
  <c r="T111" i="7"/>
  <c r="V111" i="7" s="1"/>
  <c r="T39" i="7"/>
  <c r="V39" i="7" s="1"/>
  <c r="T97" i="7"/>
  <c r="W97" i="7" s="1"/>
  <c r="T50" i="7"/>
  <c r="V50" i="7" s="1"/>
  <c r="T107" i="7"/>
  <c r="W107" i="7" s="1"/>
  <c r="T89" i="7"/>
  <c r="W89" i="7" s="1"/>
  <c r="T135" i="7"/>
  <c r="P135" i="7" s="1"/>
  <c r="E120" i="12" s="1"/>
  <c r="F120" i="12" s="1"/>
  <c r="T144" i="7"/>
  <c r="P144" i="7" s="1"/>
  <c r="E129" i="12" s="1"/>
  <c r="F129" i="12" s="1"/>
  <c r="T36" i="7"/>
  <c r="W36" i="7" s="1"/>
  <c r="T80" i="7"/>
  <c r="P80" i="7" s="1"/>
  <c r="E65" i="12" s="1"/>
  <c r="F65" i="12" s="1"/>
  <c r="T11" i="7"/>
  <c r="W11" i="7" s="1"/>
  <c r="T54" i="7"/>
  <c r="V54" i="7" s="1"/>
  <c r="T40" i="7"/>
  <c r="W40" i="7" s="1"/>
  <c r="T38" i="7"/>
  <c r="W38" i="7" s="1"/>
  <c r="T127" i="7"/>
  <c r="V127" i="7" s="1"/>
  <c r="T93" i="7"/>
  <c r="P93" i="7" s="1"/>
  <c r="E78" i="12" s="1"/>
  <c r="F78" i="12" s="1"/>
  <c r="T45" i="7"/>
  <c r="W45" i="7" s="1"/>
  <c r="T53" i="7"/>
  <c r="W53" i="7" s="1"/>
  <c r="T171" i="7"/>
  <c r="W171" i="7" s="1"/>
  <c r="T14" i="7"/>
  <c r="V14" i="7" s="1"/>
  <c r="T158" i="7"/>
  <c r="V158" i="7" s="1"/>
  <c r="T156" i="7"/>
  <c r="W156" i="7" s="1"/>
  <c r="T61" i="7"/>
  <c r="W61" i="7" s="1"/>
  <c r="T22" i="7"/>
  <c r="V22" i="7" s="1"/>
  <c r="T146" i="7"/>
  <c r="W146" i="7" s="1"/>
  <c r="T82" i="7"/>
  <c r="V82" i="7" s="1"/>
  <c r="T73" i="7"/>
  <c r="V73" i="7" s="1"/>
  <c r="T122" i="7"/>
  <c r="W122" i="7" s="1"/>
  <c r="T123" i="7"/>
  <c r="V123" i="7" s="1"/>
  <c r="T121" i="7"/>
  <c r="W121" i="7" s="1"/>
  <c r="T103" i="7"/>
  <c r="P103" i="7" s="1"/>
  <c r="E88" i="12" s="1"/>
  <c r="F88" i="12" s="1"/>
  <c r="T58" i="7"/>
  <c r="V58" i="7" s="1"/>
  <c r="T55" i="7"/>
  <c r="W55" i="7" s="1"/>
  <c r="T43" i="7"/>
  <c r="X42" i="7" s="1"/>
  <c r="B30" i="12" s="1"/>
  <c r="T70" i="7"/>
  <c r="V70" i="7" s="1"/>
  <c r="T136" i="7"/>
  <c r="P136" i="7" s="1"/>
  <c r="E121" i="12" s="1"/>
  <c r="F121" i="12" s="1"/>
  <c r="T66" i="7"/>
  <c r="V66" i="7" s="1"/>
  <c r="T62" i="7"/>
  <c r="V62" i="7" s="1"/>
  <c r="T151" i="7"/>
  <c r="W151" i="7" s="1"/>
  <c r="T96" i="7"/>
  <c r="P96" i="7" s="1"/>
  <c r="E81" i="12" s="1"/>
  <c r="F81" i="12" s="1"/>
  <c r="T77" i="7"/>
  <c r="V77" i="7" s="1"/>
  <c r="T29" i="7"/>
  <c r="V29" i="7" s="1"/>
  <c r="T76" i="7"/>
  <c r="W76" i="7" s="1"/>
  <c r="T162" i="7"/>
  <c r="V162" i="7" s="1"/>
  <c r="T35" i="7"/>
  <c r="P35" i="7" s="1"/>
  <c r="E26" i="12" s="1"/>
  <c r="F26" i="12" s="1"/>
  <c r="T125" i="7"/>
  <c r="W125" i="7" s="1"/>
  <c r="T68" i="7"/>
  <c r="V68" i="7" s="1"/>
  <c r="B16" i="13"/>
  <c r="T147" i="7"/>
  <c r="W137" i="7"/>
  <c r="P24" i="7"/>
  <c r="AF38" i="7"/>
  <c r="W20" i="10"/>
  <c r="Y20" i="10" s="1"/>
  <c r="J20" i="13"/>
  <c r="C20" i="13"/>
  <c r="D20" i="13"/>
  <c r="W88" i="7" l="1"/>
  <c r="P85" i="7"/>
  <c r="E70" i="12" s="1"/>
  <c r="F70" i="12" s="1"/>
  <c r="D22" i="13"/>
  <c r="J22" i="13"/>
  <c r="V88" i="7"/>
  <c r="V21" i="7"/>
  <c r="W168" i="7"/>
  <c r="W79" i="7"/>
  <c r="P79" i="7"/>
  <c r="E137" i="12" s="1"/>
  <c r="V79" i="7"/>
  <c r="P131" i="7"/>
  <c r="E116" i="12" s="1"/>
  <c r="F116" i="12" s="1"/>
  <c r="P21" i="7"/>
  <c r="E18" i="12" s="1"/>
  <c r="W12" i="7"/>
  <c r="V168" i="7"/>
  <c r="P33" i="7"/>
  <c r="P180" i="7" s="1"/>
  <c r="V33" i="7"/>
  <c r="X33" i="7" s="1"/>
  <c r="X180" i="7" s="1"/>
  <c r="W165" i="7"/>
  <c r="P98" i="7"/>
  <c r="E83" i="12" s="1"/>
  <c r="F83" i="12" s="1"/>
  <c r="V48" i="7"/>
  <c r="X48" i="7" s="1"/>
  <c r="B36" i="12" s="1"/>
  <c r="V102" i="7"/>
  <c r="V150" i="7"/>
  <c r="P12" i="7"/>
  <c r="V12" i="7"/>
  <c r="V85" i="7"/>
  <c r="P161" i="7"/>
  <c r="E149" i="12" s="1"/>
  <c r="F149" i="12" s="1"/>
  <c r="W65" i="7"/>
  <c r="P169" i="7"/>
  <c r="E157" i="12" s="1"/>
  <c r="F157" i="12" s="1"/>
  <c r="W169" i="7"/>
  <c r="W154" i="7"/>
  <c r="W124" i="7"/>
  <c r="P65" i="7"/>
  <c r="E51" i="12" s="1"/>
  <c r="F51" i="12" s="1"/>
  <c r="P124" i="7"/>
  <c r="E109" i="12" s="1"/>
  <c r="F109" i="12" s="1"/>
  <c r="V95" i="7"/>
  <c r="W83" i="7"/>
  <c r="P49" i="7"/>
  <c r="P74" i="7"/>
  <c r="E60" i="12" s="1"/>
  <c r="F60" i="12" s="1"/>
  <c r="P31" i="7"/>
  <c r="P179" i="7" s="1"/>
  <c r="W6" i="7"/>
  <c r="W16" i="7"/>
  <c r="P175" i="7"/>
  <c r="E163" i="12" s="1"/>
  <c r="F163" i="12" s="1"/>
  <c r="V148" i="7"/>
  <c r="V104" i="7"/>
  <c r="W135" i="7"/>
  <c r="P112" i="7"/>
  <c r="E97" i="12" s="1"/>
  <c r="F97" i="12" s="1"/>
  <c r="W31" i="7"/>
  <c r="V75" i="7"/>
  <c r="V24" i="7"/>
  <c r="P104" i="7"/>
  <c r="E89" i="12" s="1"/>
  <c r="F89" i="12" s="1"/>
  <c r="V16" i="7"/>
  <c r="V49" i="7"/>
  <c r="V6" i="7"/>
  <c r="W75" i="7"/>
  <c r="V154" i="7"/>
  <c r="W24" i="7"/>
  <c r="P16" i="7"/>
  <c r="W139" i="7"/>
  <c r="P119" i="7"/>
  <c r="E104" i="12" s="1"/>
  <c r="F104" i="12" s="1"/>
  <c r="V119" i="7"/>
  <c r="P69" i="7"/>
  <c r="E55" i="12" s="1"/>
  <c r="F55" i="12" s="1"/>
  <c r="P159" i="7"/>
  <c r="E147" i="12" s="1"/>
  <c r="F147" i="12" s="1"/>
  <c r="V159" i="7"/>
  <c r="V135" i="7"/>
  <c r="W112" i="7"/>
  <c r="V157" i="7"/>
  <c r="W144" i="7"/>
  <c r="W52" i="7"/>
  <c r="W8" i="7"/>
  <c r="V52" i="7"/>
  <c r="V47" i="7"/>
  <c r="X47" i="7" s="1"/>
  <c r="G31" i="12" s="1"/>
  <c r="H31" i="12" s="1"/>
  <c r="V131" i="7"/>
  <c r="V144" i="7"/>
  <c r="W92" i="7"/>
  <c r="P10" i="7"/>
  <c r="E13" i="12" s="1"/>
  <c r="P8" i="7"/>
  <c r="E11" i="12" s="1"/>
  <c r="V92" i="7"/>
  <c r="W10" i="7"/>
  <c r="V83" i="7"/>
  <c r="W47" i="7"/>
  <c r="V93" i="7"/>
  <c r="W157" i="7"/>
  <c r="P148" i="7"/>
  <c r="E133" i="12" s="1"/>
  <c r="F133" i="12" s="1"/>
  <c r="V20" i="7"/>
  <c r="X20" i="7" s="1"/>
  <c r="B17" i="12" s="1"/>
  <c r="W91" i="7"/>
  <c r="W132" i="7"/>
  <c r="P56" i="7"/>
  <c r="E42" i="12" s="1"/>
  <c r="F42" i="12" s="1"/>
  <c r="W160" i="7"/>
  <c r="P155" i="7"/>
  <c r="E143" i="12" s="1"/>
  <c r="F143" i="12" s="1"/>
  <c r="P89" i="7"/>
  <c r="E74" i="12" s="1"/>
  <c r="F74" i="12" s="1"/>
  <c r="P160" i="7"/>
  <c r="E148" i="12" s="1"/>
  <c r="F148" i="12" s="1"/>
  <c r="P165" i="7"/>
  <c r="E153" i="12" s="1"/>
  <c r="F153" i="12" s="1"/>
  <c r="V36" i="7"/>
  <c r="V72" i="7"/>
  <c r="W133" i="7"/>
  <c r="P120" i="7"/>
  <c r="E105" i="12" s="1"/>
  <c r="F105" i="12" s="1"/>
  <c r="V81" i="7"/>
  <c r="V89" i="7"/>
  <c r="W103" i="7"/>
  <c r="P55" i="7"/>
  <c r="V103" i="7"/>
  <c r="W115" i="7"/>
  <c r="W68" i="7"/>
  <c r="W72" i="7"/>
  <c r="P36" i="7"/>
  <c r="E27" i="12" s="1"/>
  <c r="F27" i="12" s="1"/>
  <c r="V105" i="7"/>
  <c r="P139" i="7"/>
  <c r="E124" i="12" s="1"/>
  <c r="F124" i="12" s="1"/>
  <c r="P44" i="7"/>
  <c r="E31" i="12" s="1"/>
  <c r="P13" i="7"/>
  <c r="P9" i="12" s="1"/>
  <c r="F9" i="12" s="1"/>
  <c r="V133" i="7"/>
  <c r="V130" i="7"/>
  <c r="V13" i="7"/>
  <c r="P102" i="7"/>
  <c r="E87" i="12" s="1"/>
  <c r="F87" i="12" s="1"/>
  <c r="V152" i="7"/>
  <c r="W142" i="7"/>
  <c r="P18" i="7"/>
  <c r="P13" i="12" s="1"/>
  <c r="P26" i="7"/>
  <c r="P16" i="12" s="1"/>
  <c r="V18" i="7"/>
  <c r="V26" i="7"/>
  <c r="P152" i="7"/>
  <c r="E140" i="12" s="1"/>
  <c r="F140" i="12" s="1"/>
  <c r="W44" i="7"/>
  <c r="P121" i="7"/>
  <c r="E106" i="12" s="1"/>
  <c r="F106" i="12" s="1"/>
  <c r="V174" i="7"/>
  <c r="V17" i="7"/>
  <c r="V110" i="7"/>
  <c r="V125" i="7"/>
  <c r="P107" i="7"/>
  <c r="E92" i="12" s="1"/>
  <c r="F92" i="12" s="1"/>
  <c r="V145" i="7"/>
  <c r="P114" i="7"/>
  <c r="E99" i="12" s="1"/>
  <c r="F99" i="12" s="1"/>
  <c r="V172" i="7"/>
  <c r="W123" i="7"/>
  <c r="P151" i="7"/>
  <c r="E136" i="12" s="1"/>
  <c r="F136" i="12" s="1"/>
  <c r="W60" i="7"/>
  <c r="V78" i="7"/>
  <c r="W101" i="7"/>
  <c r="P134" i="7"/>
  <c r="E119" i="12" s="1"/>
  <c r="F119" i="12" s="1"/>
  <c r="V60" i="7"/>
  <c r="P126" i="7"/>
  <c r="E111" i="12" s="1"/>
  <c r="F111" i="12" s="1"/>
  <c r="P101" i="7"/>
  <c r="E86" i="12" s="1"/>
  <c r="F86" i="12" s="1"/>
  <c r="W126" i="7"/>
  <c r="P87" i="7"/>
  <c r="E72" i="12" s="1"/>
  <c r="F72" i="12" s="1"/>
  <c r="W78" i="7"/>
  <c r="V42" i="7"/>
  <c r="V45" i="7"/>
  <c r="V80" i="7"/>
  <c r="W138" i="7"/>
  <c r="V153" i="7"/>
  <c r="P111" i="7"/>
  <c r="E96" i="12" s="1"/>
  <c r="F96" i="12" s="1"/>
  <c r="W80" i="7"/>
  <c r="V138" i="7"/>
  <c r="V43" i="7"/>
  <c r="V129" i="7"/>
  <c r="P43" i="7"/>
  <c r="W134" i="7"/>
  <c r="P91" i="7"/>
  <c r="E76" i="12" s="1"/>
  <c r="F76" i="12" s="1"/>
  <c r="W93" i="7"/>
  <c r="V9" i="7"/>
  <c r="W5" i="7"/>
  <c r="W150" i="7"/>
  <c r="V38" i="7"/>
  <c r="P167" i="7"/>
  <c r="E155" i="12" s="1"/>
  <c r="F155" i="12" s="1"/>
  <c r="V167" i="7"/>
  <c r="V41" i="7"/>
  <c r="P45" i="7"/>
  <c r="P143" i="7"/>
  <c r="E128" i="12" s="1"/>
  <c r="F128" i="12" s="1"/>
  <c r="W143" i="7"/>
  <c r="P122" i="7"/>
  <c r="E107" i="12" s="1"/>
  <c r="F107" i="12" s="1"/>
  <c r="P58" i="7"/>
  <c r="E44" i="12" s="1"/>
  <c r="F44" i="12" s="1"/>
  <c r="W86" i="7"/>
  <c r="P5" i="7"/>
  <c r="E8" i="12" s="1"/>
  <c r="P86" i="7"/>
  <c r="E71" i="12" s="1"/>
  <c r="F71" i="12" s="1"/>
  <c r="V5" i="7"/>
  <c r="W90" i="7"/>
  <c r="V19" i="7"/>
  <c r="X19" i="7" s="1"/>
  <c r="B16" i="12" s="1"/>
  <c r="E16" i="12" s="1"/>
  <c r="W118" i="7"/>
  <c r="V71" i="7"/>
  <c r="W19" i="7"/>
  <c r="V118" i="7"/>
  <c r="W39" i="7"/>
  <c r="V99" i="7"/>
  <c r="V151" i="7"/>
  <c r="V61" i="7"/>
  <c r="W117" i="7"/>
  <c r="P61" i="7"/>
  <c r="E47" i="12" s="1"/>
  <c r="F47" i="12" s="1"/>
  <c r="W127" i="7"/>
  <c r="P68" i="7"/>
  <c r="E54" i="12" s="1"/>
  <c r="F54" i="12" s="1"/>
  <c r="V117" i="7"/>
  <c r="P127" i="7"/>
  <c r="E112" i="12" s="1"/>
  <c r="F112" i="12" s="1"/>
  <c r="W145" i="7"/>
  <c r="V107" i="7"/>
  <c r="V98" i="7"/>
  <c r="P123" i="7"/>
  <c r="E108" i="12" s="1"/>
  <c r="F108" i="12" s="1"/>
  <c r="P110" i="7"/>
  <c r="E95" i="12" s="1"/>
  <c r="F95" i="12" s="1"/>
  <c r="V116" i="7"/>
  <c r="V100" i="7"/>
  <c r="V25" i="7"/>
  <c r="W28" i="7"/>
  <c r="P84" i="7"/>
  <c r="E69" i="12" s="1"/>
  <c r="F69" i="12" s="1"/>
  <c r="V40" i="7"/>
  <c r="P25" i="7"/>
  <c r="E21" i="12" s="1"/>
  <c r="F21" i="12" s="1"/>
  <c r="P64" i="7"/>
  <c r="E50" i="12" s="1"/>
  <c r="F50" i="12" s="1"/>
  <c r="V28" i="7"/>
  <c r="V84" i="7"/>
  <c r="P40" i="7"/>
  <c r="V15" i="7"/>
  <c r="W108" i="7"/>
  <c r="V64" i="7"/>
  <c r="P172" i="7"/>
  <c r="E160" i="12" s="1"/>
  <c r="F160" i="12" s="1"/>
  <c r="P59" i="7"/>
  <c r="E45" i="12" s="1"/>
  <c r="F45" i="12" s="1"/>
  <c r="P48" i="7"/>
  <c r="P15" i="7"/>
  <c r="V108" i="7"/>
  <c r="V7" i="7"/>
  <c r="V59" i="7"/>
  <c r="P7" i="7"/>
  <c r="E10" i="12" s="1"/>
  <c r="P105" i="7"/>
  <c r="E90" i="12" s="1"/>
  <c r="F90" i="12" s="1"/>
  <c r="V55" i="7"/>
  <c r="W56" i="7"/>
  <c r="P142" i="7"/>
  <c r="E127" i="12" s="1"/>
  <c r="F127" i="12" s="1"/>
  <c r="P38" i="7"/>
  <c r="W120" i="7"/>
  <c r="V34" i="7"/>
  <c r="V166" i="7"/>
  <c r="P156" i="7"/>
  <c r="E144" i="12" s="1"/>
  <c r="F144" i="12" s="1"/>
  <c r="P174" i="7"/>
  <c r="E162" i="12" s="1"/>
  <c r="F162" i="12" s="1"/>
  <c r="W166" i="7"/>
  <c r="C31" i="12"/>
  <c r="X40" i="7"/>
  <c r="X39" i="7" s="1"/>
  <c r="B32" i="12" s="1"/>
  <c r="W69" i="7"/>
  <c r="P57" i="7"/>
  <c r="E43" i="12" s="1"/>
  <c r="F43" i="12" s="1"/>
  <c r="V155" i="7"/>
  <c r="W34" i="7"/>
  <c r="V57" i="7"/>
  <c r="P62" i="7"/>
  <c r="E48" i="12" s="1"/>
  <c r="F48" i="12" s="1"/>
  <c r="W81" i="7"/>
  <c r="V121" i="7"/>
  <c r="V32" i="7"/>
  <c r="X32" i="7" s="1"/>
  <c r="G20" i="12" s="1"/>
  <c r="H20" i="12" s="1"/>
  <c r="P125" i="7"/>
  <c r="E110" i="12" s="1"/>
  <c r="F110" i="12" s="1"/>
  <c r="W62" i="7"/>
  <c r="P32" i="7"/>
  <c r="P132" i="7"/>
  <c r="E117" i="12" s="1"/>
  <c r="F117" i="12" s="1"/>
  <c r="W77" i="7"/>
  <c r="W130" i="7"/>
  <c r="P163" i="7"/>
  <c r="E151" i="12" s="1"/>
  <c r="F151" i="12" s="1"/>
  <c r="W140" i="7"/>
  <c r="W153" i="7"/>
  <c r="P20" i="7"/>
  <c r="P178" i="7" s="1"/>
  <c r="W114" i="7"/>
  <c r="V63" i="7"/>
  <c r="V23" i="7"/>
  <c r="W63" i="7"/>
  <c r="P99" i="7"/>
  <c r="E84" i="12" s="1"/>
  <c r="F84" i="12" s="1"/>
  <c r="P140" i="7"/>
  <c r="E125" i="12" s="1"/>
  <c r="F125" i="12" s="1"/>
  <c r="P170" i="7"/>
  <c r="E158" i="12" s="1"/>
  <c r="F158" i="12" s="1"/>
  <c r="V163" i="7"/>
  <c r="P76" i="7"/>
  <c r="E62" i="12" s="1"/>
  <c r="F62" i="12" s="1"/>
  <c r="W17" i="7"/>
  <c r="V113" i="7"/>
  <c r="W170" i="7"/>
  <c r="V149" i="7"/>
  <c r="W129" i="7"/>
  <c r="V67" i="7"/>
  <c r="W58" i="7"/>
  <c r="W95" i="7"/>
  <c r="W113" i="7"/>
  <c r="W161" i="7"/>
  <c r="V76" i="7"/>
  <c r="P37" i="7"/>
  <c r="P24" i="12" s="1"/>
  <c r="W173" i="7"/>
  <c r="V156" i="7"/>
  <c r="W23" i="7"/>
  <c r="P53" i="7"/>
  <c r="W30" i="7"/>
  <c r="W149" i="7"/>
  <c r="W67" i="7"/>
  <c r="P173" i="7"/>
  <c r="E161" i="12" s="1"/>
  <c r="F161" i="12" s="1"/>
  <c r="P29" i="7"/>
  <c r="V74" i="7"/>
  <c r="V115" i="7"/>
  <c r="P30" i="7"/>
  <c r="P18" i="12" s="1"/>
  <c r="W43" i="7"/>
  <c r="W109" i="7"/>
  <c r="V97" i="7"/>
  <c r="P137" i="7"/>
  <c r="E122" i="12" s="1"/>
  <c r="F122" i="12" s="1"/>
  <c r="W87" i="7"/>
  <c r="W42" i="7"/>
  <c r="P82" i="7"/>
  <c r="E67" i="12" s="1"/>
  <c r="F67" i="12" s="1"/>
  <c r="W51" i="7"/>
  <c r="W37" i="7"/>
  <c r="P77" i="7"/>
  <c r="E63" i="12" s="1"/>
  <c r="F63" i="12" s="1"/>
  <c r="P39" i="7"/>
  <c r="V146" i="7"/>
  <c r="W111" i="7"/>
  <c r="X28" i="7"/>
  <c r="G17" i="12" s="1"/>
  <c r="I17" i="12" s="1"/>
  <c r="W29" i="7"/>
  <c r="V53" i="7"/>
  <c r="W82" i="7"/>
  <c r="P100" i="7"/>
  <c r="E85" i="12" s="1"/>
  <c r="F85" i="12" s="1"/>
  <c r="W66" i="7"/>
  <c r="P22" i="7"/>
  <c r="E19" i="12" s="1"/>
  <c r="W116" i="7"/>
  <c r="W158" i="7"/>
  <c r="P66" i="7"/>
  <c r="E52" i="12" s="1"/>
  <c r="F52" i="12" s="1"/>
  <c r="W96" i="7"/>
  <c r="V35" i="7"/>
  <c r="V51" i="7"/>
  <c r="V96" i="7"/>
  <c r="W9" i="7"/>
  <c r="W22" i="7"/>
  <c r="F12" i="12"/>
  <c r="W71" i="7"/>
  <c r="W54" i="7"/>
  <c r="AE15" i="7"/>
  <c r="G60" i="13" s="1"/>
  <c r="AD15" i="7"/>
  <c r="F60" i="13" s="1"/>
  <c r="P94" i="7"/>
  <c r="E79" i="12" s="1"/>
  <c r="F79" i="12" s="1"/>
  <c r="W27" i="7"/>
  <c r="P70" i="7"/>
  <c r="E56" i="12" s="1"/>
  <c r="F56" i="12" s="1"/>
  <c r="V122" i="7"/>
  <c r="W46" i="7"/>
  <c r="V171" i="7"/>
  <c r="W128" i="7"/>
  <c r="P171" i="7"/>
  <c r="E159" i="12" s="1"/>
  <c r="F159" i="12" s="1"/>
  <c r="V106" i="7"/>
  <c r="P54" i="7"/>
  <c r="P106" i="7"/>
  <c r="E91" i="12" s="1"/>
  <c r="F91" i="12" s="1"/>
  <c r="W141" i="7"/>
  <c r="V94" i="7"/>
  <c r="P27" i="7"/>
  <c r="W70" i="7"/>
  <c r="W73" i="7"/>
  <c r="P46" i="7"/>
  <c r="P14" i="7"/>
  <c r="P10" i="12" s="1"/>
  <c r="P97" i="7"/>
  <c r="E82" i="12" s="1"/>
  <c r="F82" i="12" s="1"/>
  <c r="W136" i="7"/>
  <c r="P50" i="7"/>
  <c r="V27" i="7"/>
  <c r="P73" i="7"/>
  <c r="E59" i="12" s="1"/>
  <c r="F59" i="12" s="1"/>
  <c r="V164" i="7"/>
  <c r="P176" i="7"/>
  <c r="V4" i="7"/>
  <c r="W14" i="7"/>
  <c r="V176" i="7"/>
  <c r="W35" i="7"/>
  <c r="X45" i="7"/>
  <c r="G30" i="12" s="1"/>
  <c r="I30" i="12" s="1"/>
  <c r="P11" i="7"/>
  <c r="P8" i="12" s="1"/>
  <c r="P141" i="7"/>
  <c r="E126" i="12" s="1"/>
  <c r="F126" i="12" s="1"/>
  <c r="AB15" i="7"/>
  <c r="D60" i="13" s="1"/>
  <c r="V11" i="7"/>
  <c r="AA15" i="7"/>
  <c r="C60" i="13" s="1"/>
  <c r="AE16" i="7"/>
  <c r="AE17" i="7" s="1"/>
  <c r="P164" i="7"/>
  <c r="E152" i="12" s="1"/>
  <c r="F152" i="12" s="1"/>
  <c r="W4" i="7"/>
  <c r="V128" i="7"/>
  <c r="P158" i="7"/>
  <c r="E146" i="12" s="1"/>
  <c r="F146" i="12" s="1"/>
  <c r="P146" i="7"/>
  <c r="E132" i="12" s="1"/>
  <c r="F132" i="12" s="1"/>
  <c r="P90" i="7"/>
  <c r="E75" i="12" s="1"/>
  <c r="F75" i="12" s="1"/>
  <c r="AC15" i="7"/>
  <c r="E60" i="13" s="1"/>
  <c r="P41" i="7"/>
  <c r="V109" i="7"/>
  <c r="P162" i="7"/>
  <c r="E150" i="12" s="1"/>
  <c r="F150" i="12" s="1"/>
  <c r="V136" i="7"/>
  <c r="W162" i="7"/>
  <c r="W50" i="7"/>
  <c r="W147" i="7"/>
  <c r="V147" i="7"/>
  <c r="P147" i="7"/>
  <c r="E131" i="12" s="1"/>
  <c r="C16" i="13"/>
  <c r="D16" i="13"/>
  <c r="J16" i="13"/>
  <c r="D20" i="12"/>
  <c r="E20" i="12"/>
  <c r="X179" i="7"/>
  <c r="G19" i="12"/>
  <c r="C30" i="12"/>
  <c r="D30" i="12"/>
  <c r="E30" i="12"/>
  <c r="D8" i="12"/>
  <c r="C8" i="12"/>
  <c r="I8" i="12"/>
  <c r="H8" i="12"/>
  <c r="I11" i="12"/>
  <c r="H11" i="12"/>
  <c r="I16" i="12"/>
  <c r="H16" i="12"/>
  <c r="B24" i="12" l="1"/>
  <c r="F18" i="12"/>
  <c r="X178" i="7"/>
  <c r="P11" i="12"/>
  <c r="F11" i="12" s="1"/>
  <c r="I31" i="12"/>
  <c r="F13" i="12"/>
  <c r="P31" i="12"/>
  <c r="F31" i="12" s="1"/>
  <c r="AC6" i="7"/>
  <c r="I52" i="13" s="1"/>
  <c r="F52" i="13" s="1"/>
  <c r="I20" i="12"/>
  <c r="C16" i="12"/>
  <c r="D16" i="12"/>
  <c r="AD6" i="7"/>
  <c r="AD26" i="7" s="1"/>
  <c r="AC7" i="7"/>
  <c r="X55" i="7" s="1"/>
  <c r="G39" i="12" s="1"/>
  <c r="H39" i="12" s="1"/>
  <c r="AA16" i="7"/>
  <c r="C61" i="13" s="1"/>
  <c r="F10" i="12"/>
  <c r="H30" i="12"/>
  <c r="P20" i="12"/>
  <c r="F20" i="12" s="1"/>
  <c r="X26" i="10"/>
  <c r="P30" i="12"/>
  <c r="F30" i="12" s="1"/>
  <c r="AB22" i="7"/>
  <c r="Z24" i="10" s="1"/>
  <c r="AC16" i="7"/>
  <c r="AC17" i="7" s="1"/>
  <c r="AD8" i="7"/>
  <c r="K54" i="13" s="1"/>
  <c r="G54" i="13" s="1"/>
  <c r="AB16" i="7"/>
  <c r="AB17" i="7" s="1"/>
  <c r="AC8" i="7"/>
  <c r="I54" i="13" s="1"/>
  <c r="H17" i="12"/>
  <c r="AD9" i="7"/>
  <c r="K55" i="13" s="1"/>
  <c r="G55" i="13" s="1"/>
  <c r="P17" i="12"/>
  <c r="G25" i="12"/>
  <c r="I25" i="12" s="1"/>
  <c r="AB21" i="7"/>
  <c r="Z23" i="10" s="1"/>
  <c r="AD7" i="7"/>
  <c r="K53" i="13" s="1"/>
  <c r="G53" i="13" s="1"/>
  <c r="Z26" i="10"/>
  <c r="Y26" i="10"/>
  <c r="AC9" i="7"/>
  <c r="I55" i="13" s="1"/>
  <c r="F55" i="13" s="1"/>
  <c r="G61" i="13"/>
  <c r="AF15" i="7"/>
  <c r="H60" i="13" s="1"/>
  <c r="AD16" i="7"/>
  <c r="Z27" i="10" s="1"/>
  <c r="W26" i="10"/>
  <c r="C17" i="12"/>
  <c r="D17" i="12"/>
  <c r="E17" i="12"/>
  <c r="D24" i="12"/>
  <c r="C24" i="12"/>
  <c r="E24" i="12"/>
  <c r="F24" i="12" s="1"/>
  <c r="E36" i="12"/>
  <c r="C36" i="12"/>
  <c r="D36" i="12"/>
  <c r="F16" i="12"/>
  <c r="F8" i="12"/>
  <c r="D32" i="12"/>
  <c r="E32" i="12"/>
  <c r="C32" i="12"/>
  <c r="P19" i="12"/>
  <c r="F19" i="12" s="1"/>
  <c r="I19" i="12"/>
  <c r="H19" i="12"/>
  <c r="X53" i="7" l="1"/>
  <c r="G37" i="12" s="1"/>
  <c r="I37" i="12" s="1"/>
  <c r="X50" i="7"/>
  <c r="B38" i="12" s="1"/>
  <c r="C38" i="12" s="1"/>
  <c r="X51" i="7"/>
  <c r="B39" i="12" s="1"/>
  <c r="E39" i="12" s="1"/>
  <c r="X49" i="7"/>
  <c r="B37" i="12" s="1"/>
  <c r="AC5" i="7"/>
  <c r="AC10" i="7" s="1"/>
  <c r="I56" i="13" s="1"/>
  <c r="AD5" i="7"/>
  <c r="K51" i="13" s="1"/>
  <c r="K52" i="13"/>
  <c r="G52" i="13" s="1"/>
  <c r="I39" i="12"/>
  <c r="X54" i="7"/>
  <c r="G38" i="12" s="1"/>
  <c r="I38" i="12" s="1"/>
  <c r="P39" i="12"/>
  <c r="I53" i="13"/>
  <c r="L53" i="13" s="1"/>
  <c r="X52" i="7"/>
  <c r="G36" i="12" s="1"/>
  <c r="P36" i="12" s="1"/>
  <c r="F36" i="12" s="1"/>
  <c r="AA17" i="7"/>
  <c r="W27" i="10"/>
  <c r="P25" i="12"/>
  <c r="F25" i="12" s="1"/>
  <c r="H25" i="12"/>
  <c r="L54" i="13"/>
  <c r="Y27" i="10"/>
  <c r="F17" i="12"/>
  <c r="E61" i="13"/>
  <c r="X27" i="10"/>
  <c r="F54" i="13"/>
  <c r="D61" i="13"/>
  <c r="L55" i="13"/>
  <c r="B57" i="13" s="1"/>
  <c r="AF16" i="7"/>
  <c r="H61" i="13" s="1"/>
  <c r="AD17" i="7"/>
  <c r="F61" i="13"/>
  <c r="AD31" i="7"/>
  <c r="E51" i="13"/>
  <c r="F32" i="12"/>
  <c r="D38" i="12" l="1"/>
  <c r="P37" i="12"/>
  <c r="E38" i="12"/>
  <c r="H37" i="12"/>
  <c r="D39" i="12"/>
  <c r="C39" i="12"/>
  <c r="F39" i="12"/>
  <c r="C37" i="12"/>
  <c r="D37" i="12"/>
  <c r="E37" i="12"/>
  <c r="I51" i="13"/>
  <c r="F51" i="13" s="1"/>
  <c r="AD10" i="7"/>
  <c r="K56" i="13"/>
  <c r="L56" i="13" s="1"/>
  <c r="H36" i="12"/>
  <c r="L52" i="13"/>
  <c r="I36" i="12"/>
  <c r="P38" i="12"/>
  <c r="H38" i="12"/>
  <c r="F53" i="13"/>
  <c r="AF17" i="7"/>
  <c r="AF19" i="7" s="1"/>
  <c r="F63" i="13" s="1"/>
  <c r="F65" i="13" s="1"/>
  <c r="W28" i="10"/>
  <c r="W31" i="10" s="1"/>
  <c r="G51" i="13"/>
  <c r="G56" i="13" s="1"/>
  <c r="E56" i="13"/>
  <c r="AF40" i="7"/>
  <c r="F37" i="12" l="1"/>
  <c r="F38" i="12"/>
  <c r="L51" i="13"/>
  <c r="L165" i="12"/>
  <c r="K165" i="12"/>
  <c r="N165" i="12"/>
  <c r="F56" i="13"/>
  <c r="J166" i="12"/>
  <c r="J165" i="12"/>
  <c r="M165" i="12"/>
  <c r="Y28" i="10"/>
  <c r="Y31" i="10" s="1"/>
  <c r="L166" i="12"/>
  <c r="M166" i="12"/>
  <c r="N166" i="12"/>
  <c r="K44" i="13"/>
  <c r="K166" i="12" l="1"/>
  <c r="O166" i="12" s="1"/>
  <c r="I168" i="12" s="1"/>
  <c r="O165" i="12"/>
</calcChain>
</file>

<file path=xl/sharedStrings.xml><?xml version="1.0" encoding="utf-8"?>
<sst xmlns="http://schemas.openxmlformats.org/spreadsheetml/2006/main" count="1503" uniqueCount="705">
  <si>
    <t>Versi :</t>
  </si>
  <si>
    <t>Bukalah sheet "Data Diri", kemudian ikuti petunjuk yang terdapat pada bagian atas sheet tersebut dan masukkan seluruh data diri yang diminta</t>
  </si>
  <si>
    <t>Bukalah sheet "Data Akademik", kemudian ikuti petunjuk yang terdapat pada bagian atas sheet tersebut dan masukkan seluruh data nilai kuliah yang pernah anda dapatkan</t>
  </si>
  <si>
    <t>Bukalah sheet "Hapus MK", kemudian ikuti petunjuk yang terdapat pada bagian atas sheet tersebut untuk menghapus mata kuliah yang akan anda buang dari transkrip nilai</t>
  </si>
  <si>
    <t>Setelah selesai, periksalah nilai anda di sheet "Nilai Kurikulum 2013". N. Awal adalah nilai sebelum penghapusan, N. Akhir adalah nilai setelah penghapusan.</t>
  </si>
  <si>
    <r>
      <t>Bukalah sheet "Lembar Transkrip".</t>
    </r>
    <r>
      <rPr>
        <b/>
        <sz val="12"/>
        <color rgb="FFFF0000"/>
        <rFont val="Calibri"/>
        <family val="2"/>
        <scheme val="minor"/>
      </rPr>
      <t xml:space="preserve"> Di kotak F7 terdapat AutoFilter, uncheck pilihan "Uncheck box ini"</t>
    </r>
    <r>
      <rPr>
        <b/>
        <sz val="12"/>
        <color rgb="FF002060"/>
        <rFont val="Calibri"/>
        <family val="2"/>
        <scheme val="minor"/>
      </rPr>
      <t>. Anda akan mendapatkan transkrip nilai yang "semi-rapi".
Cobalah mengubah-ubah pengisian AutoFilter tersebut sampai anda mendapatkan transkrip nilai dimana hanya mata kuliah yang ada nilainya saja yang ada di transkrip tersebut.</t>
    </r>
  </si>
  <si>
    <t>Periksalah transkrip nilai yang terdapat di sheet "Lembar Transkrip" tersebut dan pastikan semua nilai yang anda inginkan untuk terdapat di transkrip nilai final ada di sheet tersebut</t>
  </si>
  <si>
    <t>Bukalah sheet "Lembar Data Diri". Pastikan seluruh data diri anda sudah terisi dengan benar. Jika terdapat kesalahan, ubah di sheet "Data Diri"</t>
  </si>
  <si>
    <r>
      <t xml:space="preserve">Bukalah sheet "Lembar Pernyataan". </t>
    </r>
    <r>
      <rPr>
        <b/>
        <sz val="12"/>
        <color rgb="FFFF0000"/>
        <rFont val="Calibri"/>
        <family val="2"/>
        <scheme val="minor"/>
      </rPr>
      <t>Di kotak B13 terdapat AutoFilter, uncheck pilihan "Uncheck box ini"</t>
    </r>
    <r>
      <rPr>
        <b/>
        <sz val="12"/>
        <color rgb="FF002060"/>
        <rFont val="Calibri"/>
        <family val="2"/>
        <scheme val="minor"/>
      </rPr>
      <t>. Anda akan mendapatkan lembar pernyataan yang rapi.
Cobalah mengubah-ubah pengisian AutoFilter tersebut sampai anda mendapatkan tabel penghapusan mata kuliah yang rapi, jika tidak ada yang dibuang maka tabel tersebut harus kosong, sedangkan jika ada yang dibuang maka pastikan seluruh mata kuliah yang dibuang ada di tabel tersebut !</t>
    </r>
  </si>
  <si>
    <r>
      <t xml:space="preserve">Periksalah seluruh data pada Lembar Pernyataan tersebut !! </t>
    </r>
    <r>
      <rPr>
        <b/>
        <sz val="12"/>
        <color rgb="FFFF0000"/>
        <rFont val="Calibri"/>
        <family val="2"/>
        <scheme val="minor"/>
      </rPr>
      <t>Pastikan tidak ada kesalahan sedikitpun !!</t>
    </r>
  </si>
  <si>
    <t>Samakan data yang ada di SKS dan IPK di Lembar Pernyataan dan di Lembar Transkrip. Pastikan seluruhnya sama !!!</t>
  </si>
  <si>
    <t>Jika anda mengganti data di sheet "Data Akademik" dan "Hapus MK", maka AutoFilter di sheet "Lembar Transkrip" dan "Lembar Pernyataan" harus di-setting ulang</t>
  </si>
  <si>
    <t>Data yang diisikan akan diperiksa dan jika terdapat kesalahan, akan dikembalikan lagi kepada anda untuk diperbaiki</t>
  </si>
  <si>
    <t>Cetaklah sheet "Lembar Pernyataan", "Lembar Data Diri" dan "Lembar Transkrip" masing-masing pada sehelai kertas A4 (bukan A4S !!!)</t>
  </si>
  <si>
    <t>Jika satu sheet menghasilkan 2 halaman, pastikan dicetak secara bolak-balik !!</t>
  </si>
  <si>
    <t>Tanda tangani "Lembar Pernyataan" di atas nama anda</t>
  </si>
  <si>
    <t>Dibuat oleh:</t>
  </si>
  <si>
    <t>lionov@unpar.ac.id</t>
  </si>
  <si>
    <t>Catatan Perbaikan</t>
  </si>
  <si>
    <t>Lembar transkrip mengambil data dari nilai akhir, Lembar pernyataan mengambil juga data dari mk pilihan yang dihapus. Informasi nilai setelah penghapusan di Nilai Kurikulum 2013. Perbaikan format pembimbing 2 di Data Diri</t>
  </si>
  <si>
    <t>Input tanggal menggunakan manual (datepicker ada masalah). Tidak memungkinkan untuk mengisi penghapusan mata kuliah wajib di Laporan Pernyataan. Perbaikan kesalahan fatal pada perhitungan jumlah syarat SKS lulus. Perbaikan fatal pada mata kuliah dengan 2 kode berbeda dan tampilannya di transkrip akademik (DAA, MIDB &amp; Agama). Perbaikan besar pada Lembar Transkrip (tidak ada lagi NA). Perhitungan IP di lembar transkrip dihitung lagi manual agar bisa dicek oleh mahasiswa.</t>
  </si>
  <si>
    <t>Perbaikan pada Nilai Kurikulum 2013, tidak lagi memperhitungkan nilai E. Penambahan keterangan untuk mhs eks sub-jurusan TIB. Perbaikan lay-out Lembar data diri</t>
  </si>
  <si>
    <t>Perbaikan status yudisium. Penulisan IP 2 angka di belakang koma. Perbaikan nama kuliah</t>
  </si>
  <si>
    <t>Penambahan proses penggunaan lembar yudisium, terutama pengiriman ke alamat email. Pergantian nama Wakil Dekan bidang Akademik dan jabatannya.</t>
  </si>
  <si>
    <t>Mata kuliah wajib Struktur Diskret, Pengantar Sistem Cerdas dan Rekayasa Perangkat Lunak dapat dibuang oleh angkatan 2010 dan 2011 (khusus Struktur Diskret)</t>
  </si>
  <si>
    <t>Perbaikan kesalahan penulisan di instruksi Data Akademik no 3 bagian iv. Penjelasan lebih detail pada petunjuk nomor 5 dan 8. Default pada Lembar Pernyataan dan Lembar Transkrip diperbaiki.</t>
  </si>
  <si>
    <t>Perbaikan tanggal penandatanganan di lembar pernyataan</t>
  </si>
  <si>
    <t>Perbaikan petunjuk pemasukan data ke data akademik. Perbaikan nama kuliah AIF458, AIF460 dan AIF462 (dan sks-nya). Pemasukan mata kuliah EMS206 Pengantar Manajemen Sumber Daya Manusia</t>
  </si>
  <si>
    <t>PROGRAM STUDI TEKNIK INFORMATIKA</t>
  </si>
  <si>
    <t>FAKULTAS TEKNOLOGI INFORMASI DAN SAINS - UNIVERSITAS KATOLIK PARAHYANGAN</t>
  </si>
  <si>
    <t>FORMULIR PERNYATAAN</t>
  </si>
  <si>
    <t>KELENGKAPAN PELAKSANAAN KURIKULUM</t>
  </si>
  <si>
    <t>Mahasiswa tersebut di bawah ini :</t>
  </si>
  <si>
    <t>Nama</t>
  </si>
  <si>
    <t>:</t>
  </si>
  <si>
    <t>NPM</t>
  </si>
  <si>
    <t>melakukan penghapusan mata kuliah sebagai berikut :</t>
  </si>
  <si>
    <t>Kode MK</t>
  </si>
  <si>
    <t>SKS</t>
  </si>
  <si>
    <t>Nama Mata Kuliah</t>
  </si>
  <si>
    <t>Nilai</t>
  </si>
  <si>
    <t>OK</t>
  </si>
  <si>
    <t>dan telah menyelesaikan studi sarjana Program Studi Teknik Informatika dengan rincian :</t>
  </si>
  <si>
    <t>Jenis Mata Kuliah</t>
  </si>
  <si>
    <t>Awal</t>
  </si>
  <si>
    <t>Dihapus</t>
  </si>
  <si>
    <t>Akhir</t>
  </si>
  <si>
    <t>Syarat Terpenuhi ?</t>
  </si>
  <si>
    <t>MK</t>
  </si>
  <si>
    <t>Syarat Min.</t>
  </si>
  <si>
    <t>Lulus</t>
  </si>
  <si>
    <t>Wajib</t>
  </si>
  <si>
    <t>Proyek</t>
  </si>
  <si>
    <t>Pilihan Wajib</t>
  </si>
  <si>
    <t>Pilihan</t>
  </si>
  <si>
    <t>Pilihan Luar Jurusan</t>
  </si>
  <si>
    <t>Total</t>
  </si>
  <si>
    <t>A</t>
  </si>
  <si>
    <t>B</t>
  </si>
  <si>
    <t>C</t>
  </si>
  <si>
    <t>D</t>
  </si>
  <si>
    <t>E</t>
  </si>
  <si>
    <t>Jumlah MK</t>
  </si>
  <si>
    <t>Jumlah SKS</t>
  </si>
  <si>
    <t>Indeks Prestasi Kumulatif</t>
  </si>
  <si>
    <t>Masa studi terpakai</t>
  </si>
  <si>
    <t>Semester</t>
  </si>
  <si>
    <t>Yudisium</t>
  </si>
  <si>
    <t>Tanggal lulus</t>
  </si>
  <si>
    <t>Mahasiswa</t>
  </si>
  <si>
    <t>Wakil Dekan Bidang Akademik FTIS</t>
  </si>
  <si>
    <t>DATA PESERTA YUDISIUM</t>
  </si>
  <si>
    <t>Nama Mahasiswa</t>
  </si>
  <si>
    <t>Tempat/Tanggal Lahir</t>
  </si>
  <si>
    <t>Alamat</t>
  </si>
  <si>
    <t>Nomor Telepon/HP</t>
  </si>
  <si>
    <t>e-mail</t>
  </si>
  <si>
    <t>Alamat Orang Tua</t>
  </si>
  <si>
    <t>Telepon Orang Tua</t>
  </si>
  <si>
    <t>Masa Studi Terpakai</t>
  </si>
  <si>
    <t>Masa Cuti Studi Terpakai</t>
  </si>
  <si>
    <t>Lama Pengerjaan Skripsi</t>
  </si>
  <si>
    <t>Judul Skripsi</t>
  </si>
  <si>
    <t>Bahasa Indonesia</t>
  </si>
  <si>
    <t>Bahasa Inggris</t>
  </si>
  <si>
    <t>Pembimbing Skripsi</t>
  </si>
  <si>
    <t>Utama/Tunggal</t>
  </si>
  <si>
    <t>NIK :</t>
  </si>
  <si>
    <t>Serta</t>
  </si>
  <si>
    <t>Tanggal Sidang Skripsi</t>
  </si>
  <si>
    <t>Penguji</t>
  </si>
  <si>
    <t>Data Nilai Akademik</t>
  </si>
  <si>
    <t>Jurusan Teknik Informatika - Universitas Katolik Parahyangan</t>
  </si>
  <si>
    <t>Mata Kuliah Wajib</t>
  </si>
  <si>
    <t>Semester 1</t>
  </si>
  <si>
    <t>-</t>
  </si>
  <si>
    <t>Semester 2</t>
  </si>
  <si>
    <t>AIF103</t>
  </si>
  <si>
    <t>AIF104</t>
  </si>
  <si>
    <t>AIF105</t>
  </si>
  <si>
    <t>AIF106</t>
  </si>
  <si>
    <t>MKU001</t>
  </si>
  <si>
    <t>MKU008</t>
  </si>
  <si>
    <t>MKU009</t>
  </si>
  <si>
    <t>MKU010</t>
  </si>
  <si>
    <t>MKU011</t>
  </si>
  <si>
    <t>Semester 3</t>
  </si>
  <si>
    <t>Semester 4</t>
  </si>
  <si>
    <t>AIF205</t>
  </si>
  <si>
    <t>AIF206</t>
  </si>
  <si>
    <t>AMS200</t>
  </si>
  <si>
    <t>MKU012</t>
  </si>
  <si>
    <t>Semester 5</t>
  </si>
  <si>
    <t>Semester 6</t>
  </si>
  <si>
    <t>AIF302</t>
  </si>
  <si>
    <t>AIF303</t>
  </si>
  <si>
    <t>AIF305</t>
  </si>
  <si>
    <t>MKU002</t>
  </si>
  <si>
    <t>Semester 7</t>
  </si>
  <si>
    <t>Semester 8</t>
  </si>
  <si>
    <t>Mata Kuliah Pilihan Wajib</t>
  </si>
  <si>
    <t>Mata Kuliah Pilihan</t>
  </si>
  <si>
    <t>AIF181</t>
  </si>
  <si>
    <t>AIF183</t>
  </si>
  <si>
    <t>APS182</t>
  </si>
  <si>
    <t>AIF182</t>
  </si>
  <si>
    <t>AMS191</t>
  </si>
  <si>
    <t>AMS192</t>
  </si>
  <si>
    <t>AMS290</t>
  </si>
  <si>
    <t>AIF281</t>
  </si>
  <si>
    <t>AIF280</t>
  </si>
  <si>
    <t>AIF282</t>
  </si>
  <si>
    <t>AIF331</t>
  </si>
  <si>
    <t>AIF333</t>
  </si>
  <si>
    <t>AIF335</t>
  </si>
  <si>
    <t>AIF337</t>
  </si>
  <si>
    <t>AIF339</t>
  </si>
  <si>
    <t>AIF341</t>
  </si>
  <si>
    <t>AIF343</t>
  </si>
  <si>
    <t>AIF345</t>
  </si>
  <si>
    <t>AIF347</t>
  </si>
  <si>
    <t>AIF381</t>
  </si>
  <si>
    <t>AIF383</t>
  </si>
  <si>
    <t>AIF385</t>
  </si>
  <si>
    <t>AIF387</t>
  </si>
  <si>
    <t>AIF389</t>
  </si>
  <si>
    <t>AIF330</t>
  </si>
  <si>
    <t>AIF332</t>
  </si>
  <si>
    <t>AIF334</t>
  </si>
  <si>
    <t>AIF336</t>
  </si>
  <si>
    <t>AIF338</t>
  </si>
  <si>
    <t>AIF340</t>
  </si>
  <si>
    <t>AIF342</t>
  </si>
  <si>
    <t>AIF344</t>
  </si>
  <si>
    <t>AIF346</t>
  </si>
  <si>
    <t>AIF348</t>
  </si>
  <si>
    <t>AIF350</t>
  </si>
  <si>
    <t>AIF352</t>
  </si>
  <si>
    <t>AIF354</t>
  </si>
  <si>
    <t>AIF356</t>
  </si>
  <si>
    <t>AIF358</t>
  </si>
  <si>
    <t>AIF360</t>
  </si>
  <si>
    <t>AIF362</t>
  </si>
  <si>
    <t>AIF380</t>
  </si>
  <si>
    <t>AIF382</t>
  </si>
  <si>
    <t>AIF384</t>
  </si>
  <si>
    <t>AIF386</t>
  </si>
  <si>
    <t>AIF388</t>
  </si>
  <si>
    <t>AIF431</t>
  </si>
  <si>
    <t>AIF433</t>
  </si>
  <si>
    <t>AIF435</t>
  </si>
  <si>
    <t>AIF437</t>
  </si>
  <si>
    <t>AIF439</t>
  </si>
  <si>
    <t>AIF441</t>
  </si>
  <si>
    <t>AIF443</t>
  </si>
  <si>
    <t>AIF445</t>
  </si>
  <si>
    <t>AIF447</t>
  </si>
  <si>
    <t>AIF449</t>
  </si>
  <si>
    <t>AIF451</t>
  </si>
  <si>
    <t>AIF453</t>
  </si>
  <si>
    <t>AIF455</t>
  </si>
  <si>
    <t>AIF457</t>
  </si>
  <si>
    <t>AIF459</t>
  </si>
  <si>
    <t>AIF461</t>
  </si>
  <si>
    <t>AIF463</t>
  </si>
  <si>
    <t>AIF465</t>
  </si>
  <si>
    <t>AIF469</t>
  </si>
  <si>
    <t>AIF481</t>
  </si>
  <si>
    <t>AIF483</t>
  </si>
  <si>
    <t>AIF485</t>
  </si>
  <si>
    <t>AIF487</t>
  </si>
  <si>
    <t>AIF489</t>
  </si>
  <si>
    <t>AIF432</t>
  </si>
  <si>
    <t>AIF434</t>
  </si>
  <si>
    <t>AIF436</t>
  </si>
  <si>
    <t>AIF438</t>
  </si>
  <si>
    <t>AIF440</t>
  </si>
  <si>
    <t>AIF442</t>
  </si>
  <si>
    <t>AIF444</t>
  </si>
  <si>
    <t>AIF446</t>
  </si>
  <si>
    <t>AIF448</t>
  </si>
  <si>
    <t>AIF450</t>
  </si>
  <si>
    <t>AIF452</t>
  </si>
  <si>
    <t>AIF454</t>
  </si>
  <si>
    <t>AIF456</t>
  </si>
  <si>
    <t>AIF458</t>
  </si>
  <si>
    <t>AIF460</t>
  </si>
  <si>
    <t>AIF462</t>
  </si>
  <si>
    <t>AIF464</t>
  </si>
  <si>
    <t>AIF466</t>
  </si>
  <si>
    <t>AIF468</t>
  </si>
  <si>
    <t>AIF470</t>
  </si>
  <si>
    <t>AIF480</t>
  </si>
  <si>
    <t>AIF482</t>
  </si>
  <si>
    <t>AIF484</t>
  </si>
  <si>
    <t>AIF486</t>
  </si>
  <si>
    <t>Mata Kuliah Pilihan Luar Jurusan</t>
  </si>
  <si>
    <t>AMS390</t>
  </si>
  <si>
    <t>AMS391</t>
  </si>
  <si>
    <t>EAA101</t>
  </si>
  <si>
    <t>EAA102</t>
  </si>
  <si>
    <t>EMS101</t>
  </si>
  <si>
    <t>EMS105</t>
  </si>
  <si>
    <t>EMS206</t>
  </si>
  <si>
    <t>EMS208</t>
  </si>
  <si>
    <t>EMS307</t>
  </si>
  <si>
    <t>ESA101</t>
  </si>
  <si>
    <t>ESM104</t>
  </si>
  <si>
    <t>ESM201</t>
  </si>
  <si>
    <t>ESM202</t>
  </si>
  <si>
    <t>ESM203</t>
  </si>
  <si>
    <t>ESM204</t>
  </si>
  <si>
    <t>ESM206</t>
  </si>
  <si>
    <t>ESM209</t>
  </si>
  <si>
    <t>ESM314</t>
  </si>
  <si>
    <t>IND463</t>
  </si>
  <si>
    <t>SIR103</t>
  </si>
  <si>
    <t>SIR104</t>
  </si>
  <si>
    <t>SIR105</t>
  </si>
  <si>
    <t>SPO116</t>
  </si>
  <si>
    <t>Jml Mata Kuliah :</t>
  </si>
  <si>
    <t>Jml SKS :</t>
  </si>
  <si>
    <t>IP Lulus :</t>
  </si>
  <si>
    <t>No</t>
  </si>
  <si>
    <t>Sem</t>
  </si>
  <si>
    <t>NA</t>
  </si>
  <si>
    <t>Tipe</t>
  </si>
  <si>
    <t>N. awal</t>
  </si>
  <si>
    <t>N. akhir</t>
  </si>
  <si>
    <t>bp</t>
  </si>
  <si>
    <t>ap</t>
  </si>
  <si>
    <t>Tampil</t>
  </si>
  <si>
    <t>AIF101</t>
  </si>
  <si>
    <t>W</t>
  </si>
  <si>
    <t>Pemrograman Berorientasi Objek</t>
  </si>
  <si>
    <t>Syarat</t>
  </si>
  <si>
    <t>AIF191</t>
  </si>
  <si>
    <t>Matematika Diskret</t>
  </si>
  <si>
    <t>Pengantar Informatika</t>
  </si>
  <si>
    <t>Pil. Wajib</t>
  </si>
  <si>
    <t>Pancasila</t>
  </si>
  <si>
    <t>Etika</t>
  </si>
  <si>
    <t>Pil. Luar J</t>
  </si>
  <si>
    <t>4 (max)</t>
  </si>
  <si>
    <t>AIF102</t>
  </si>
  <si>
    <t>Algoritma dan Struktur Data</t>
  </si>
  <si>
    <t>sesudah</t>
  </si>
  <si>
    <t>AIF192</t>
  </si>
  <si>
    <t>Jml SKS</t>
  </si>
  <si>
    <t>Logika Informatika</t>
  </si>
  <si>
    <t>Sistem Dijital</t>
  </si>
  <si>
    <t>AMS100</t>
  </si>
  <si>
    <t>Matematika Informatika</t>
  </si>
  <si>
    <t>AMS190</t>
  </si>
  <si>
    <t>Estetika</t>
  </si>
  <si>
    <t>AIF201</t>
  </si>
  <si>
    <t>Analisis dan Desain Berorientasi Objek</t>
  </si>
  <si>
    <t>AIF203</t>
  </si>
  <si>
    <t>Struktur Diskret</t>
  </si>
  <si>
    <t>Sebelum</t>
  </si>
  <si>
    <t>Sesudah</t>
  </si>
  <si>
    <t>Arsitektur dan Organisasi Komputer</t>
  </si>
  <si>
    <t>P</t>
  </si>
  <si>
    <t>Probabilitas dan Statistika</t>
  </si>
  <si>
    <t>PW</t>
  </si>
  <si>
    <t>MKU003</t>
  </si>
  <si>
    <t>Agama Katolik</t>
  </si>
  <si>
    <t>MKU004</t>
  </si>
  <si>
    <t>Fenomenologi Agama</t>
  </si>
  <si>
    <t>Logika</t>
  </si>
  <si>
    <t>AIF202</t>
  </si>
  <si>
    <t>Desain dan Analisis Algoritma</t>
  </si>
  <si>
    <t>AIF292</t>
  </si>
  <si>
    <t>AIF204</t>
  </si>
  <si>
    <t>Manajemen Informasi dan Basisdata</t>
  </si>
  <si>
    <t>AIF294</t>
  </si>
  <si>
    <t>0 (min)</t>
  </si>
  <si>
    <t>Sistem Operasi</t>
  </si>
  <si>
    <t>AIF208</t>
  </si>
  <si>
    <t>Rekayasa Perangkat Lunak</t>
  </si>
  <si>
    <t>AIF210</t>
  </si>
  <si>
    <t>Interaksi Manusia Komputer</t>
  </si>
  <si>
    <t>sebelum</t>
  </si>
  <si>
    <t>AIF301</t>
  </si>
  <si>
    <t xml:space="preserve">Pengantar Sistem Cerdas </t>
  </si>
  <si>
    <t xml:space="preserve">Pengantar Sistem Informasi </t>
  </si>
  <si>
    <t xml:space="preserve">Jaringan Komputer </t>
  </si>
  <si>
    <t>Pendidikan Kewarganegaraan</t>
  </si>
  <si>
    <t xml:space="preserve">Penulisan Ilmiah </t>
  </si>
  <si>
    <t>AIF304</t>
  </si>
  <si>
    <t>Proyek Sistem Informasi 1</t>
  </si>
  <si>
    <t>AIF405</t>
  </si>
  <si>
    <t>Proyek Sistem Informasi 2</t>
  </si>
  <si>
    <t>AIF306</t>
  </si>
  <si>
    <t>Proyek Informatika</t>
  </si>
  <si>
    <t>AIF396</t>
  </si>
  <si>
    <t>AIF401</t>
  </si>
  <si>
    <t>Skripsi 1</t>
  </si>
  <si>
    <t>AIF491</t>
  </si>
  <si>
    <t>AIF403</t>
  </si>
  <si>
    <t xml:space="preserve">Komputer dan Masyarakat </t>
  </si>
  <si>
    <t>AIF402</t>
  </si>
  <si>
    <t>Skripsi 2</t>
  </si>
  <si>
    <t>AIF492</t>
  </si>
  <si>
    <t>APS402</t>
  </si>
  <si>
    <t xml:space="preserve">Etika Profesi </t>
  </si>
  <si>
    <t>AIF311</t>
  </si>
  <si>
    <t>Pemrograman Fungsional</t>
  </si>
  <si>
    <t>AIF313</t>
  </si>
  <si>
    <t>Grafika Komputer</t>
  </si>
  <si>
    <t>AIF315</t>
  </si>
  <si>
    <t>Pemrograman Berbasis Web</t>
  </si>
  <si>
    <t>AIF317</t>
  </si>
  <si>
    <t>Desain Antarmuka Grafis</t>
  </si>
  <si>
    <t>AIF312</t>
  </si>
  <si>
    <t>Keamanan Informasi</t>
  </si>
  <si>
    <t>AIF314</t>
  </si>
  <si>
    <t>Pemrograman Basisdata</t>
  </si>
  <si>
    <t>AIF316</t>
  </si>
  <si>
    <t>Komputasi Paralel</t>
  </si>
  <si>
    <t>AIF318</t>
  </si>
  <si>
    <t>Pemrograman Aplikasi Bergerak</t>
  </si>
  <si>
    <t>Dasar - Dasar Pemrograman</t>
  </si>
  <si>
    <t>Pemrograman Prosedural</t>
  </si>
  <si>
    <t>Fisika Dasar</t>
  </si>
  <si>
    <t>Pengantar Basisdata</t>
  </si>
  <si>
    <t>Kalkulus</t>
  </si>
  <si>
    <t>Kalkulus 2</t>
  </si>
  <si>
    <t>Aljabar Linear dan Matriks</t>
  </si>
  <si>
    <t>Pengenalan Bidang Ilmu TIK</t>
  </si>
  <si>
    <t>Praktika Interaksi Manusia Komputer</t>
  </si>
  <si>
    <t>Algoritma &amp; Struktur Data Lanjut</t>
  </si>
  <si>
    <t>Topik Khusus Informatika 1</t>
  </si>
  <si>
    <t>Topik Khusus Sistem Informasi 1</t>
  </si>
  <si>
    <t>Pembelajaran Mesin</t>
  </si>
  <si>
    <t>Matematika Teknik</t>
  </si>
  <si>
    <t>Pemodelan Formal</t>
  </si>
  <si>
    <t>Administrasi Jaringan Komputer 1</t>
  </si>
  <si>
    <t>Pemrograman Kompetitif</t>
  </si>
  <si>
    <t>Pengujian Perangkat Lunak</t>
  </si>
  <si>
    <t>e-Commerce</t>
  </si>
  <si>
    <t>Analisis Sistem Informasi</t>
  </si>
  <si>
    <t>Praktika Grafika Komputer</t>
  </si>
  <si>
    <t>Praktika Pemrograman Berbasis Web</t>
  </si>
  <si>
    <t>Pengantar Telekomunikasi</t>
  </si>
  <si>
    <t>Kriptografi</t>
  </si>
  <si>
    <t>Kerja Praktek 1</t>
  </si>
  <si>
    <t>Topik Khusus Informatika 2</t>
  </si>
  <si>
    <t>Topik Khusus Sistem Informasi 2</t>
  </si>
  <si>
    <t>Algoritma Kriptografi</t>
  </si>
  <si>
    <t>Bioinformatika</t>
  </si>
  <si>
    <t>Komputasi Geometri</t>
  </si>
  <si>
    <t>Administrasi Jaringan Komputer 2</t>
  </si>
  <si>
    <t>Pemodelan dan Simulasi</t>
  </si>
  <si>
    <t>Perancangan Permainan Komputer</t>
  </si>
  <si>
    <t>Verifikasi Formal</t>
  </si>
  <si>
    <t>Algoritma Genetika</t>
  </si>
  <si>
    <t>Jaringan Syaraf Tiruan</t>
  </si>
  <si>
    <t>Teori Bahasa dan Kompilasi</t>
  </si>
  <si>
    <t>Analisis Proses Bisnis</t>
  </si>
  <si>
    <t>Jaringan Komputer Lanjut</t>
  </si>
  <si>
    <t>Pemrograman Berbasis Web Lanjut</t>
  </si>
  <si>
    <t>Sistem dan Aplikasi Telematika</t>
  </si>
  <si>
    <t>Teori Bahasa dan Otomata</t>
  </si>
  <si>
    <t>Gudang Data dan Penambangan Data</t>
  </si>
  <si>
    <t>Praktika Pemrograman Basisdata</t>
  </si>
  <si>
    <t>Manajemen Projek Teknologi Informasi</t>
  </si>
  <si>
    <t>Praktika Pemrograman Aplikasi Bergerak</t>
  </si>
  <si>
    <t>Topik Khusus Informatika 3</t>
  </si>
  <si>
    <t>Topik Khusus Sistem Informasi 3</t>
  </si>
  <si>
    <t>Grafika Komputer Lanjut</t>
  </si>
  <si>
    <t>Kecerdasan Buatan untuk Permainan Komputer</t>
  </si>
  <si>
    <t>Kerja Praktek 2</t>
  </si>
  <si>
    <t>Administrasi Jaringan Komputer 3</t>
  </si>
  <si>
    <t>Matematika Kombinatorial</t>
  </si>
  <si>
    <t>Metode Numerik</t>
  </si>
  <si>
    <t>Metode Optimisasi</t>
  </si>
  <si>
    <t>Teknologi Mesin Pencari</t>
  </si>
  <si>
    <t>Audit Sistem Informasi</t>
  </si>
  <si>
    <t>Kecerdasan Bisnis</t>
  </si>
  <si>
    <t>Sistem Pendukung Keputusan</t>
  </si>
  <si>
    <t>Kewirausahaan Berbasis Teknologi</t>
  </si>
  <si>
    <t>Administrasi Basisdata</t>
  </si>
  <si>
    <t>Pencarian dan Temu Kembali Informasi</t>
  </si>
  <si>
    <t>Jaringan Nirkabel</t>
  </si>
  <si>
    <t>Teknologi Middleware</t>
  </si>
  <si>
    <t>Layanan Berbasis Web</t>
  </si>
  <si>
    <t>Sistem Pakar</t>
  </si>
  <si>
    <t>Teknik Kompilasi</t>
  </si>
  <si>
    <t>Metode Formal</t>
  </si>
  <si>
    <t>Perencanaan Sistem Informasi</t>
  </si>
  <si>
    <t>Keamanan Informasi Dijital</t>
  </si>
  <si>
    <t>Topik Khusus Informatika 4</t>
  </si>
  <si>
    <t>Topik Khusus Sistem Informasi 4</t>
  </si>
  <si>
    <t>Bio-Inspired Computing</t>
  </si>
  <si>
    <t>Penambangan Data</t>
  </si>
  <si>
    <t>Kerja Praktek 3</t>
  </si>
  <si>
    <t>Administrasi Jaringan Komputer 4</t>
  </si>
  <si>
    <t>Pemrograman Permainan Komputer</t>
  </si>
  <si>
    <t>Kompresi Data</t>
  </si>
  <si>
    <t>Pemrosesan Data Geografis</t>
  </si>
  <si>
    <t>Pengolahan Citra</t>
  </si>
  <si>
    <t>Pemrograman Lojik</t>
  </si>
  <si>
    <t>Sistem Multi Agen</t>
  </si>
  <si>
    <t>Strategi Sistem Informasi &amp; Arsitektur Perusahaan Berskala Besar</t>
  </si>
  <si>
    <t>Pengendalian &amp; Audit Teknologi Informasi</t>
  </si>
  <si>
    <t>Manajemen Pengetahuan</t>
  </si>
  <si>
    <t>Manajemen Proses Bisnis</t>
  </si>
  <si>
    <t>Sistem Perusahaan Skala Besar</t>
  </si>
  <si>
    <t>Sistem Terdistribusi</t>
  </si>
  <si>
    <t>Teknologi Multimedia</t>
  </si>
  <si>
    <t>Pemrograman Jaringan</t>
  </si>
  <si>
    <t>Pemrograman Sistem</t>
  </si>
  <si>
    <t>Pemerintahan Berbasis Elektronik</t>
  </si>
  <si>
    <t>Kewirausahaan</t>
  </si>
  <si>
    <t>Keamanan Jaringan</t>
  </si>
  <si>
    <t>PLJ</t>
  </si>
  <si>
    <t>Pemrograman Linear</t>
  </si>
  <si>
    <t>Teori Bilangan</t>
  </si>
  <si>
    <t>Dunia Digital dan Sains : Suatu Pengantar</t>
  </si>
  <si>
    <t>Akuntansi Keuangan Dasar I</t>
  </si>
  <si>
    <t>Akuntansi Keuangan Dasar II</t>
  </si>
  <si>
    <t>Pengantar Bisnis</t>
  </si>
  <si>
    <t>Manajemen</t>
  </si>
  <si>
    <t>Pengantar Manajemen Sumber Daya Manusia</t>
  </si>
  <si>
    <t>Bahasa Inggris Bisnis</t>
  </si>
  <si>
    <t>Komunikasi Bisnis</t>
  </si>
  <si>
    <t>Akuntansi Keuangan Dasar</t>
  </si>
  <si>
    <t>Kepemimpinan Dasar</t>
  </si>
  <si>
    <t>Perilaku Keorganisasian</t>
  </si>
  <si>
    <t>Pengantar Manajemen Operasi</t>
  </si>
  <si>
    <t>Pengantar Manajemen Pemasaran</t>
  </si>
  <si>
    <t>Manajemen Keuangan I</t>
  </si>
  <si>
    <t>Manajemen Insani</t>
  </si>
  <si>
    <t>Manajemen Keuangan II</t>
  </si>
  <si>
    <t>Studi Kelayakan Bisnis</t>
  </si>
  <si>
    <t>Komunikasi Profesional</t>
  </si>
  <si>
    <t>Bahasa Mandarin</t>
  </si>
  <si>
    <t>Bahasa Jepang</t>
  </si>
  <si>
    <t>Bahasa Perancis</t>
  </si>
  <si>
    <t>SPO116-2</t>
  </si>
  <si>
    <t>Perekonomian Indonesia</t>
  </si>
  <si>
    <t>Petunjuk</t>
  </si>
  <si>
    <t>Dua kotak paling kanan adalah kotak informasi SKS dan IPK Lulus jika melakukan penghapusan mata kuliah</t>
  </si>
  <si>
    <t>Kotak sebelah kiri adalah berisi informasi mata kuliah wajib yang harus dibuang jika anda memiliki dua nilai dalam satu kelompok mata kuliah</t>
  </si>
  <si>
    <t>i</t>
  </si>
  <si>
    <r>
      <t xml:space="preserve">Sudah terdapat kolom mata kuliah yang </t>
    </r>
    <r>
      <rPr>
        <b/>
        <sz val="10"/>
        <color rgb="FF00B050"/>
        <rFont val="Calibri"/>
        <family val="2"/>
        <scheme val="minor"/>
      </rPr>
      <t xml:space="preserve">disimpan </t>
    </r>
    <r>
      <rPr>
        <b/>
        <sz val="10"/>
        <color rgb="FF002060"/>
        <rFont val="Calibri"/>
        <family val="2"/>
        <scheme val="minor"/>
      </rPr>
      <t xml:space="preserve">dan mata kuliah yang </t>
    </r>
    <r>
      <rPr>
        <b/>
        <sz val="10"/>
        <color rgb="FFFF0000"/>
        <rFont val="Calibri"/>
        <family val="2"/>
        <scheme val="minor"/>
      </rPr>
      <t>dibuang</t>
    </r>
    <r>
      <rPr>
        <b/>
        <sz val="10"/>
        <color rgb="FF002060"/>
        <rFont val="Calibri"/>
        <family val="2"/>
        <scheme val="minor"/>
      </rPr>
      <t>, dan sudah terisi secara otomatis</t>
    </r>
  </si>
  <si>
    <t>ii</t>
  </si>
  <si>
    <r>
      <t xml:space="preserve">Anda dapat mengganti mata kuliah yang hendak disimpan dengan cara memilih menggunakan drop-down box di kotak berwarna </t>
    </r>
    <r>
      <rPr>
        <b/>
        <sz val="10"/>
        <color theme="3" tint="0.39997558519241921"/>
        <rFont val="Calibri"/>
        <family val="2"/>
        <scheme val="minor"/>
      </rPr>
      <t>biru muda</t>
    </r>
  </si>
  <si>
    <r>
      <t xml:space="preserve">Tuliskan kode mata kuliah yang hendak anda buang di kotak berwarna </t>
    </r>
    <r>
      <rPr>
        <b/>
        <sz val="10"/>
        <color theme="3" tint="0.39997558519241921"/>
        <rFont val="Calibri"/>
        <family val="2"/>
        <scheme val="minor"/>
      </rPr>
      <t>biru muda</t>
    </r>
  </si>
  <si>
    <t>Atau anda dapat menggunakan drop-down box untuk memilih mata kuliah yang akan dibuang</t>
  </si>
  <si>
    <t>Lanjutkan ke sheet Nilai Kurikulum 2013 dan sheet Lembar Pengesahan, Data Diri dan Transkrip untuk memeriksa kelengkapan nilai anda</t>
  </si>
  <si>
    <t>Mata kuliah WAJIB yang harus dibuang</t>
  </si>
  <si>
    <t>Mata kuliah PILIHAN dan/atau PILIHAN WAJIB yang akan dibuang</t>
  </si>
  <si>
    <t>OtoBuang</t>
  </si>
  <si>
    <t>OtoSimpan</t>
  </si>
  <si>
    <t>Hasil : Disimpan</t>
  </si>
  <si>
    <t>Hasil : Dibuang</t>
  </si>
  <si>
    <t>Sebelum Penghapusan</t>
  </si>
  <si>
    <t/>
  </si>
  <si>
    <t>Jumlah SKS Pilihan :</t>
  </si>
  <si>
    <t>Jumlah SKS Pilihan Wajib :</t>
  </si>
  <si>
    <t>Jml MK</t>
  </si>
  <si>
    <t>SKS &amp; IP Lulus</t>
  </si>
  <si>
    <t>Setelah Penghapusan</t>
  </si>
  <si>
    <t>IPK</t>
  </si>
  <si>
    <t>Perubahan</t>
  </si>
  <si>
    <t>Anda dapat memilih untuk mengisi nilai anda di kotak sebelah kiri atau sebelah kanan saja. Dianjurkan hanya menggunakan salah satu saja !</t>
  </si>
  <si>
    <t>Untuk kotak sebelah kiri :</t>
  </si>
  <si>
    <t>Buka halaman "Daftar Perkembangan Studi" di web studentportal anda</t>
  </si>
  <si>
    <t>'Select' seluruh nilai anda mulai dari tulisan "Semester 1" s.d. baris terakhir dari daftar nilai anda</t>
  </si>
  <si>
    <t>iii</t>
  </si>
  <si>
    <t>Klik kanan dan pilih 'Copy'</t>
  </si>
  <si>
    <t>iv</t>
  </si>
  <si>
    <t>v</t>
  </si>
  <si>
    <t>Klik kanan dan pilih 'Match Destination Formatting (M)' pada bagian 'Paste Options' (atau jika tidak ada, pilih 'Paste Special...' lalu 'Text'. Hapuslah mata kuliah yang memiliki nilai terbaik E !</t>
  </si>
  <si>
    <t>vi</t>
  </si>
  <si>
    <t>Anda dapat melihat seluruh nilai anda di sheet "Nilai Kurikulum 2013" (diambil nilai terbaik jika ada beberapa nilai pada 1 kuliah)</t>
  </si>
  <si>
    <t>Lanjutkan ke sheet "Hapus MK"</t>
  </si>
  <si>
    <t>Isilah data-data yang diminta pada kolom berwarna biru muda</t>
  </si>
  <si>
    <t>Penulisan nama dan tempat/tanggal lahir harus sesuai dengan akte lahir, ketidaksesuaian akan menyebabkan kesalahan penulisan nama dan tempat/tanggal lahir di ijazah dan transkrip nilai</t>
  </si>
  <si>
    <t>Untuk nama-nama dosen, dipilih melalui drop-down box, jangan menuliskan sendiri</t>
  </si>
  <si>
    <t>Setelah selesai, lanjutkan ke sheet "Data Akademik"</t>
  </si>
  <si>
    <t>Data Diri</t>
  </si>
  <si>
    <t>Tempat Lahir</t>
  </si>
  <si>
    <t>Tanggal Lahir</t>
  </si>
  <si>
    <t>1/1/1990</t>
  </si>
  <si>
    <t>Kota</t>
  </si>
  <si>
    <t>Propinsi</t>
  </si>
  <si>
    <t>Kode Pos</t>
  </si>
  <si>
    <t>No. Telepon/HP</t>
  </si>
  <si>
    <t>Facebook</t>
  </si>
  <si>
    <t>Twitter</t>
  </si>
  <si>
    <t>LinkedIn</t>
  </si>
  <si>
    <t>Nama Orang Tua (Ayah/Ibu)</t>
  </si>
  <si>
    <t>Kota (Alamat Orang Tua)</t>
  </si>
  <si>
    <t>Provinsi (Alamat Orang Tua)</t>
  </si>
  <si>
    <t>Kode Pos (Alamat Orang Tua)</t>
  </si>
  <si>
    <t>Data Studi</t>
  </si>
  <si>
    <t>Masa studi terpakai (semester)</t>
  </si>
  <si>
    <t>Masa cuti studi (semester)</t>
  </si>
  <si>
    <t>Data Skripsi</t>
  </si>
  <si>
    <t>Lama Pengerjaan (semester)</t>
  </si>
  <si>
    <t>Judul Bahasa Indonesia</t>
  </si>
  <si>
    <t>Judul Bahasa Inggris</t>
  </si>
  <si>
    <t>Pembimbing Tunggal/Utama</t>
  </si>
  <si>
    <t>Dr. Oerip S. Santoso</t>
  </si>
  <si>
    <t>Pembimbing Serta</t>
  </si>
  <si>
    <t>Tanggal Sidang</t>
  </si>
  <si>
    <t>8/1/2013</t>
  </si>
  <si>
    <t>Penguji 1</t>
  </si>
  <si>
    <t>Nico Saputro, M.T.</t>
  </si>
  <si>
    <t>Penguji 2</t>
  </si>
  <si>
    <t>Joanna Helga, M.Sc.</t>
  </si>
  <si>
    <t>Lain - Lain</t>
  </si>
  <si>
    <t>Tanggal Yudisium</t>
  </si>
  <si>
    <t>9/30/2013</t>
  </si>
  <si>
    <t>Tanggal Pengisian</t>
  </si>
  <si>
    <t>Chandra Wijaya, M.T.</t>
  </si>
  <si>
    <t>Elisati Hulu, M.T.</t>
  </si>
  <si>
    <t>Husnul Hakim, M.T.</t>
  </si>
  <si>
    <t>Lionov, M.Sc.</t>
  </si>
  <si>
    <t>Luciana Abednego, M.T.</t>
  </si>
  <si>
    <t>Dr. Veronica Sri Moertini</t>
  </si>
  <si>
    <t>Janto Vincent Sulungbudi, S.Si.</t>
  </si>
  <si>
    <t>Perbaikan jumlah mata kuliah wajib. MK Projek hanya dikurangi 1 dari seharusnya 2 (Projek SI !!)</t>
  </si>
  <si>
    <t xml:space="preserve"> ??? (Lupa)</t>
  </si>
  <si>
    <t>Perbaikan pada tampilan mata kuliah pilihan wajib bagi mahasiswa angkatan 2011 dst</t>
  </si>
  <si>
    <t>Tidak perlu diisi, diisi di Form Pendaftaran Wisuda</t>
  </si>
  <si>
    <t>Penyesuaian dengan form wisuda dan petunjuk alamat tempat form pendaftaran wisuda</t>
  </si>
  <si>
    <t>Cara Penggunaan (baca baik-baik SELURUH instruksi di bawah ini SEBELUM mengisi excel ini !!):</t>
  </si>
  <si>
    <t>Jika anda ingin mengikuti wisuda, isi juga form pendaftaran wisuda untuk prodi INFormatika di alamat http://tr.im/wisudainf</t>
  </si>
  <si>
    <t>Pastikan ketiga lembar tersebut dikokot (di-hechtte) dengan menggunakan pengokot (stapler), sesuai urutan di no 16</t>
  </si>
  <si>
    <t>Serahkan ketiga lembar kertas tesebut kepada Sekretaris Jurusan Teknik Informatika, bersama dengan buku skripsi yang sudah ditandatangani lengkap, surat bebas pinjam dari perpustakaan dan 2 cd/dvd (tulis nama dan npm anda di atas cd/dvd tersebut) di dalam box cd/dvd tebal warna putih/transparan</t>
  </si>
  <si>
    <t>Perbaikan makenisme penyerahan kelengkapan yudisium</t>
  </si>
  <si>
    <t>Aditya Bagoes Saputra, M.T.</t>
  </si>
  <si>
    <t xml:space="preserve">Ubahlah nama file ini menjadi NPM anda (format: 20XX730YYY.xlsx) dan upload file excel ini di eLearning pada kuliah 39-Yudisium. </t>
  </si>
  <si>
    <t>Setelah itu, periksa dokumen di eLearning tersebut dengan nama "Pemeriksaan Lembar Yudisium", apakah sudah ada kata OK/NOK pada NPM anda. Jika masih NOK, artinya anda masih harus memperbaikinya. Jika sudah OK, artinya anda  boleh mencetaknya.</t>
  </si>
  <si>
    <t>Sebelum dicetak, kirimkan sekali lagi file excel yang sudah final tersebut ke alamat email husnulhakim@unpar.ac.id. Subject email harus diisi dengan "[YUDISIUM] 20XX730YYY" (Contoh: [YUDISIUM] 2001730001 )</t>
  </si>
  <si>
    <t>Ketua Prodi T. Informatika</t>
  </si>
  <si>
    <t>Wakil Dekan Bid. Akademik FTIS</t>
  </si>
  <si>
    <t>Dr.rer.nat. Cecilia Esti Nugraheni</t>
  </si>
  <si>
    <t>Rosa De Lima, M.Kom.</t>
  </si>
  <si>
    <t>Dott. Thomas Anung Basuki</t>
  </si>
  <si>
    <t>Mariskha Tri Adithia, P.D.Eng</t>
  </si>
  <si>
    <t>Gede Karya, M.T., CISA</t>
  </si>
  <si>
    <t>Pascal Alfadian, M.Comp.</t>
  </si>
  <si>
    <t>Vania Natali, M.T.</t>
  </si>
  <si>
    <t>Dr. Julius Dharma Lesmono</t>
  </si>
  <si>
    <t>Farah Kristiani, M.Si.</t>
  </si>
  <si>
    <t>Erwinna Chendra, M.Si.</t>
  </si>
  <si>
    <t>Dr. Ferry Jaya Permana, ASAI</t>
  </si>
  <si>
    <t>Agus Sukmana, M.Sc.</t>
  </si>
  <si>
    <t>Prof. M. Wono Setya Budhi, Ph.D.</t>
  </si>
  <si>
    <t>Liem Chin, M.Si.</t>
  </si>
  <si>
    <t>Iwan Sugiarto, M.Si.</t>
  </si>
  <si>
    <t>Ivonne Martin, M.Sc.</t>
  </si>
  <si>
    <t>Livia Owen, M.Si.</t>
  </si>
  <si>
    <t>Benny Yong, M.Si.</t>
  </si>
  <si>
    <t>Taufik Limansyah, M.T.</t>
  </si>
  <si>
    <t>Maria Anestasia, M.Si.</t>
  </si>
  <si>
    <t>Paulus Cahyono Tjiang, Ph.D.</t>
  </si>
  <si>
    <t>Prof. B. Suprapto Brotosiswojo, Ph.D.</t>
  </si>
  <si>
    <t>Aloysius Rusli, Ph.D.</t>
  </si>
  <si>
    <t>Kian Ming, M.Si.</t>
  </si>
  <si>
    <t>Sylvia Hastuti Sutanto, Ph.D.</t>
  </si>
  <si>
    <t>Flaviana, M.T.</t>
  </si>
  <si>
    <t>Philips Nicolas Gunawidjaja, Ph.D.</t>
  </si>
  <si>
    <t>Elok Fidiani, M.Sc.</t>
  </si>
  <si>
    <t>Risti Suryantari, M.Sc.</t>
  </si>
  <si>
    <t>Haryanto Siahaan, Ph.D.</t>
  </si>
  <si>
    <t>Reinard Primulando, Ph.D.</t>
  </si>
  <si>
    <t>Untuk tanggal, masukkan dengan format bln/tgl/tahun (contoh : 12/31/2012) atau tgl/bln/tahun (contoh : 31/12/2012) sesuai dengan konfigurasi komputer masing-masing</t>
  </si>
  <si>
    <t>Ketua Prodi Teknik Informatika</t>
  </si>
  <si>
    <t>APS302</t>
  </si>
  <si>
    <t>Untuk kotak sebelah kanan, anda dapat langsung mengisi nilai mata kuliah anda di kolom berwarna biru. Jika anda pernah mengulang mata kuliah, isi dengan nilai terbaik.</t>
  </si>
  <si>
    <t>Perubahan nama kajur, cara penguploadan lembar yudisium</t>
  </si>
  <si>
    <t>Perubahan nama WD1</t>
  </si>
  <si>
    <t>Jika terdapat kesalahan pada excel ini, hubungi Kaprodi/Sekprodi T. Informatika. Tq.</t>
  </si>
  <si>
    <t>vii</t>
  </si>
  <si>
    <t>Anda dapat mengubah isi cell dengan cara memilihnya dan menekan F2 (edit cell)</t>
  </si>
  <si>
    <r>
      <t xml:space="preserve">Kembali ke sheet ini, pastikan kotak sebelah kiri kosong dan kemudian tempatkan 'cursor' (active cell) pada kotak A14 (warna </t>
    </r>
    <r>
      <rPr>
        <b/>
        <sz val="10"/>
        <color rgb="FF00B050"/>
        <rFont val="Calibri"/>
        <family val="2"/>
        <scheme val="minor"/>
      </rPr>
      <t>hijau</t>
    </r>
    <r>
      <rPr>
        <b/>
        <sz val="10"/>
        <color rgb="FF002060"/>
        <rFont val="Calibri"/>
        <family val="2"/>
        <scheme val="minor"/>
      </rPr>
      <t>)</t>
    </r>
  </si>
  <si>
    <t xml:space="preserve">Dipilih </t>
  </si>
  <si>
    <t>Kotak sebelah kanan (tengah) berisi informasi mata kuliah pilihan yang dapat dibuang untuk menaikkan IPK anda</t>
  </si>
  <si>
    <t>Perubahan "Kajur" menjadi "Kaprodi". Perbaikan dan penambahan nama dan gelar dosen. Jika diperlukan, nama Kaprodi dan WD1 bisa diganti manual oleh pengisi. Nilai E tidak bisa dimasukkan secara manual dan ditambahkan petunjuk bahwa Data Akademik dapat diubah (untuk yg copy-paste). Perubahan kode APS309 menjadi APS302. Perbaikan rumus untuk yang mengisi nilai E, kemalasan membaca petunjuk sudah diantisipasi.</t>
  </si>
  <si>
    <t>13 Januari 2016 09.38</t>
  </si>
  <si>
    <t>AIF471</t>
  </si>
  <si>
    <t>Pengolahan Bahasa Alami</t>
  </si>
  <si>
    <t>AIF471-3</t>
  </si>
  <si>
    <t>Claudio Franciscus, M.T.</t>
  </si>
  <si>
    <t>AIF351</t>
  </si>
  <si>
    <t>Dasar - Dasar Pemrograman Java</t>
  </si>
  <si>
    <t>LUCKY SENJAYA DARMAWAN</t>
  </si>
  <si>
    <t>TASIKMALAYA</t>
  </si>
  <si>
    <t>Jl. Bukit Indah no 3B kamar A3 (Ciumbuleuit)</t>
  </si>
  <si>
    <t>Bandung</t>
  </si>
  <si>
    <t>089662030340</t>
  </si>
  <si>
    <t>lucky.kls9b@gmail.com</t>
  </si>
  <si>
    <t>Jl. Perintis Kemerdekaan Ruko no 4 Tasikmalaya</t>
  </si>
  <si>
    <t>Tasikmalaya</t>
  </si>
  <si>
    <t>STUDI DAN INTEGRASI WORKFLOW MENGGUNAKAN BPMS DAN SISTEM EMAIL</t>
  </si>
  <si>
    <t>WORKFLOW STUDY AND INTEGRATION USING BPMS AND EMAIL SYSTEM</t>
  </si>
  <si>
    <t>SEMESTER 1</t>
  </si>
  <si>
    <t>SEMESTER 2</t>
  </si>
  <si>
    <t>AIF103-3</t>
  </si>
  <si>
    <t>Matematika Diskrit</t>
  </si>
  <si>
    <t>AIF102-4</t>
  </si>
  <si>
    <t>Algoritma &amp; Struktur Data</t>
  </si>
  <si>
    <t>AIF105-3</t>
  </si>
  <si>
    <t>AIF104-3</t>
  </si>
  <si>
    <t>AIF191-3</t>
  </si>
  <si>
    <t>AIF106-3</t>
  </si>
  <si>
    <t>MKU001-2</t>
  </si>
  <si>
    <t>Pendidikan Pancasila</t>
  </si>
  <si>
    <t>AMS100-4</t>
  </si>
  <si>
    <t>MKU008-2</t>
  </si>
  <si>
    <t>MKU009-2</t>
  </si>
  <si>
    <t>MKU010-2</t>
  </si>
  <si>
    <t>MKU011-2</t>
  </si>
  <si>
    <t>SEMESTER 3</t>
  </si>
  <si>
    <t>SEMESTER 4</t>
  </si>
  <si>
    <t>AIF201-4</t>
  </si>
  <si>
    <t>Analisis &amp; Desain Berorientasi Objek</t>
  </si>
  <si>
    <t>AIF202-4</t>
  </si>
  <si>
    <t>Desain &amp; Analisis Algoritma</t>
  </si>
  <si>
    <t>AIF203-4</t>
  </si>
  <si>
    <t>Struktur Diskrit</t>
  </si>
  <si>
    <t>AIF204-4</t>
  </si>
  <si>
    <t>Manajemen Informasi &amp; Basis Data</t>
  </si>
  <si>
    <t>AIF205-3</t>
  </si>
  <si>
    <t>Arsitektur &amp; Organisasi Komputer</t>
  </si>
  <si>
    <t>AIF206-4</t>
  </si>
  <si>
    <t>AMS200-3</t>
  </si>
  <si>
    <t>Probabilitas &amp; Statistika</t>
  </si>
  <si>
    <t>AIF208-4</t>
  </si>
  <si>
    <t>MKU004-2</t>
  </si>
  <si>
    <t>Pendidikan Agama (fenomenologi)</t>
  </si>
  <si>
    <t>AIF210-2</t>
  </si>
  <si>
    <t>MKU012-2</t>
  </si>
  <si>
    <t>SEMESTER 5</t>
  </si>
  <si>
    <t>SEMESTER 6</t>
  </si>
  <si>
    <t>AIF301-3</t>
  </si>
  <si>
    <t>Pengantar Sistem Cerdas</t>
  </si>
  <si>
    <t>E-D</t>
  </si>
  <si>
    <t>141-151</t>
  </si>
  <si>
    <t>AIF302-2</t>
  </si>
  <si>
    <t>Penulisan Ilmiah</t>
  </si>
  <si>
    <t>AIF303-3</t>
  </si>
  <si>
    <t>Pengantar Sistem Informasi</t>
  </si>
  <si>
    <t>AIF306-6</t>
  </si>
  <si>
    <t>AIF305-4</t>
  </si>
  <si>
    <t>Jaringan Komputer</t>
  </si>
  <si>
    <t>E-A</t>
  </si>
  <si>
    <t>MKU002-2</t>
  </si>
  <si>
    <t>SEMESTER 7</t>
  </si>
  <si>
    <t>SEMESTER 8</t>
  </si>
  <si>
    <t>AIF401-4</t>
  </si>
  <si>
    <t>AIF402-6</t>
  </si>
  <si>
    <t>Skripsi 2 «</t>
  </si>
  <si>
    <t>--B</t>
  </si>
  <si>
    <t>152-161-162</t>
  </si>
  <si>
    <t>AIF403-2</t>
  </si>
  <si>
    <t>Komputer &amp; Masyarakat</t>
  </si>
  <si>
    <t>APS402-2</t>
  </si>
  <si>
    <t>Etika Profesi</t>
  </si>
  <si>
    <t>AMS290-3</t>
  </si>
  <si>
    <t>Aljabar Linear &amp; Matriks</t>
  </si>
  <si>
    <t>AIF311-2</t>
  </si>
  <si>
    <t>AIF313-2</t>
  </si>
  <si>
    <t>AIF315-2</t>
  </si>
  <si>
    <t>AIF341-3</t>
  </si>
  <si>
    <t>AIF312-2</t>
  </si>
  <si>
    <t>AIF318-2</t>
  </si>
  <si>
    <t>AIF342-3</t>
  </si>
  <si>
    <t>AIF344-3</t>
  </si>
  <si>
    <t>Pemodelan &amp; Simulasi</t>
  </si>
  <si>
    <t>AIF360-3</t>
  </si>
  <si>
    <t>AIF445-3</t>
  </si>
  <si>
    <t>AIF457-3</t>
  </si>
  <si>
    <t>AIF469-3</t>
  </si>
  <si>
    <t>AIF450-3</t>
  </si>
  <si>
    <t>AIF460-3</t>
  </si>
  <si>
    <t>AIF462-3</t>
  </si>
  <si>
    <t>Jawa Barat</t>
  </si>
  <si>
    <t>(0265) 330488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</si>
</sst>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21]dd\ mmmm\ yyyy;@"/>
  </numFmts>
  <fonts count="51" x14ac:knownFonts="1">
    <font>
      <sz val="11"/>
      <color theme="1"/>
      <name val="Calibri"/>
      <family val="2"/>
      <scheme val="minor"/>
    </font>
    <font>
      <sz val="8"/>
      <color theme="1"/>
      <name val="Calibri"/>
      <family val="2"/>
      <scheme val="minor"/>
    </font>
    <font>
      <b/>
      <sz val="12"/>
      <color theme="3"/>
      <name val="Calibri"/>
      <family val="2"/>
      <scheme val="minor"/>
    </font>
    <font>
      <b/>
      <sz val="11"/>
      <color rgb="FF002060"/>
      <name val="Calibri"/>
      <family val="2"/>
      <scheme val="minor"/>
    </font>
    <font>
      <b/>
      <sz val="11"/>
      <color theme="1"/>
      <name val="Calibri"/>
      <family val="2"/>
      <scheme val="minor"/>
    </font>
    <font>
      <b/>
      <sz val="10"/>
      <color rgb="FF002060"/>
      <name val="Calibri"/>
      <family val="2"/>
      <scheme val="minor"/>
    </font>
    <font>
      <b/>
      <sz val="8"/>
      <color theme="1"/>
      <name val="Calibri"/>
      <family val="2"/>
      <scheme val="minor"/>
    </font>
    <font>
      <u/>
      <sz val="11"/>
      <color theme="10"/>
      <name val="Calibri"/>
      <family val="2"/>
      <scheme val="minor"/>
    </font>
    <font>
      <sz val="13.5"/>
      <color theme="1"/>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1"/>
      <color rgb="FF00B050"/>
      <name val="Calibri"/>
      <family val="2"/>
      <scheme val="minor"/>
    </font>
    <font>
      <sz val="10"/>
      <color theme="1"/>
      <name val="Calibri"/>
      <family val="2"/>
      <scheme val="minor"/>
    </font>
    <font>
      <b/>
      <sz val="10"/>
      <color theme="1"/>
      <name val="Calibri"/>
      <family val="2"/>
      <scheme val="minor"/>
    </font>
    <font>
      <b/>
      <sz val="12"/>
      <color rgb="FF002060"/>
      <name val="Calibri"/>
      <family val="2"/>
      <scheme val="minor"/>
    </font>
    <font>
      <sz val="11"/>
      <color rgb="FFFF0000"/>
      <name val="Calibri"/>
      <family val="2"/>
      <scheme val="minor"/>
    </font>
    <font>
      <sz val="11"/>
      <color theme="0"/>
      <name val="Calibri"/>
      <family val="2"/>
      <scheme val="minor"/>
    </font>
    <font>
      <b/>
      <sz val="12"/>
      <color rgb="FFFF0000"/>
      <name val="Calibri"/>
      <family val="2"/>
      <scheme val="minor"/>
    </font>
    <font>
      <sz val="12"/>
      <color theme="1"/>
      <name val="Calibri"/>
      <family val="2"/>
      <scheme val="minor"/>
    </font>
    <font>
      <sz val="14"/>
      <color theme="1"/>
      <name val="Calibri"/>
      <family val="2"/>
      <scheme val="minor"/>
    </font>
    <font>
      <sz val="9"/>
      <color theme="1"/>
      <name val="Calibri"/>
      <family val="2"/>
      <scheme val="minor"/>
    </font>
    <font>
      <b/>
      <sz val="14"/>
      <color theme="1"/>
      <name val="Maiandra GD"/>
      <family val="2"/>
    </font>
    <font>
      <b/>
      <sz val="16"/>
      <color theme="1"/>
      <name val="Maiandra GD"/>
      <family val="2"/>
    </font>
    <font>
      <sz val="12"/>
      <color theme="1"/>
      <name val="Maiandra GD"/>
      <family val="2"/>
    </font>
    <font>
      <sz val="12"/>
      <color theme="1"/>
      <name val="Arial Unicode MS"/>
      <family val="2"/>
    </font>
    <font>
      <b/>
      <sz val="9"/>
      <color theme="1"/>
      <name val="Calibri"/>
      <family val="2"/>
      <scheme val="minor"/>
    </font>
    <font>
      <b/>
      <sz val="9"/>
      <color theme="1"/>
      <name val="Lucida Sans"/>
      <family val="2"/>
    </font>
    <font>
      <sz val="8"/>
      <color theme="0"/>
      <name val="Calibri"/>
      <family val="2"/>
      <scheme val="minor"/>
    </font>
    <font>
      <sz val="9"/>
      <color theme="1"/>
      <name val="Lucida Sans"/>
      <family val="2"/>
    </font>
    <font>
      <sz val="10"/>
      <color theme="1"/>
      <name val="Lucida Sans"/>
      <family val="2"/>
    </font>
    <font>
      <sz val="8"/>
      <color theme="0" tint="-0.249977111117893"/>
      <name val="Calibri"/>
      <family val="2"/>
      <scheme val="minor"/>
    </font>
    <font>
      <b/>
      <sz val="10"/>
      <color rgb="FF00B050"/>
      <name val="Calibri"/>
      <family val="2"/>
      <scheme val="minor"/>
    </font>
    <font>
      <b/>
      <sz val="10"/>
      <color rgb="FFFF0000"/>
      <name val="Calibri"/>
      <family val="2"/>
      <scheme val="minor"/>
    </font>
    <font>
      <b/>
      <sz val="10"/>
      <color theme="3" tint="0.39997558519241921"/>
      <name val="Calibri"/>
      <family val="2"/>
      <scheme val="minor"/>
    </font>
    <font>
      <b/>
      <sz val="14"/>
      <color theme="1"/>
      <name val="Calibri"/>
      <family val="2"/>
      <scheme val="minor"/>
    </font>
    <font>
      <b/>
      <sz val="13"/>
      <color rgb="FF002060"/>
      <name val="Calibri"/>
      <family val="2"/>
      <scheme val="minor"/>
    </font>
    <font>
      <b/>
      <u/>
      <sz val="13"/>
      <color rgb="FF002060"/>
      <name val="Calibri"/>
      <family val="2"/>
      <scheme val="minor"/>
    </font>
    <font>
      <sz val="13"/>
      <color theme="1"/>
      <name val="Calibri"/>
      <family val="2"/>
      <scheme val="minor"/>
    </font>
    <font>
      <u/>
      <sz val="11"/>
      <color theme="1"/>
      <name val="Calibri"/>
      <family val="2"/>
      <scheme val="minor"/>
    </font>
    <font>
      <sz val="10"/>
      <color theme="1"/>
      <name val="Arial Unicode MS"/>
      <family val="2"/>
    </font>
    <font>
      <b/>
      <sz val="10"/>
      <color theme="1"/>
      <name val="Arial Unicode MS"/>
      <family val="2"/>
    </font>
    <font>
      <b/>
      <sz val="13"/>
      <color theme="1"/>
      <name val="Calibri"/>
      <family val="2"/>
      <scheme val="minor"/>
    </font>
    <font>
      <b/>
      <sz val="13.5"/>
      <color theme="1"/>
      <name val="Calibri"/>
      <family val="2"/>
      <scheme val="minor"/>
    </font>
    <font>
      <sz val="12"/>
      <color rgb="FF002060"/>
      <name val="Calibri"/>
      <family val="2"/>
      <scheme val="minor"/>
    </font>
    <font>
      <sz val="12"/>
      <name val="Calibri"/>
      <family val="2"/>
      <scheme val="minor"/>
    </font>
    <font>
      <u/>
      <sz val="12"/>
      <name val="Calibri"/>
      <family val="2"/>
      <scheme val="minor"/>
    </font>
    <font>
      <sz val="11"/>
      <color theme="0" tint="-0.249977111117893"/>
      <name val="Calibri"/>
      <family val="2"/>
      <scheme val="minor"/>
    </font>
    <font>
      <b/>
      <sz val="20"/>
      <color rgb="FFFF0000"/>
      <name val="Calibri"/>
      <family val="2"/>
      <scheme val="minor"/>
    </font>
    <font>
      <b/>
      <sz val="13"/>
      <color rgb="FFFF0000"/>
      <name val="Calibri"/>
      <family val="2"/>
      <scheme val="minor"/>
    </font>
    <font>
      <b/>
      <sz val="10"/>
      <color rgb="FF0070C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87">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diagonal/>
    </border>
    <border>
      <left style="thin">
        <color indexed="64"/>
      </left>
      <right style="double">
        <color indexed="64"/>
      </right>
      <top/>
      <bottom style="medium">
        <color indexed="64"/>
      </bottom>
      <diagonal/>
    </border>
    <border>
      <left style="double">
        <color auto="1"/>
      </left>
      <right/>
      <top style="double">
        <color auto="1"/>
      </top>
      <bottom/>
      <diagonal/>
    </border>
    <border>
      <left/>
      <right style="double">
        <color auto="1"/>
      </right>
      <top style="double">
        <color auto="1"/>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double">
        <color indexed="64"/>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auto="1"/>
      </right>
      <top/>
      <bottom style="thin">
        <color indexed="64"/>
      </bottom>
      <diagonal/>
    </border>
    <border>
      <left style="double">
        <color auto="1"/>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uble">
        <color auto="1"/>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thick">
        <color indexed="64"/>
      </bottom>
      <diagonal/>
    </border>
    <border>
      <left style="double">
        <color indexed="64"/>
      </left>
      <right/>
      <top style="thin">
        <color indexed="64"/>
      </top>
      <bottom style="double">
        <color indexed="64"/>
      </bottom>
      <diagonal/>
    </border>
    <border>
      <left style="double">
        <color indexed="64"/>
      </left>
      <right/>
      <top style="thick">
        <color indexed="64"/>
      </top>
      <bottom style="thick">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double">
        <color indexed="64"/>
      </right>
      <top/>
      <bottom/>
      <diagonal/>
    </border>
    <border>
      <left style="double">
        <color indexed="64"/>
      </left>
      <right/>
      <top style="thin">
        <color indexed="64"/>
      </top>
      <bottom/>
      <diagonal/>
    </border>
  </borders>
  <cellStyleXfs count="3">
    <xf numFmtId="0" fontId="0" fillId="0" borderId="0"/>
    <xf numFmtId="49" fontId="2" fillId="0" borderId="0">
      <alignment horizontal="center"/>
    </xf>
    <xf numFmtId="0" fontId="7" fillId="0" borderId="0" applyNumberFormat="0" applyFill="0" applyBorder="0" applyAlignment="0" applyProtection="0"/>
  </cellStyleXfs>
  <cellXfs count="405">
    <xf numFmtId="0" fontId="0" fillId="0" borderId="0" xfId="0"/>
    <xf numFmtId="0" fontId="0" fillId="0" borderId="0" xfId="0" applyProtection="1">
      <protection hidden="1"/>
    </xf>
    <xf numFmtId="0" fontId="8" fillId="0" borderId="0" xfId="0" applyFont="1" applyAlignment="1" applyProtection="1">
      <alignment horizontal="right"/>
      <protection hidden="1"/>
    </xf>
    <xf numFmtId="0" fontId="8" fillId="0" borderId="0" xfId="0" applyFont="1" applyProtection="1">
      <protection hidden="1"/>
    </xf>
    <xf numFmtId="0" fontId="1" fillId="0" borderId="0" xfId="0" applyFont="1"/>
    <xf numFmtId="0" fontId="0" fillId="0" borderId="28" xfId="0" applyBorder="1" applyProtection="1">
      <protection hidden="1"/>
    </xf>
    <xf numFmtId="0" fontId="0" fillId="3" borderId="9" xfId="0" applyFill="1" applyBorder="1" applyProtection="1">
      <protection locked="0" hidden="1"/>
    </xf>
    <xf numFmtId="0" fontId="0" fillId="0" borderId="36" xfId="0" applyBorder="1" applyProtection="1">
      <protection hidden="1"/>
    </xf>
    <xf numFmtId="0" fontId="4" fillId="0" borderId="16" xfId="0" applyFont="1" applyBorder="1" applyAlignment="1" applyProtection="1">
      <alignment horizontal="center" vertical="center"/>
      <protection hidden="1"/>
    </xf>
    <xf numFmtId="0" fontId="4" fillId="0" borderId="16" xfId="0" applyFont="1" applyBorder="1" applyAlignment="1" applyProtection="1">
      <alignment horizontal="center"/>
      <protection hidden="1"/>
    </xf>
    <xf numFmtId="0" fontId="4" fillId="0" borderId="16" xfId="0" applyFont="1" applyBorder="1" applyAlignment="1" applyProtection="1">
      <protection hidden="1"/>
    </xf>
    <xf numFmtId="0" fontId="0" fillId="0" borderId="6" xfId="0" applyFont="1" applyBorder="1" applyAlignment="1" applyProtection="1">
      <alignment horizontal="center" vertical="center"/>
      <protection hidden="1"/>
    </xf>
    <xf numFmtId="0" fontId="0" fillId="0" borderId="6" xfId="0" applyFont="1" applyBorder="1" applyAlignment="1" applyProtection="1">
      <alignment vertical="center"/>
      <protection hidden="1"/>
    </xf>
    <xf numFmtId="0" fontId="0" fillId="0" borderId="6" xfId="0" applyFont="1" applyFill="1" applyBorder="1" applyAlignment="1" applyProtection="1">
      <alignment vertical="center" wrapText="1"/>
      <protection hidden="1"/>
    </xf>
    <xf numFmtId="0" fontId="0" fillId="0" borderId="9" xfId="0" applyFont="1" applyBorder="1" applyAlignment="1" applyProtection="1">
      <alignment horizontal="center" vertical="center"/>
      <protection hidden="1"/>
    </xf>
    <xf numFmtId="0" fontId="0" fillId="0" borderId="9" xfId="0" applyFont="1" applyBorder="1" applyAlignment="1" applyProtection="1">
      <alignment vertical="center"/>
      <protection hidden="1"/>
    </xf>
    <xf numFmtId="0" fontId="0" fillId="0" borderId="9" xfId="0" applyFont="1" applyFill="1" applyBorder="1" applyAlignment="1" applyProtection="1">
      <alignment vertical="center" wrapText="1"/>
      <protection hidden="1"/>
    </xf>
    <xf numFmtId="0" fontId="0" fillId="0" borderId="9" xfId="0" applyFont="1" applyBorder="1" applyAlignment="1" applyProtection="1">
      <alignment vertical="center" wrapText="1"/>
      <protection hidden="1"/>
    </xf>
    <xf numFmtId="0" fontId="0" fillId="0" borderId="18" xfId="0" applyFont="1" applyBorder="1" applyAlignment="1" applyProtection="1">
      <alignment horizontal="center" vertical="center"/>
      <protection hidden="1"/>
    </xf>
    <xf numFmtId="0" fontId="0" fillId="0" borderId="7" xfId="0" applyFont="1" applyBorder="1" applyAlignment="1" applyProtection="1">
      <alignment vertical="center"/>
      <protection hidden="1"/>
    </xf>
    <xf numFmtId="0" fontId="0" fillId="0" borderId="7" xfId="0" applyFont="1" applyBorder="1" applyAlignment="1" applyProtection="1">
      <alignment horizontal="center" vertical="center"/>
      <protection hidden="1"/>
    </xf>
    <xf numFmtId="0" fontId="0" fillId="0" borderId="7" xfId="0" applyFont="1" applyBorder="1" applyAlignment="1" applyProtection="1">
      <alignment vertical="center" wrapText="1"/>
      <protection hidden="1"/>
    </xf>
    <xf numFmtId="0" fontId="0" fillId="0" borderId="15" xfId="0" applyFont="1" applyBorder="1" applyAlignment="1" applyProtection="1">
      <alignment vertical="center"/>
      <protection hidden="1"/>
    </xf>
    <xf numFmtId="0" fontId="0" fillId="0" borderId="15" xfId="0" applyFont="1" applyBorder="1" applyAlignment="1" applyProtection="1">
      <alignment horizontal="center" vertical="center"/>
      <protection hidden="1"/>
    </xf>
    <xf numFmtId="0" fontId="0" fillId="0" borderId="15" xfId="0" applyFont="1" applyFill="1" applyBorder="1" applyAlignment="1" applyProtection="1">
      <alignment vertical="center" wrapText="1"/>
      <protection hidden="1"/>
    </xf>
    <xf numFmtId="0" fontId="0" fillId="0" borderId="18" xfId="0" applyFont="1" applyBorder="1" applyAlignment="1" applyProtection="1">
      <alignment vertical="center"/>
      <protection hidden="1"/>
    </xf>
    <xf numFmtId="0" fontId="0" fillId="0" borderId="18" xfId="0" applyFont="1" applyBorder="1" applyAlignment="1" applyProtection="1">
      <alignment vertical="center" wrapText="1"/>
      <protection hidden="1"/>
    </xf>
    <xf numFmtId="0" fontId="0" fillId="0" borderId="18" xfId="0" applyFont="1" applyFill="1" applyBorder="1" applyAlignment="1" applyProtection="1">
      <alignment vertical="center" wrapText="1"/>
      <protection hidden="1"/>
    </xf>
    <xf numFmtId="0" fontId="0" fillId="0" borderId="6" xfId="0" applyFont="1" applyBorder="1" applyAlignment="1" applyProtection="1">
      <alignment vertical="center" wrapText="1"/>
      <protection hidden="1"/>
    </xf>
    <xf numFmtId="0" fontId="0" fillId="0" borderId="10" xfId="0" applyFont="1" applyBorder="1" applyAlignment="1" applyProtection="1">
      <alignment horizontal="center" vertical="center"/>
      <protection hidden="1"/>
    </xf>
    <xf numFmtId="0" fontId="0" fillId="0" borderId="10" xfId="0" applyFont="1" applyBorder="1" applyAlignment="1" applyProtection="1">
      <alignment vertical="center"/>
      <protection hidden="1"/>
    </xf>
    <xf numFmtId="0" fontId="0" fillId="0" borderId="10" xfId="0" applyFont="1" applyFill="1" applyBorder="1" applyAlignment="1" applyProtection="1">
      <alignment vertical="center" wrapText="1"/>
      <protection hidden="1"/>
    </xf>
    <xf numFmtId="0" fontId="0" fillId="0" borderId="20" xfId="0" applyFont="1" applyBorder="1" applyAlignment="1" applyProtection="1">
      <alignment horizontal="center" vertical="center"/>
      <protection hidden="1"/>
    </xf>
    <xf numFmtId="0" fontId="0" fillId="0" borderId="20" xfId="0" applyFont="1" applyBorder="1" applyAlignment="1" applyProtection="1">
      <alignment vertical="center" wrapText="1"/>
      <protection hidden="1"/>
    </xf>
    <xf numFmtId="0" fontId="0" fillId="0" borderId="20" xfId="0" applyFont="1" applyBorder="1" applyAlignment="1" applyProtection="1">
      <alignment vertical="center"/>
      <protection hidden="1"/>
    </xf>
    <xf numFmtId="0" fontId="0" fillId="0" borderId="11" xfId="0" applyFont="1" applyBorder="1" applyAlignment="1" applyProtection="1">
      <alignment vertical="center" wrapText="1"/>
      <protection hidden="1"/>
    </xf>
    <xf numFmtId="0" fontId="0" fillId="0" borderId="11" xfId="0" applyFont="1" applyBorder="1" applyAlignment="1" applyProtection="1">
      <alignment vertical="center"/>
      <protection hidden="1"/>
    </xf>
    <xf numFmtId="0" fontId="9" fillId="0" borderId="9" xfId="0" applyFont="1" applyBorder="1" applyAlignment="1" applyProtection="1">
      <alignment horizontal="center" vertical="center"/>
      <protection hidden="1"/>
    </xf>
    <xf numFmtId="0" fontId="0" fillId="0" borderId="10" xfId="0" applyFont="1" applyBorder="1" applyAlignment="1" applyProtection="1">
      <alignment vertical="center" wrapText="1"/>
      <protection hidden="1"/>
    </xf>
    <xf numFmtId="0" fontId="3" fillId="3" borderId="22" xfId="0" applyFont="1" applyFill="1" applyBorder="1" applyAlignment="1" applyProtection="1">
      <alignment horizontal="center"/>
      <protection locked="0" hidden="1"/>
    </xf>
    <xf numFmtId="0" fontId="3" fillId="3" borderId="33" xfId="0" applyFont="1" applyFill="1" applyBorder="1" applyAlignment="1" applyProtection="1">
      <alignment horizontal="center"/>
      <protection locked="0" hidden="1"/>
    </xf>
    <xf numFmtId="0" fontId="3" fillId="3" borderId="32" xfId="0" applyFont="1" applyFill="1" applyBorder="1" applyAlignment="1" applyProtection="1">
      <alignment horizontal="center"/>
      <protection locked="0" hidden="1"/>
    </xf>
    <xf numFmtId="0" fontId="3" fillId="3" borderId="34" xfId="0" applyFont="1" applyFill="1" applyBorder="1" applyAlignment="1" applyProtection="1">
      <alignment horizontal="center"/>
      <protection locked="0" hidden="1"/>
    </xf>
    <xf numFmtId="0" fontId="3" fillId="3" borderId="24" xfId="0" applyFont="1" applyFill="1" applyBorder="1" applyAlignment="1" applyProtection="1">
      <alignment horizontal="center"/>
      <protection locked="0" hidden="1"/>
    </xf>
    <xf numFmtId="0" fontId="3" fillId="3" borderId="26" xfId="0" applyFont="1" applyFill="1" applyBorder="1" applyAlignment="1" applyProtection="1">
      <alignment horizontal="center"/>
      <protection locked="0" hidden="1"/>
    </xf>
    <xf numFmtId="0" fontId="3" fillId="3" borderId="35" xfId="0" applyFont="1" applyFill="1" applyBorder="1" applyAlignment="1" applyProtection="1">
      <alignment horizontal="center"/>
      <protection locked="0" hidden="1"/>
    </xf>
    <xf numFmtId="0" fontId="1" fillId="0" borderId="0" xfId="0" applyFont="1" applyAlignment="1">
      <alignment horizontal="left"/>
    </xf>
    <xf numFmtId="0" fontId="1" fillId="0" borderId="9" xfId="0" applyFont="1" applyBorder="1" applyAlignment="1">
      <alignment horizontal="right"/>
    </xf>
    <xf numFmtId="0" fontId="0" fillId="0" borderId="0" xfId="0" applyAlignment="1" applyProtection="1">
      <alignment vertical="center"/>
      <protection hidden="1"/>
    </xf>
    <xf numFmtId="0" fontId="0" fillId="0" borderId="15" xfId="0" applyBorder="1" applyAlignment="1" applyProtection="1">
      <alignment horizontal="center"/>
      <protection hidden="1"/>
    </xf>
    <xf numFmtId="0" fontId="0" fillId="0" borderId="15" xfId="0" applyBorder="1" applyProtection="1">
      <protection hidden="1"/>
    </xf>
    <xf numFmtId="0" fontId="0" fillId="0" borderId="0" xfId="0" applyAlignment="1" applyProtection="1">
      <alignment horizontal="center" vertical="center"/>
      <protection hidden="1"/>
    </xf>
    <xf numFmtId="0" fontId="0" fillId="0" borderId="9" xfId="0" applyBorder="1" applyProtection="1">
      <protection hidden="1"/>
    </xf>
    <xf numFmtId="0" fontId="11" fillId="0" borderId="9" xfId="0" applyFont="1" applyBorder="1" applyAlignment="1" applyProtection="1">
      <alignment horizontal="center"/>
      <protection hidden="1"/>
    </xf>
    <xf numFmtId="0" fontId="0" fillId="0" borderId="18" xfId="0" applyBorder="1" applyAlignment="1" applyProtection="1">
      <alignment horizontal="center"/>
      <protection hidden="1"/>
    </xf>
    <xf numFmtId="0" fontId="0" fillId="0" borderId="18" xfId="0" applyBorder="1" applyProtection="1">
      <protection hidden="1"/>
    </xf>
    <xf numFmtId="0" fontId="11" fillId="3" borderId="9" xfId="0" applyFont="1" applyFill="1" applyBorder="1" applyAlignment="1" applyProtection="1">
      <alignment horizontal="center"/>
      <protection locked="0" hidden="1"/>
    </xf>
    <xf numFmtId="0" fontId="15" fillId="0" borderId="9" xfId="0" applyFont="1" applyBorder="1" applyProtection="1">
      <protection hidden="1"/>
    </xf>
    <xf numFmtId="0" fontId="15" fillId="0" borderId="9" xfId="0" applyFont="1" applyBorder="1" applyAlignment="1" applyProtection="1">
      <alignment horizontal="right"/>
      <protection hidden="1"/>
    </xf>
    <xf numFmtId="0" fontId="3" fillId="3" borderId="15" xfId="0" applyFont="1" applyFill="1" applyBorder="1" applyProtection="1">
      <protection locked="0" hidden="1"/>
    </xf>
    <xf numFmtId="0" fontId="0" fillId="0" borderId="2" xfId="0" applyBorder="1" applyAlignment="1" applyProtection="1">
      <alignment horizontal="center"/>
      <protection hidden="1"/>
    </xf>
    <xf numFmtId="0" fontId="0" fillId="0" borderId="2" xfId="0" applyBorder="1" applyProtection="1">
      <protection hidden="1"/>
    </xf>
    <xf numFmtId="0" fontId="0" fillId="0" borderId="2" xfId="0" applyBorder="1" applyAlignment="1" applyProtection="1">
      <alignment horizontal="center" vertical="center"/>
      <protection hidden="1"/>
    </xf>
    <xf numFmtId="0" fontId="26" fillId="0" borderId="0" xfId="0" applyFont="1"/>
    <xf numFmtId="0" fontId="27" fillId="0" borderId="0" xfId="0" applyFont="1"/>
    <xf numFmtId="0" fontId="14" fillId="0" borderId="9" xfId="0" applyFont="1" applyBorder="1" applyAlignment="1">
      <alignment horizontal="center"/>
    </xf>
    <xf numFmtId="0" fontId="28" fillId="0" borderId="0" xfId="0" applyFont="1"/>
    <xf numFmtId="0" fontId="24" fillId="0" borderId="0" xfId="0" applyFont="1" applyAlignment="1">
      <alignment horizontal="center"/>
    </xf>
    <xf numFmtId="0" fontId="29" fillId="0" borderId="0" xfId="0" applyFont="1" applyAlignment="1"/>
    <xf numFmtId="0" fontId="30" fillId="0" borderId="0" xfId="0" applyFont="1" applyAlignment="1">
      <alignment horizontal="center"/>
    </xf>
    <xf numFmtId="0" fontId="30" fillId="0" borderId="0" xfId="0" applyFont="1" applyAlignment="1"/>
    <xf numFmtId="0" fontId="24" fillId="0" borderId="0" xfId="0" applyFont="1" applyAlignment="1">
      <alignment horizontal="left"/>
    </xf>
    <xf numFmtId="0" fontId="31" fillId="2" borderId="0" xfId="0" applyFont="1" applyFill="1"/>
    <xf numFmtId="0" fontId="3" fillId="3" borderId="63" xfId="0" applyFont="1" applyFill="1" applyBorder="1" applyAlignment="1" applyProtection="1">
      <alignment horizontal="center"/>
      <protection locked="0" hidden="1"/>
    </xf>
    <xf numFmtId="0" fontId="0" fillId="5" borderId="9" xfId="0" applyFill="1" applyBorder="1" applyProtection="1">
      <protection locked="0" hidden="1"/>
    </xf>
    <xf numFmtId="0" fontId="5" fillId="0" borderId="0" xfId="0" applyFont="1" applyProtection="1">
      <protection hidden="1"/>
    </xf>
    <xf numFmtId="0" fontId="13" fillId="0" borderId="0" xfId="0" applyFont="1" applyProtection="1">
      <protection hidden="1"/>
    </xf>
    <xf numFmtId="0" fontId="5" fillId="0" borderId="0" xfId="0" applyFont="1" applyAlignment="1" applyProtection="1">
      <alignment horizontal="right"/>
      <protection hidden="1"/>
    </xf>
    <xf numFmtId="0" fontId="33" fillId="0" borderId="0" xfId="0" applyFont="1" applyProtection="1">
      <protection hidden="1"/>
    </xf>
    <xf numFmtId="0" fontId="5" fillId="0" borderId="0" xfId="0" applyFont="1" applyAlignment="1" applyProtection="1">
      <alignment horizontal="center"/>
      <protection hidden="1"/>
    </xf>
    <xf numFmtId="0" fontId="0" fillId="0" borderId="0" xfId="0" applyFont="1" applyBorder="1" applyAlignment="1" applyProtection="1">
      <alignment horizont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horizontal="left" vertical="center" wrapText="1"/>
      <protection hidden="1"/>
    </xf>
    <xf numFmtId="164" fontId="0" fillId="0" borderId="0" xfId="0" applyNumberFormat="1" applyAlignment="1" applyProtection="1">
      <alignment horizontal="left" vertical="center"/>
      <protection hidden="1"/>
    </xf>
    <xf numFmtId="15" fontId="0" fillId="0" borderId="0" xfId="0" applyNumberFormat="1" applyProtection="1">
      <protection hidden="1"/>
    </xf>
    <xf numFmtId="0" fontId="0" fillId="0" borderId="0" xfId="0" applyBorder="1" applyAlignment="1" applyProtection="1">
      <alignment horizontal="center"/>
      <protection hidden="1"/>
    </xf>
    <xf numFmtId="0" fontId="20" fillId="0" borderId="9" xfId="0" applyFont="1" applyBorder="1" applyAlignment="1" applyProtection="1">
      <alignment horizontal="center"/>
      <protection hidden="1"/>
    </xf>
    <xf numFmtId="0" fontId="20" fillId="0" borderId="9" xfId="0" applyFont="1" applyBorder="1" applyAlignment="1" applyProtection="1">
      <alignment horizontal="left" vertical="center"/>
      <protection hidden="1"/>
    </xf>
    <xf numFmtId="0" fontId="33" fillId="0" borderId="0" xfId="0" applyFont="1" applyAlignment="1" applyProtection="1">
      <alignment horizontal="left"/>
      <protection hidden="1"/>
    </xf>
    <xf numFmtId="0" fontId="19" fillId="0" borderId="21" xfId="0" applyFont="1" applyBorder="1" applyProtection="1">
      <protection hidden="1"/>
    </xf>
    <xf numFmtId="0" fontId="36" fillId="3" borderId="22" xfId="0" applyFont="1" applyFill="1" applyBorder="1" applyAlignment="1" applyProtection="1">
      <alignment horizontal="left"/>
      <protection locked="0" hidden="1"/>
    </xf>
    <xf numFmtId="0" fontId="19" fillId="0" borderId="21" xfId="0" applyFont="1" applyBorder="1" applyAlignment="1" applyProtection="1">
      <alignment horizontal="left" vertical="center"/>
      <protection hidden="1"/>
    </xf>
    <xf numFmtId="1" fontId="36" fillId="3" borderId="22" xfId="0" applyNumberFormat="1" applyFont="1" applyFill="1" applyBorder="1" applyAlignment="1" applyProtection="1">
      <alignment horizontal="left"/>
      <protection locked="0" hidden="1"/>
    </xf>
    <xf numFmtId="49" fontId="36" fillId="3" borderId="22" xfId="0" quotePrefix="1" applyNumberFormat="1" applyFont="1" applyFill="1" applyBorder="1" applyAlignment="1" applyProtection="1">
      <alignment horizontal="left"/>
      <protection locked="0" hidden="1"/>
    </xf>
    <xf numFmtId="0" fontId="37" fillId="3" borderId="22" xfId="2" applyFont="1" applyFill="1" applyBorder="1" applyAlignment="1" applyProtection="1">
      <alignment horizontal="left"/>
      <protection locked="0" hidden="1"/>
    </xf>
    <xf numFmtId="0" fontId="19" fillId="0" borderId="25" xfId="0" applyFont="1" applyBorder="1" applyProtection="1">
      <protection hidden="1"/>
    </xf>
    <xf numFmtId="0" fontId="20" fillId="0" borderId="10" xfId="0" applyFont="1" applyBorder="1" applyAlignment="1" applyProtection="1">
      <alignment horizontal="center"/>
      <protection hidden="1"/>
    </xf>
    <xf numFmtId="0" fontId="20" fillId="0" borderId="15" xfId="0" applyFont="1" applyBorder="1" applyAlignment="1" applyProtection="1">
      <alignment horizontal="center"/>
      <protection hidden="1"/>
    </xf>
    <xf numFmtId="0" fontId="20" fillId="0" borderId="18" xfId="0" applyFont="1" applyBorder="1" applyAlignment="1" applyProtection="1">
      <alignment horizontal="center"/>
      <protection hidden="1"/>
    </xf>
    <xf numFmtId="0" fontId="19" fillId="0" borderId="73" xfId="0" applyFont="1" applyBorder="1" applyProtection="1">
      <protection hidden="1"/>
    </xf>
    <xf numFmtId="0" fontId="36" fillId="3" borderId="32" xfId="0" applyFont="1" applyFill="1" applyBorder="1" applyAlignment="1" applyProtection="1">
      <alignment horizontal="left"/>
      <protection locked="0" hidden="1"/>
    </xf>
    <xf numFmtId="0" fontId="19" fillId="0" borderId="61" xfId="0" applyFont="1" applyBorder="1" applyProtection="1">
      <protection hidden="1"/>
    </xf>
    <xf numFmtId="49" fontId="36" fillId="3" borderId="34" xfId="0" applyNumberFormat="1" applyFont="1" applyFill="1" applyBorder="1" applyAlignment="1" applyProtection="1">
      <alignment horizontal="left"/>
      <protection locked="0" hidden="1"/>
    </xf>
    <xf numFmtId="0" fontId="36" fillId="3" borderId="34" xfId="0" applyFont="1" applyFill="1" applyBorder="1" applyAlignment="1" applyProtection="1">
      <alignment horizontal="left"/>
      <protection locked="0" hidden="1"/>
    </xf>
    <xf numFmtId="0" fontId="15" fillId="0" borderId="0" xfId="0" applyFont="1" applyBorder="1" applyAlignment="1" applyProtection="1">
      <alignment horizontal="center"/>
      <protection hidden="1"/>
    </xf>
    <xf numFmtId="0" fontId="0" fillId="0" borderId="0" xfId="0" applyFont="1" applyBorder="1" applyAlignment="1" applyProtection="1">
      <alignment horizontal="center" vertical="center"/>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horizontal="center" vertical="center"/>
      <protection hidden="1"/>
    </xf>
    <xf numFmtId="0" fontId="15" fillId="0" borderId="0" xfId="0" applyFont="1" applyFill="1" applyBorder="1" applyAlignment="1" applyProtection="1">
      <alignment horizontal="left"/>
      <protection hidden="1"/>
    </xf>
    <xf numFmtId="0" fontId="0" fillId="0" borderId="0" xfId="0" applyFont="1" applyBorder="1" applyProtection="1">
      <protection hidden="1"/>
    </xf>
    <xf numFmtId="0" fontId="0" fillId="0" borderId="0" xfId="0" applyFont="1" applyBorder="1" applyAlignment="1" applyProtection="1">
      <protection hidden="1"/>
    </xf>
    <xf numFmtId="0" fontId="0" fillId="0" borderId="16" xfId="0" applyFont="1" applyBorder="1" applyAlignment="1" applyProtection="1">
      <alignment horizontal="center" vertical="center"/>
      <protection hidden="1"/>
    </xf>
    <xf numFmtId="0" fontId="4" fillId="0" borderId="28" xfId="0" applyFont="1" applyBorder="1" applyAlignment="1" applyProtection="1">
      <alignment horizontal="center"/>
      <protection hidden="1"/>
    </xf>
    <xf numFmtId="0" fontId="0" fillId="0" borderId="6" xfId="0" applyFont="1" applyBorder="1" applyAlignment="1" applyProtection="1">
      <alignment horizontal="left" vertical="center"/>
      <protection hidden="1"/>
    </xf>
    <xf numFmtId="0" fontId="15" fillId="0" borderId="24" xfId="0" applyFont="1" applyFill="1" applyBorder="1" applyAlignment="1" applyProtection="1">
      <alignment horizontal="center" vertical="center" wrapText="1"/>
      <protection hidden="1"/>
    </xf>
    <xf numFmtId="0" fontId="0" fillId="0" borderId="0" xfId="0" applyFont="1" applyBorder="1" applyAlignment="1" applyProtection="1">
      <alignment vertical="center"/>
      <protection hidden="1"/>
    </xf>
    <xf numFmtId="0" fontId="0" fillId="0" borderId="9"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wrapText="1"/>
      <protection hidden="1"/>
    </xf>
    <xf numFmtId="0" fontId="0" fillId="0" borderId="0" xfId="0" applyFont="1" applyFill="1" applyBorder="1" applyProtection="1">
      <protection hidden="1"/>
    </xf>
    <xf numFmtId="0" fontId="0" fillId="0" borderId="0" xfId="0" applyFont="1" applyFill="1" applyBorder="1" applyAlignment="1" applyProtection="1">
      <alignment horizontal="center"/>
      <protection hidden="1"/>
    </xf>
    <xf numFmtId="0" fontId="0" fillId="0" borderId="25" xfId="0" applyFont="1" applyBorder="1" applyAlignment="1" applyProtection="1">
      <alignment horizontal="center" vertical="center"/>
      <protection hidden="1"/>
    </xf>
    <xf numFmtId="0" fontId="0" fillId="0" borderId="10"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protection hidden="1"/>
    </xf>
    <xf numFmtId="0" fontId="0" fillId="0" borderId="0" xfId="0" applyFont="1" applyProtection="1">
      <protection hidden="1"/>
    </xf>
    <xf numFmtId="2" fontId="0" fillId="0" borderId="0" xfId="0" applyNumberFormat="1" applyFont="1" applyBorder="1" applyProtection="1">
      <protection hidden="1"/>
    </xf>
    <xf numFmtId="0" fontId="6" fillId="0" borderId="0" xfId="0" applyFont="1" applyProtection="1">
      <protection hidden="1"/>
    </xf>
    <xf numFmtId="0" fontId="16" fillId="0" borderId="0" xfId="0" applyFont="1" applyProtection="1">
      <protection hidden="1"/>
    </xf>
    <xf numFmtId="0" fontId="0" fillId="0" borderId="0" xfId="0" applyAlignment="1" applyProtection="1">
      <protection hidden="1"/>
    </xf>
    <xf numFmtId="0" fontId="11" fillId="2" borderId="27" xfId="0" applyFont="1" applyFill="1" applyBorder="1" applyAlignment="1" applyProtection="1">
      <alignment horizontal="center"/>
      <protection hidden="1"/>
    </xf>
    <xf numFmtId="0" fontId="4" fillId="2" borderId="16" xfId="0" applyFont="1" applyFill="1" applyBorder="1" applyAlignment="1" applyProtection="1">
      <alignment horizontal="center"/>
      <protection hidden="1"/>
    </xf>
    <xf numFmtId="0" fontId="4" fillId="2" borderId="28" xfId="0" applyFont="1" applyFill="1" applyBorder="1" applyAlignment="1" applyProtection="1">
      <alignment horizontal="center"/>
      <protection hidden="1"/>
    </xf>
    <xf numFmtId="0" fontId="0" fillId="0" borderId="23" xfId="0" applyBorder="1" applyAlignment="1" applyProtection="1">
      <alignment horizontal="center"/>
      <protection hidden="1"/>
    </xf>
    <xf numFmtId="0" fontId="0" fillId="0" borderId="6"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1"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7" xfId="0" applyBorder="1" applyAlignment="1" applyProtection="1">
      <alignment horizontal="center"/>
      <protection hidden="1"/>
    </xf>
    <xf numFmtId="0" fontId="0" fillId="0" borderId="33" xfId="0" applyBorder="1" applyAlignment="1" applyProtection="1">
      <alignment horizontal="center"/>
      <protection hidden="1"/>
    </xf>
    <xf numFmtId="0" fontId="17" fillId="0" borderId="25" xfId="0" applyFont="1" applyBorder="1" applyAlignment="1" applyProtection="1">
      <alignment horizontal="center"/>
      <protection hidden="1"/>
    </xf>
    <xf numFmtId="0" fontId="0" fillId="0" borderId="10" xfId="0" applyBorder="1" applyAlignment="1" applyProtection="1">
      <alignment horizontal="center"/>
      <protection hidden="1"/>
    </xf>
    <xf numFmtId="0" fontId="0" fillId="0" borderId="26" xfId="0" applyBorder="1" applyAlignment="1" applyProtection="1">
      <alignment horizontal="center"/>
      <protection hidden="1"/>
    </xf>
    <xf numFmtId="0" fontId="21" fillId="2" borderId="57" xfId="0" applyFont="1" applyFill="1" applyBorder="1" applyAlignment="1" applyProtection="1">
      <alignment horizontal="center"/>
      <protection hidden="1"/>
    </xf>
    <xf numFmtId="0" fontId="0" fillId="2" borderId="10" xfId="0" applyFill="1" applyBorder="1" applyAlignment="1" applyProtection="1">
      <alignment horizontal="center"/>
      <protection hidden="1"/>
    </xf>
    <xf numFmtId="0" fontId="21" fillId="2" borderId="10" xfId="0" applyFont="1"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0" borderId="47" xfId="0" applyBorder="1" applyAlignment="1" applyProtection="1">
      <alignment horizontal="center"/>
      <protection hidden="1"/>
    </xf>
    <xf numFmtId="0" fontId="0" fillId="0" borderId="48" xfId="0" applyBorder="1" applyAlignment="1" applyProtection="1">
      <alignment horizontal="center"/>
      <protection hidden="1"/>
    </xf>
    <xf numFmtId="0" fontId="0" fillId="4" borderId="47" xfId="0" applyFill="1" applyBorder="1" applyAlignment="1" applyProtection="1">
      <alignment horizontal="center"/>
      <protection hidden="1"/>
    </xf>
    <xf numFmtId="0" fontId="4" fillId="0" borderId="6" xfId="0" applyFont="1" applyBorder="1" applyAlignment="1" applyProtection="1">
      <alignment horizontal="center"/>
      <protection hidden="1"/>
    </xf>
    <xf numFmtId="0" fontId="0" fillId="4" borderId="6" xfId="0" applyFill="1" applyBorder="1" applyAlignment="1" applyProtection="1">
      <alignment horizontal="center"/>
      <protection hidden="1"/>
    </xf>
    <xf numFmtId="0" fontId="4" fillId="0" borderId="48" xfId="0" applyFont="1" applyBorder="1" applyAlignment="1" applyProtection="1">
      <alignment horizontal="center"/>
      <protection hidden="1"/>
    </xf>
    <xf numFmtId="0" fontId="0" fillId="0" borderId="6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4" borderId="8" xfId="0" applyFill="1" applyBorder="1" applyAlignment="1" applyProtection="1">
      <alignment horizontal="center"/>
      <protection hidden="1"/>
    </xf>
    <xf numFmtId="0" fontId="0" fillId="4" borderId="9" xfId="0" applyFill="1" applyBorder="1" applyAlignment="1" applyProtection="1">
      <alignment horizontal="center"/>
      <protection hidden="1"/>
    </xf>
    <xf numFmtId="0" fontId="4" fillId="0" borderId="12" xfId="0" applyFont="1" applyBorder="1" applyAlignment="1" applyProtection="1">
      <alignment horizontal="center"/>
      <protection hidden="1"/>
    </xf>
    <xf numFmtId="0" fontId="0" fillId="0" borderId="54" xfId="0" applyBorder="1" applyAlignment="1" applyProtection="1">
      <alignment horizontal="center"/>
      <protection hidden="1"/>
    </xf>
    <xf numFmtId="0" fontId="0" fillId="0" borderId="66" xfId="0" applyBorder="1" applyAlignment="1" applyProtection="1">
      <alignment horizontal="center"/>
      <protection hidden="1"/>
    </xf>
    <xf numFmtId="0" fontId="0" fillId="0" borderId="67" xfId="0" applyBorder="1" applyAlignment="1" applyProtection="1">
      <alignment horizontal="center"/>
      <protection hidden="1"/>
    </xf>
    <xf numFmtId="0" fontId="0" fillId="4" borderId="66" xfId="0" applyFill="1" applyBorder="1" applyAlignment="1" applyProtection="1">
      <alignment horizontal="center"/>
      <protection hidden="1"/>
    </xf>
    <xf numFmtId="0" fontId="4" fillId="0" borderId="7" xfId="0" applyFont="1" applyBorder="1" applyAlignment="1" applyProtection="1">
      <alignment horizontal="center"/>
      <protection hidden="1"/>
    </xf>
    <xf numFmtId="0" fontId="0" fillId="4" borderId="7" xfId="0" applyFill="1" applyBorder="1" applyAlignment="1" applyProtection="1">
      <alignment horizontal="center"/>
      <protection hidden="1"/>
    </xf>
    <xf numFmtId="0" fontId="4" fillId="0" borderId="67" xfId="0" applyFont="1" applyBorder="1" applyAlignment="1" applyProtection="1">
      <alignment horizontal="center"/>
      <protection hidden="1"/>
    </xf>
    <xf numFmtId="0" fontId="0" fillId="0" borderId="68" xfId="0" applyBorder="1" applyAlignment="1" applyProtection="1">
      <alignment horizontal="center"/>
      <protection hidden="1"/>
    </xf>
    <xf numFmtId="0" fontId="0" fillId="0" borderId="27" xfId="0" applyBorder="1" applyAlignment="1" applyProtection="1">
      <alignment horizontal="center"/>
      <protection hidden="1"/>
    </xf>
    <xf numFmtId="0" fontId="0" fillId="0" borderId="69" xfId="0" applyBorder="1" applyAlignment="1" applyProtection="1">
      <alignment horizontal="center"/>
      <protection hidden="1"/>
    </xf>
    <xf numFmtId="0" fontId="0" fillId="0" borderId="70" xfId="0" applyBorder="1" applyAlignment="1" applyProtection="1">
      <alignment horizontal="center"/>
      <protection hidden="1"/>
    </xf>
    <xf numFmtId="0" fontId="0" fillId="4" borderId="70"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4" fillId="0" borderId="69" xfId="0" applyFont="1" applyBorder="1" applyAlignment="1" applyProtection="1">
      <alignment horizontal="center"/>
      <protection hidden="1"/>
    </xf>
    <xf numFmtId="0" fontId="0" fillId="0" borderId="71" xfId="0" applyBorder="1" applyAlignment="1" applyProtection="1">
      <alignment horizontal="center"/>
      <protection hidden="1"/>
    </xf>
    <xf numFmtId="0" fontId="0" fillId="0" borderId="0" xfId="0" applyBorder="1" applyAlignment="1" applyProtection="1">
      <alignment horizontal="left"/>
      <protection hidden="1"/>
    </xf>
    <xf numFmtId="0" fontId="0" fillId="2" borderId="62" xfId="0" applyFill="1" applyBorder="1" applyAlignment="1" applyProtection="1">
      <protection hidden="1"/>
    </xf>
    <xf numFmtId="0" fontId="0" fillId="2" borderId="16" xfId="0" applyFill="1" applyBorder="1" applyAlignment="1" applyProtection="1">
      <alignment horizontal="center"/>
      <protection hidden="1"/>
    </xf>
    <xf numFmtId="0" fontId="0" fillId="2" borderId="28" xfId="0" applyFill="1" applyBorder="1" applyAlignment="1" applyProtection="1">
      <alignment horizontal="center"/>
      <protection hidden="1"/>
    </xf>
    <xf numFmtId="0" fontId="0" fillId="4" borderId="65" xfId="0" applyFill="1" applyBorder="1" applyAlignment="1" applyProtection="1">
      <protection hidden="1"/>
    </xf>
    <xf numFmtId="0" fontId="4" fillId="0" borderId="3" xfId="0" applyFont="1" applyFill="1" applyBorder="1" applyAlignment="1" applyProtection="1">
      <alignment horizontal="center"/>
      <protection hidden="1"/>
    </xf>
    <xf numFmtId="0" fontId="4" fillId="0" borderId="37" xfId="0" applyFont="1" applyFill="1" applyBorder="1" applyAlignment="1" applyProtection="1">
      <alignment horizontal="center"/>
      <protection hidden="1"/>
    </xf>
    <xf numFmtId="0" fontId="0" fillId="4" borderId="55" xfId="0" applyFill="1" applyBorder="1" applyAlignment="1" applyProtection="1">
      <protection hidden="1"/>
    </xf>
    <xf numFmtId="0" fontId="4" fillId="0" borderId="11" xfId="0" applyFont="1" applyFill="1" applyBorder="1" applyAlignment="1" applyProtection="1">
      <alignment horizontal="center"/>
      <protection hidden="1"/>
    </xf>
    <xf numFmtId="0" fontId="4" fillId="0" borderId="29" xfId="0" applyFont="1" applyFill="1" applyBorder="1" applyAlignment="1" applyProtection="1">
      <alignment horizontal="center"/>
      <protection hidden="1"/>
    </xf>
    <xf numFmtId="0" fontId="10" fillId="0" borderId="0" xfId="0" applyFont="1" applyAlignment="1" applyProtection="1">
      <alignment horizontal="center" vertical="center"/>
      <protection hidden="1"/>
    </xf>
    <xf numFmtId="0" fontId="39" fillId="0" borderId="0" xfId="0" applyFont="1" applyAlignment="1" applyProtection="1">
      <protection hidden="1"/>
    </xf>
    <xf numFmtId="0" fontId="41" fillId="0" borderId="0" xfId="0" applyFont="1" applyAlignment="1" applyProtection="1">
      <protection hidden="1"/>
    </xf>
    <xf numFmtId="164" fontId="0" fillId="0" borderId="0" xfId="0" applyNumberFormat="1" applyAlignment="1" applyProtection="1">
      <protection hidden="1"/>
    </xf>
    <xf numFmtId="0" fontId="25" fillId="0" borderId="0" xfId="0" applyFont="1" applyAlignment="1" applyProtection="1">
      <protection hidden="1"/>
    </xf>
    <xf numFmtId="0" fontId="23" fillId="0" borderId="0" xfId="0" applyFont="1" applyAlignment="1" applyProtection="1">
      <protection hidden="1"/>
    </xf>
    <xf numFmtId="0" fontId="38" fillId="0" borderId="0" xfId="0" applyFont="1" applyProtection="1">
      <protection hidden="1"/>
    </xf>
    <xf numFmtId="0" fontId="20" fillId="0" borderId="0" xfId="0" applyFont="1" applyProtection="1">
      <protection hidden="1"/>
    </xf>
    <xf numFmtId="0" fontId="38" fillId="0" borderId="0" xfId="0" applyFont="1" applyAlignment="1" applyProtection="1">
      <alignment horizontal="left"/>
      <protection hidden="1"/>
    </xf>
    <xf numFmtId="0" fontId="38" fillId="0" borderId="0" xfId="0" applyFont="1" applyAlignment="1" applyProtection="1">
      <alignment horizontal="right"/>
      <protection hidden="1"/>
    </xf>
    <xf numFmtId="0" fontId="42" fillId="0" borderId="0" xfId="0" applyFont="1" applyProtection="1">
      <protection hidden="1"/>
    </xf>
    <xf numFmtId="0" fontId="43" fillId="0" borderId="0" xfId="0" applyFont="1" applyAlignment="1" applyProtection="1">
      <alignment horizontal="left"/>
      <protection hidden="1"/>
    </xf>
    <xf numFmtId="0" fontId="43" fillId="0" borderId="0" xfId="0" applyFont="1" applyAlignment="1" applyProtection="1">
      <alignment horizontal="right"/>
      <protection hidden="1"/>
    </xf>
    <xf numFmtId="0" fontId="44" fillId="0" borderId="0" xfId="0" applyFont="1" applyAlignment="1" applyProtection="1">
      <alignment wrapText="1"/>
      <protection hidden="1"/>
    </xf>
    <xf numFmtId="0" fontId="44" fillId="0" borderId="0" xfId="0" applyFont="1" applyAlignment="1" applyProtection="1">
      <alignment horizontal="left" vertical="center" wrapText="1"/>
      <protection hidden="1"/>
    </xf>
    <xf numFmtId="0" fontId="44" fillId="0" borderId="0" xfId="0" applyFont="1" applyAlignment="1" applyProtection="1">
      <alignment horizontal="right" vertical="center" wrapText="1"/>
      <protection hidden="1"/>
    </xf>
    <xf numFmtId="0" fontId="15" fillId="0" borderId="0" xfId="0" applyFont="1" applyAlignment="1" applyProtection="1">
      <alignment horizontal="right" vertical="center" wrapText="1"/>
      <protection hidden="1"/>
    </xf>
    <xf numFmtId="0" fontId="43" fillId="0" borderId="0" xfId="0" quotePrefix="1" applyFont="1" applyProtection="1">
      <protection hidden="1"/>
    </xf>
    <xf numFmtId="0" fontId="45" fillId="0" borderId="0" xfId="0" applyFont="1" applyAlignment="1" applyProtection="1">
      <alignment horizontal="right" wrapText="1"/>
      <protection hidden="1"/>
    </xf>
    <xf numFmtId="0" fontId="46" fillId="0" borderId="0" xfId="2" applyFont="1" applyAlignment="1" applyProtection="1">
      <alignment wrapText="1"/>
      <protection hidden="1"/>
    </xf>
    <xf numFmtId="0" fontId="45" fillId="0" borderId="0" xfId="0" applyFont="1" applyAlignment="1" applyProtection="1">
      <alignment wrapText="1"/>
      <protection hidden="1"/>
    </xf>
    <xf numFmtId="0" fontId="36" fillId="3" borderId="22" xfId="0" applyFont="1" applyFill="1" applyBorder="1" applyAlignment="1" applyProtection="1">
      <alignment horizontal="left" vertical="center" wrapText="1"/>
      <protection locked="0" hidden="1"/>
    </xf>
    <xf numFmtId="0" fontId="15" fillId="0" borderId="9" xfId="0" applyFont="1" applyFill="1" applyBorder="1" applyAlignment="1" applyProtection="1">
      <alignment horizontal="center" vertical="center" wrapText="1"/>
      <protection hidden="1"/>
    </xf>
    <xf numFmtId="0" fontId="15" fillId="0" borderId="9" xfId="0" applyFont="1" applyFill="1" applyBorder="1" applyAlignment="1" applyProtection="1">
      <alignment horizontal="center" vertical="center"/>
      <protection hidden="1"/>
    </xf>
    <xf numFmtId="0" fontId="4" fillId="0" borderId="62" xfId="0" applyFont="1" applyBorder="1" applyAlignment="1" applyProtection="1">
      <alignment horizontal="center"/>
      <protection hidden="1"/>
    </xf>
    <xf numFmtId="0" fontId="0" fillId="0" borderId="74" xfId="0" applyFont="1" applyBorder="1" applyAlignment="1" applyProtection="1">
      <alignment horizontal="center" vertical="center"/>
      <protection hidden="1"/>
    </xf>
    <xf numFmtId="0" fontId="0" fillId="0" borderId="75" xfId="0" applyFont="1" applyBorder="1" applyAlignment="1" applyProtection="1">
      <alignment horizontal="center" vertical="center"/>
      <protection hidden="1"/>
    </xf>
    <xf numFmtId="0" fontId="0" fillId="0" borderId="76" xfId="0" applyFont="1" applyBorder="1" applyAlignment="1" applyProtection="1">
      <alignment horizontal="center" vertical="center"/>
      <protection hidden="1"/>
    </xf>
    <xf numFmtId="0" fontId="0" fillId="0" borderId="77" xfId="0" applyFont="1" applyBorder="1" applyAlignment="1" applyProtection="1">
      <alignment horizontal="center" vertical="center"/>
      <protection hidden="1"/>
    </xf>
    <xf numFmtId="0" fontId="0" fillId="0" borderId="78" xfId="0" applyFont="1" applyBorder="1" applyAlignment="1" applyProtection="1">
      <alignment horizontal="center" vertical="center"/>
      <protection hidden="1"/>
    </xf>
    <xf numFmtId="0" fontId="0" fillId="0" borderId="55" xfId="0" applyFont="1" applyBorder="1" applyAlignment="1" applyProtection="1">
      <alignment horizontal="center" vertical="center"/>
      <protection hidden="1"/>
    </xf>
    <xf numFmtId="0" fontId="3" fillId="0" borderId="10" xfId="0" applyFont="1" applyFill="1" applyBorder="1" applyAlignment="1" applyProtection="1">
      <alignment horizontal="center" vertical="center" wrapText="1"/>
      <protection hidden="1"/>
    </xf>
    <xf numFmtId="0" fontId="3" fillId="0" borderId="26"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4" fillId="0" borderId="27" xfId="0" applyFont="1" applyBorder="1" applyAlignment="1" applyProtection="1">
      <alignment horizontal="center" vertical="center"/>
      <protection hidden="1"/>
    </xf>
    <xf numFmtId="0" fontId="21" fillId="0" borderId="0" xfId="0" applyFont="1" applyProtection="1">
      <protection hidden="1"/>
    </xf>
    <xf numFmtId="0" fontId="0" fillId="0" borderId="0" xfId="0" applyAlignment="1" applyProtection="1">
      <alignment horizontal="center"/>
      <protection hidden="1"/>
    </xf>
    <xf numFmtId="0" fontId="0" fillId="0" borderId="0" xfId="0" applyAlignment="1" applyProtection="1">
      <alignment horizontal="left" vertical="center"/>
      <protection hidden="1"/>
    </xf>
    <xf numFmtId="14" fontId="0" fillId="0" borderId="0" xfId="0" applyNumberFormat="1" applyProtection="1">
      <protection hidden="1"/>
    </xf>
    <xf numFmtId="0" fontId="33" fillId="0" borderId="0" xfId="0" applyFont="1" applyAlignment="1" applyProtection="1">
      <alignment horizontal="left" vertical="center" wrapText="1"/>
      <protection hidden="1"/>
    </xf>
    <xf numFmtId="164" fontId="36" fillId="3" borderId="22" xfId="0" applyNumberFormat="1" applyFont="1" applyFill="1" applyBorder="1" applyAlignment="1" applyProtection="1">
      <alignment horizontal="left" vertical="center"/>
      <protection locked="0" hidden="1"/>
    </xf>
    <xf numFmtId="164" fontId="36" fillId="3" borderId="32" xfId="0" applyNumberFormat="1" applyFont="1" applyFill="1" applyBorder="1" applyAlignment="1" applyProtection="1">
      <alignment horizontal="left"/>
      <protection locked="0" hidden="1"/>
    </xf>
    <xf numFmtId="0" fontId="47" fillId="2" borderId="47" xfId="0" applyFont="1" applyFill="1" applyBorder="1" applyAlignment="1" applyProtection="1">
      <alignment horizontal="center"/>
      <protection hidden="1"/>
    </xf>
    <xf numFmtId="0" fontId="47" fillId="2" borderId="48" xfId="0" applyFont="1" applyFill="1" applyBorder="1" applyAlignment="1" applyProtection="1">
      <alignment horizontal="center"/>
      <protection hidden="1"/>
    </xf>
    <xf numFmtId="0" fontId="21" fillId="0" borderId="0" xfId="0" applyFont="1" applyAlignment="1" applyProtection="1">
      <alignment vertical="center" wrapText="1"/>
      <protection hidden="1"/>
    </xf>
    <xf numFmtId="0" fontId="8"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10" fillId="0" borderId="0" xfId="0" applyFont="1" applyAlignment="1" applyProtection="1">
      <protection hidden="1"/>
    </xf>
    <xf numFmtId="0" fontId="38" fillId="0" borderId="0" xfId="0" applyFont="1" applyAlignment="1" applyProtection="1">
      <alignment horizontal="left" vertical="top" wrapText="1"/>
      <protection hidden="1"/>
    </xf>
    <xf numFmtId="0" fontId="20" fillId="0" borderId="0" xfId="0" applyFont="1" applyAlignment="1" applyProtection="1">
      <alignment horizontal="left" vertical="top" wrapText="1"/>
      <protection hidden="1"/>
    </xf>
    <xf numFmtId="0" fontId="3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0" fontId="38" fillId="0" borderId="0" xfId="0" applyFont="1" applyAlignment="1" applyProtection="1">
      <alignment horizontal="right" vertical="top"/>
      <protection hidden="1"/>
    </xf>
    <xf numFmtId="2" fontId="10" fillId="0" borderId="0" xfId="0" applyNumberFormat="1" applyFont="1" applyAlignment="1" applyProtection="1">
      <alignment horizontal="center" vertical="center"/>
      <protection hidden="1"/>
    </xf>
    <xf numFmtId="0" fontId="0" fillId="0" borderId="85" xfId="0" applyBorder="1" applyProtection="1">
      <protection hidden="1"/>
    </xf>
    <xf numFmtId="0" fontId="0" fillId="0" borderId="0" xfId="0" applyAlignment="1" applyProtection="1">
      <alignment horizontal="center"/>
      <protection hidden="1"/>
    </xf>
    <xf numFmtId="0" fontId="42" fillId="0" borderId="0" xfId="0" applyFont="1" applyAlignment="1" applyProtection="1">
      <alignment horizontal="left"/>
      <protection hidden="1"/>
    </xf>
    <xf numFmtId="0" fontId="30" fillId="0" borderId="0" xfId="0" applyFont="1" applyAlignment="1">
      <alignment horizontal="left"/>
    </xf>
    <xf numFmtId="0" fontId="1" fillId="0" borderId="0" xfId="0" applyFont="1" applyAlignment="1">
      <alignment horizontal="left"/>
    </xf>
    <xf numFmtId="0" fontId="1" fillId="0" borderId="9" xfId="0" applyFont="1" applyBorder="1" applyAlignment="1">
      <alignment horizontal="center"/>
    </xf>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0" fillId="0" borderId="9" xfId="0" applyBorder="1" applyAlignment="1" applyProtection="1">
      <alignment horizontal="center"/>
      <protection hidden="1"/>
    </xf>
    <xf numFmtId="0" fontId="0" fillId="0" borderId="11" xfId="0" applyFont="1" applyBorder="1" applyAlignment="1" applyProtection="1">
      <alignment horizontal="center" vertical="center"/>
      <protection hidden="1"/>
    </xf>
    <xf numFmtId="0" fontId="0" fillId="0" borderId="0" xfId="0" applyAlignment="1" applyProtection="1">
      <alignment horizontal="center"/>
      <protection hidden="1"/>
    </xf>
    <xf numFmtId="0" fontId="0" fillId="0" borderId="9" xfId="0" applyBorder="1" applyAlignment="1" applyProtection="1">
      <alignment horizontal="center"/>
      <protection hidden="1"/>
    </xf>
    <xf numFmtId="0" fontId="19" fillId="0" borderId="31" xfId="0" applyFont="1" applyBorder="1" applyProtection="1">
      <protection hidden="1"/>
    </xf>
    <xf numFmtId="0" fontId="20" fillId="0" borderId="2" xfId="0" applyFont="1" applyBorder="1" applyAlignment="1" applyProtection="1">
      <alignment horizontal="center"/>
      <protection hidden="1"/>
    </xf>
    <xf numFmtId="164" fontId="36" fillId="3" borderId="85" xfId="0" applyNumberFormat="1" applyFont="1" applyFill="1" applyBorder="1" applyAlignment="1" applyProtection="1">
      <alignment horizontal="left"/>
      <protection locked="0" hidden="1"/>
    </xf>
    <xf numFmtId="164" fontId="36" fillId="3" borderId="22" xfId="0" applyNumberFormat="1" applyFont="1" applyFill="1" applyBorder="1" applyAlignment="1" applyProtection="1">
      <alignment horizontal="left"/>
      <protection locked="0" hidden="1"/>
    </xf>
    <xf numFmtId="0" fontId="0" fillId="0" borderId="0" xfId="0"/>
    <xf numFmtId="0" fontId="0" fillId="0" borderId="0" xfId="0"/>
    <xf numFmtId="0" fontId="0" fillId="0" borderId="0" xfId="0" applyAlignment="1" applyProtection="1">
      <alignment horizontal="center"/>
      <protection hidden="1"/>
    </xf>
    <xf numFmtId="0" fontId="13" fillId="0" borderId="7" xfId="0" applyFont="1" applyBorder="1" applyAlignment="1" applyProtection="1">
      <alignment vertical="center"/>
      <protection hidden="1"/>
    </xf>
    <xf numFmtId="0" fontId="32" fillId="0" borderId="7" xfId="0" applyFont="1" applyBorder="1" applyAlignment="1" applyProtection="1">
      <alignment vertical="center" wrapText="1"/>
      <protection hidden="1"/>
    </xf>
    <xf numFmtId="0" fontId="33" fillId="0" borderId="7" xfId="0" applyFont="1" applyBorder="1" applyAlignment="1" applyProtection="1">
      <alignment vertical="center" wrapText="1"/>
      <protection hidden="1"/>
    </xf>
    <xf numFmtId="0" fontId="13" fillId="0" borderId="0" xfId="0" applyFont="1" applyAlignment="1" applyProtection="1">
      <alignment vertical="center"/>
      <protection hidden="1"/>
    </xf>
    <xf numFmtId="0" fontId="0" fillId="0" borderId="7" xfId="0" applyFont="1" applyBorder="1" applyAlignment="1" applyProtection="1">
      <alignment horizontal="center" vertical="center" textRotation="90"/>
      <protection hidden="1"/>
    </xf>
    <xf numFmtId="0" fontId="0" fillId="0" borderId="7" xfId="0" applyFont="1" applyBorder="1" applyAlignment="1" applyProtection="1">
      <alignment vertical="center" textRotation="90"/>
      <protection hidden="1"/>
    </xf>
    <xf numFmtId="0" fontId="0" fillId="0" borderId="9" xfId="0" applyFont="1" applyBorder="1" applyAlignment="1" applyProtection="1">
      <alignment vertical="center" textRotation="90"/>
      <protection hidden="1"/>
    </xf>
    <xf numFmtId="0" fontId="0" fillId="0" borderId="9" xfId="0" applyFont="1" applyBorder="1" applyAlignment="1" applyProtection="1">
      <alignment horizontal="center" vertical="center" textRotation="90"/>
      <protection hidden="1"/>
    </xf>
    <xf numFmtId="0" fontId="11" fillId="0" borderId="9" xfId="0" applyFont="1" applyBorder="1" applyAlignment="1" applyProtection="1">
      <alignment horizontal="center" vertical="center" textRotation="90"/>
      <protection hidden="1"/>
    </xf>
    <xf numFmtId="0" fontId="11" fillId="0" borderId="9" xfId="0" applyFont="1" applyBorder="1" applyProtection="1">
      <protection hidden="1"/>
    </xf>
    <xf numFmtId="0" fontId="12" fillId="0" borderId="9" xfId="0" applyFont="1" applyBorder="1" applyProtection="1">
      <protection hidden="1"/>
    </xf>
    <xf numFmtId="0" fontId="4" fillId="0" borderId="9" xfId="0" applyFont="1" applyBorder="1" applyAlignment="1" applyProtection="1">
      <protection hidden="1"/>
    </xf>
    <xf numFmtId="0" fontId="0" fillId="0" borderId="7" xfId="0" applyFont="1" applyBorder="1" applyAlignment="1" applyProtection="1">
      <alignment horizontal="center" vertical="center" wrapText="1"/>
      <protection hidden="1"/>
    </xf>
    <xf numFmtId="0" fontId="9" fillId="0" borderId="9" xfId="0" applyFont="1" applyBorder="1" applyAlignment="1" applyProtection="1">
      <alignment horizontal="center" vertical="center" wrapText="1"/>
      <protection hidden="1"/>
    </xf>
    <xf numFmtId="0" fontId="50" fillId="0" borderId="7" xfId="0" applyFont="1" applyBorder="1" applyAlignment="1" applyProtection="1">
      <alignment horizontal="center" vertical="center" wrapText="1"/>
      <protection hidden="1"/>
    </xf>
    <xf numFmtId="0" fontId="49" fillId="6" borderId="22" xfId="2" applyFont="1" applyFill="1" applyBorder="1" applyAlignment="1" applyProtection="1">
      <alignment horizontal="left"/>
      <protection hidden="1"/>
    </xf>
    <xf numFmtId="0" fontId="49" fillId="6" borderId="22" xfId="0" applyFont="1" applyFill="1" applyBorder="1" applyAlignment="1" applyProtection="1">
      <alignment horizontal="left"/>
      <protection hidden="1"/>
    </xf>
    <xf numFmtId="164" fontId="42" fillId="0" borderId="26" xfId="0" applyNumberFormat="1" applyFont="1" applyBorder="1" applyAlignment="1" applyProtection="1">
      <alignment horizontal="left"/>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0" fillId="0" borderId="0" xfId="0" applyAlignment="1" applyProtection="1">
      <alignment horizontal="center"/>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0" fillId="0" borderId="86" xfId="0" applyFont="1" applyBorder="1" applyAlignment="1" applyProtection="1">
      <alignment horizontal="center" vertical="center"/>
      <protection hidden="1"/>
    </xf>
    <xf numFmtId="0" fontId="15" fillId="0" borderId="0" xfId="0" applyFont="1" applyAlignment="1" applyProtection="1">
      <alignment horizontal="left" vertical="center" wrapText="1"/>
      <protection hidden="1"/>
    </xf>
    <xf numFmtId="0" fontId="21" fillId="0" borderId="0" xfId="0" applyFont="1" applyAlignment="1" applyProtection="1">
      <alignment horizontal="left" vertical="center" wrapText="1"/>
      <protection hidden="1"/>
    </xf>
    <xf numFmtId="0" fontId="18" fillId="0" borderId="0" xfId="0" applyFont="1" applyAlignment="1" applyProtection="1">
      <alignment horizontal="left" vertical="center" wrapText="1"/>
      <protection hidden="1"/>
    </xf>
    <xf numFmtId="0" fontId="8" fillId="0" borderId="0" xfId="0" applyFont="1" applyAlignment="1" applyProtection="1">
      <alignment horizontal="left"/>
      <protection hidden="1"/>
    </xf>
    <xf numFmtId="0" fontId="48" fillId="0" borderId="0" xfId="0" applyFont="1" applyAlignment="1" applyProtection="1">
      <alignment horizontal="left" vertical="center" wrapText="1"/>
      <protection hidden="1"/>
    </xf>
    <xf numFmtId="0" fontId="15" fillId="0" borderId="0" xfId="0" applyFont="1" applyAlignment="1" applyProtection="1">
      <alignment horizontal="left" vertical="top" wrapText="1"/>
      <protection hidden="1"/>
    </xf>
    <xf numFmtId="0" fontId="21" fillId="0" borderId="0" xfId="0" applyFont="1" applyAlignment="1" applyProtection="1">
      <alignment horizontal="left" wrapText="1"/>
      <protection hidden="1"/>
    </xf>
    <xf numFmtId="0" fontId="0" fillId="0" borderId="9" xfId="0" applyBorder="1" applyAlignment="1" applyProtection="1">
      <alignment horizontal="left"/>
      <protection hidden="1"/>
    </xf>
    <xf numFmtId="0" fontId="0" fillId="2" borderId="50" xfId="0" applyFill="1" applyBorder="1" applyAlignment="1" applyProtection="1">
      <alignment horizontal="center"/>
      <protection hidden="1"/>
    </xf>
    <xf numFmtId="0" fontId="0" fillId="2" borderId="51" xfId="0" applyFill="1" applyBorder="1" applyAlignment="1" applyProtection="1">
      <alignment horizontal="center"/>
      <protection hidden="1"/>
    </xf>
    <xf numFmtId="0" fontId="0" fillId="2" borderId="52" xfId="0" applyFill="1" applyBorder="1" applyAlignment="1" applyProtection="1">
      <alignment horizontal="center"/>
      <protection hidden="1"/>
    </xf>
    <xf numFmtId="0" fontId="0" fillId="0" borderId="0" xfId="0" applyAlignment="1" applyProtection="1">
      <alignment horizontal="left"/>
      <protection hidden="1"/>
    </xf>
    <xf numFmtId="0" fontId="0" fillId="2" borderId="8" xfId="0"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2" borderId="12" xfId="0" applyFill="1" applyBorder="1" applyAlignment="1" applyProtection="1">
      <alignment horizontal="center" vertical="center"/>
      <protection hidden="1"/>
    </xf>
    <xf numFmtId="0" fontId="0" fillId="2" borderId="58" xfId="0" applyFill="1" applyBorder="1" applyAlignment="1" applyProtection="1">
      <alignment horizontal="center" vertical="center"/>
      <protection hidden="1"/>
    </xf>
    <xf numFmtId="0" fontId="0" fillId="2" borderId="38" xfId="0" applyFill="1" applyBorder="1" applyAlignment="1" applyProtection="1">
      <alignment horizontal="center" vertical="center"/>
      <protection hidden="1"/>
    </xf>
    <xf numFmtId="0" fontId="0" fillId="2" borderId="49" xfId="0" applyFill="1" applyBorder="1" applyAlignment="1" applyProtection="1">
      <alignment horizontal="center" vertical="center"/>
      <protection hidden="1"/>
    </xf>
    <xf numFmtId="0" fontId="0" fillId="2" borderId="36" xfId="0" applyFill="1" applyBorder="1" applyAlignment="1" applyProtection="1">
      <alignment horizontal="center" vertical="center"/>
      <protection hidden="1"/>
    </xf>
    <xf numFmtId="0" fontId="0" fillId="2" borderId="46" xfId="0" applyFill="1" applyBorder="1" applyAlignment="1" applyProtection="1">
      <alignment horizontal="center" vertical="center"/>
      <protection hidden="1"/>
    </xf>
    <xf numFmtId="0" fontId="0" fillId="2" borderId="55" xfId="0" applyFill="1" applyBorder="1" applyAlignment="1" applyProtection="1">
      <alignment horizontal="center" vertical="center"/>
      <protection hidden="1"/>
    </xf>
    <xf numFmtId="0" fontId="0" fillId="2" borderId="56" xfId="0" applyFill="1" applyBorder="1" applyAlignment="1" applyProtection="1">
      <alignment horizontal="center" vertical="center"/>
      <protection hidden="1"/>
    </xf>
    <xf numFmtId="0" fontId="4" fillId="4" borderId="62" xfId="0" applyFont="1" applyFill="1" applyBorder="1" applyAlignment="1" applyProtection="1">
      <alignment horizontal="center"/>
      <protection hidden="1"/>
    </xf>
    <xf numFmtId="0" fontId="4" fillId="4" borderId="72" xfId="0" applyFont="1" applyFill="1" applyBorder="1" applyAlignment="1" applyProtection="1">
      <alignment horizontal="center"/>
      <protection hidden="1"/>
    </xf>
    <xf numFmtId="0" fontId="0" fillId="4" borderId="23" xfId="0" applyFill="1" applyBorder="1" applyAlignment="1" applyProtection="1">
      <alignment horizontal="left"/>
      <protection hidden="1"/>
    </xf>
    <xf numFmtId="0" fontId="0" fillId="4" borderId="48" xfId="0" applyFill="1" applyBorder="1" applyAlignment="1" applyProtection="1">
      <alignment horizontal="left"/>
      <protection hidden="1"/>
    </xf>
    <xf numFmtId="0" fontId="0" fillId="4" borderId="21" xfId="0" applyFill="1" applyBorder="1" applyAlignment="1" applyProtection="1">
      <alignment horizontal="left"/>
      <protection hidden="1"/>
    </xf>
    <xf numFmtId="0" fontId="0" fillId="4" borderId="12" xfId="0" applyFill="1" applyBorder="1" applyAlignment="1" applyProtection="1">
      <alignment horizontal="left"/>
      <protection hidden="1"/>
    </xf>
    <xf numFmtId="0" fontId="1" fillId="0" borderId="5" xfId="0" applyFont="1" applyFill="1" applyBorder="1" applyAlignment="1" applyProtection="1">
      <alignment horizontal="left" vertical="center" wrapText="1"/>
      <protection hidden="1"/>
    </xf>
    <xf numFmtId="0" fontId="0" fillId="2" borderId="53"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59" xfId="0" applyFill="1" applyBorder="1" applyAlignment="1" applyProtection="1">
      <alignment horizontal="center" vertical="center" wrapText="1"/>
      <protection hidden="1"/>
    </xf>
    <xf numFmtId="0" fontId="0" fillId="2" borderId="8" xfId="0" applyFill="1" applyBorder="1" applyAlignment="1" applyProtection="1">
      <alignment horizontal="center"/>
      <protection hidden="1"/>
    </xf>
    <xf numFmtId="0" fontId="0" fillId="2" borderId="9" xfId="0" applyFill="1" applyBorder="1" applyAlignment="1" applyProtection="1">
      <alignment horizontal="center"/>
      <protection hidden="1"/>
    </xf>
    <xf numFmtId="0" fontId="40" fillId="0" borderId="0" xfId="0" applyFont="1" applyAlignment="1" applyProtection="1">
      <alignment horizontal="center"/>
      <protection hidden="1"/>
    </xf>
    <xf numFmtId="0" fontId="0" fillId="0" borderId="10" xfId="0" applyBorder="1" applyAlignment="1" applyProtection="1">
      <alignment horizontal="left"/>
      <protection hidden="1"/>
    </xf>
    <xf numFmtId="0" fontId="4" fillId="2" borderId="16" xfId="0" applyFont="1" applyFill="1" applyBorder="1" applyAlignment="1" applyProtection="1">
      <alignment horizontal="left"/>
      <protection hidden="1"/>
    </xf>
    <xf numFmtId="0" fontId="10" fillId="0" borderId="0" xfId="0" applyFont="1" applyAlignment="1" applyProtection="1">
      <alignment horizontal="left"/>
      <protection hidden="1"/>
    </xf>
    <xf numFmtId="0" fontId="0" fillId="0" borderId="0" xfId="0" applyAlignment="1" applyProtection="1">
      <alignment horizontal="center"/>
      <protection hidden="1"/>
    </xf>
    <xf numFmtId="0" fontId="39" fillId="0" borderId="0" xfId="0" applyFont="1" applyAlignment="1" applyProtection="1">
      <alignment horizontal="center"/>
      <protection hidden="1"/>
    </xf>
    <xf numFmtId="0" fontId="0" fillId="0" borderId="36" xfId="0" applyBorder="1" applyAlignment="1" applyProtection="1">
      <alignment horizontal="right"/>
      <protection hidden="1"/>
    </xf>
    <xf numFmtId="0" fontId="0" fillId="0" borderId="0" xfId="0" applyAlignment="1" applyProtection="1">
      <alignment horizontal="right"/>
      <protection hidden="1"/>
    </xf>
    <xf numFmtId="0" fontId="10" fillId="0" borderId="0" xfId="0" applyFont="1" applyAlignment="1" applyProtection="1">
      <alignment horizontal="left" vertical="center"/>
      <protection hidden="1"/>
    </xf>
    <xf numFmtId="0" fontId="0" fillId="2" borderId="12" xfId="0" applyFill="1" applyBorder="1" applyAlignment="1" applyProtection="1">
      <alignment horizontal="center"/>
      <protection hidden="1"/>
    </xf>
    <xf numFmtId="0" fontId="0" fillId="4" borderId="64" xfId="0" applyFill="1" applyBorder="1" applyAlignment="1" applyProtection="1">
      <alignment horizontal="left"/>
      <protection hidden="1"/>
    </xf>
    <xf numFmtId="0" fontId="0" fillId="4" borderId="67" xfId="0" applyFill="1" applyBorder="1" applyAlignment="1" applyProtection="1">
      <alignment horizontal="left"/>
      <protection hidden="1"/>
    </xf>
    <xf numFmtId="164" fontId="0" fillId="0" borderId="0" xfId="0" applyNumberFormat="1" applyAlignment="1" applyProtection="1">
      <alignment horizontal="center"/>
      <protection hidden="1"/>
    </xf>
    <xf numFmtId="0" fontId="23" fillId="0" borderId="0" xfId="0" applyFont="1" applyAlignment="1" applyProtection="1">
      <alignment horizontal="center"/>
      <protection hidden="1"/>
    </xf>
    <xf numFmtId="0" fontId="0" fillId="0" borderId="6" xfId="0" applyBorder="1" applyAlignment="1" applyProtection="1">
      <alignment horizontal="left"/>
      <protection hidden="1"/>
    </xf>
    <xf numFmtId="0" fontId="42" fillId="0" borderId="0" xfId="0" applyFont="1" applyAlignment="1" applyProtection="1">
      <alignment horizontal="left" vertical="top" wrapText="1"/>
      <protection hidden="1"/>
    </xf>
    <xf numFmtId="0" fontId="42" fillId="0" borderId="0" xfId="0" applyFont="1" applyAlignment="1" applyProtection="1">
      <alignment horizontal="left"/>
      <protection hidden="1"/>
    </xf>
    <xf numFmtId="164" fontId="42" fillId="0" borderId="0" xfId="0" applyNumberFormat="1" applyFont="1" applyAlignment="1" applyProtection="1">
      <alignment horizontal="left"/>
      <protection hidden="1"/>
    </xf>
    <xf numFmtId="0" fontId="1" fillId="0" borderId="9" xfId="0" applyFont="1" applyBorder="1" applyAlignment="1">
      <alignment horizontal="left" vertical="center"/>
    </xf>
    <xf numFmtId="0" fontId="1" fillId="0" borderId="0" xfId="0" applyFont="1" applyAlignment="1">
      <alignment horizontal="left"/>
    </xf>
    <xf numFmtId="0" fontId="1" fillId="0" borderId="9" xfId="0" applyFont="1" applyBorder="1" applyAlignment="1">
      <alignment horizontal="center"/>
    </xf>
    <xf numFmtId="0" fontId="1" fillId="0" borderId="9" xfId="0" applyFont="1" applyBorder="1" applyAlignment="1">
      <alignment horizontal="left"/>
    </xf>
    <xf numFmtId="0" fontId="1" fillId="0" borderId="0" xfId="0" applyFont="1" applyAlignment="1"/>
    <xf numFmtId="0" fontId="22" fillId="0" borderId="0" xfId="0" applyFont="1" applyAlignment="1">
      <alignment horizontal="center"/>
    </xf>
    <xf numFmtId="0" fontId="22" fillId="0" borderId="0" xfId="0" applyFont="1" applyAlignment="1">
      <alignment horizontal="left"/>
    </xf>
    <xf numFmtId="0" fontId="30" fillId="0" borderId="0" xfId="0" applyFont="1" applyAlignment="1">
      <alignment horizontal="left"/>
    </xf>
    <xf numFmtId="0" fontId="0" fillId="0" borderId="0" xfId="0" applyFont="1" applyBorder="1" applyAlignment="1" applyProtection="1">
      <alignment horizontal="center" vertical="center"/>
      <protection hidden="1"/>
    </xf>
    <xf numFmtId="0" fontId="0" fillId="0" borderId="23"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1" fontId="10" fillId="0" borderId="9" xfId="0" applyNumberFormat="1" applyFont="1" applyBorder="1" applyAlignment="1" applyProtection="1">
      <alignment horizontal="center"/>
      <protection hidden="1"/>
    </xf>
    <xf numFmtId="2" fontId="10" fillId="0" borderId="9" xfId="0" applyNumberFormat="1" applyFont="1" applyBorder="1" applyAlignment="1" applyProtection="1">
      <alignment horizontal="center"/>
      <protection hidden="1"/>
    </xf>
    <xf numFmtId="0" fontId="0" fillId="0" borderId="9" xfId="0" applyBorder="1" applyAlignment="1" applyProtection="1">
      <alignment horizontal="center"/>
      <protection hidden="1"/>
    </xf>
    <xf numFmtId="0" fontId="15" fillId="0" borderId="9" xfId="0" applyFont="1" applyBorder="1" applyAlignment="1" applyProtection="1">
      <alignment horizontal="center"/>
      <protection hidden="1"/>
    </xf>
    <xf numFmtId="2" fontId="15" fillId="0" borderId="9" xfId="0" applyNumberFormat="1" applyFont="1" applyBorder="1" applyAlignment="1" applyProtection="1">
      <alignment horizont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8"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3" fillId="3" borderId="1" xfId="0" applyFont="1" applyFill="1" applyBorder="1" applyAlignment="1" applyProtection="1">
      <alignment horizontal="center" vertical="center"/>
      <protection locked="0" hidden="1"/>
    </xf>
    <xf numFmtId="0" fontId="3" fillId="3" borderId="3" xfId="0"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1" fillId="0" borderId="44" xfId="0" applyFont="1" applyBorder="1" applyAlignment="1" applyProtection="1">
      <alignment horizontal="center" vertical="center"/>
      <protection hidden="1"/>
    </xf>
    <xf numFmtId="0" fontId="11" fillId="0" borderId="45" xfId="0" applyFont="1" applyBorder="1" applyAlignment="1" applyProtection="1">
      <alignment horizontal="center" vertical="center"/>
      <protection hidden="1"/>
    </xf>
    <xf numFmtId="2" fontId="15" fillId="0" borderId="13" xfId="0" applyNumberFormat="1" applyFont="1" applyBorder="1" applyAlignment="1" applyProtection="1">
      <alignment horizontal="center"/>
      <protection hidden="1"/>
    </xf>
    <xf numFmtId="2" fontId="15" fillId="0" borderId="41" xfId="0" applyNumberFormat="1" applyFont="1" applyBorder="1" applyAlignment="1" applyProtection="1">
      <alignment horizontal="center"/>
      <protection hidden="1"/>
    </xf>
    <xf numFmtId="0" fontId="3" fillId="3" borderId="15" xfId="0" applyFont="1" applyFill="1" applyBorder="1" applyAlignment="1" applyProtection="1">
      <alignment horizontal="center" vertical="center"/>
      <protection locked="0" hidden="1"/>
    </xf>
    <xf numFmtId="0" fontId="3" fillId="3" borderId="18" xfId="0" applyFont="1" applyFill="1" applyBorder="1" applyAlignment="1" applyProtection="1">
      <alignment horizontal="center" vertical="center"/>
      <protection locked="0" hidden="1"/>
    </xf>
    <xf numFmtId="0" fontId="3" fillId="3" borderId="9" xfId="0" applyFont="1" applyFill="1" applyBorder="1" applyAlignment="1" applyProtection="1">
      <alignment horizontal="center" vertical="center"/>
      <protection locked="0" hidden="1"/>
    </xf>
    <xf numFmtId="0" fontId="12" fillId="0" borderId="9"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4" fillId="0" borderId="38"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4" fillId="0" borderId="39" xfId="0" applyFont="1" applyBorder="1" applyAlignment="1" applyProtection="1">
      <alignment horizontal="center"/>
      <protection hidden="1"/>
    </xf>
    <xf numFmtId="0" fontId="0" fillId="0" borderId="1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0" fontId="0" fillId="0" borderId="43"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5" fillId="0" borderId="0" xfId="0" applyFont="1" applyAlignment="1" applyProtection="1">
      <alignment horizontal="left"/>
      <protection hidden="1"/>
    </xf>
    <xf numFmtId="0" fontId="10" fillId="0" borderId="38" xfId="0" applyFont="1" applyBorder="1" applyAlignment="1" applyProtection="1">
      <alignment horizontal="center" vertical="center" textRotation="90"/>
      <protection hidden="1"/>
    </xf>
    <xf numFmtId="0" fontId="10" fillId="0" borderId="36" xfId="0" applyFont="1" applyBorder="1" applyAlignment="1" applyProtection="1">
      <alignment horizontal="center" vertical="center" textRotation="90"/>
      <protection hidden="1"/>
    </xf>
    <xf numFmtId="0" fontId="10" fillId="0" borderId="55" xfId="0" applyFont="1" applyBorder="1" applyAlignment="1" applyProtection="1">
      <alignment horizontal="center" vertical="center" textRotation="90"/>
      <protection hidden="1"/>
    </xf>
    <xf numFmtId="0" fontId="0" fillId="0" borderId="4" xfId="0" applyFont="1" applyBorder="1" applyAlignment="1" applyProtection="1">
      <alignment horizontal="center" vertical="center"/>
      <protection hidden="1"/>
    </xf>
    <xf numFmtId="0" fontId="0" fillId="0" borderId="2" xfId="0" applyFont="1" applyBorder="1" applyAlignment="1" applyProtection="1">
      <alignment horizontal="center" vertical="center"/>
      <protection hidden="1"/>
    </xf>
    <xf numFmtId="0" fontId="0" fillId="0" borderId="11" xfId="0" applyFont="1" applyBorder="1" applyAlignment="1" applyProtection="1">
      <alignment horizontal="center" vertical="center"/>
      <protection hidden="1"/>
    </xf>
    <xf numFmtId="0" fontId="10" fillId="0" borderId="30" xfId="0" applyFont="1" applyBorder="1" applyAlignment="1" applyProtection="1">
      <alignment horizontal="center" vertical="center" textRotation="90"/>
      <protection hidden="1"/>
    </xf>
    <xf numFmtId="0" fontId="10" fillId="0" borderId="31" xfId="0" applyFont="1" applyBorder="1" applyAlignment="1" applyProtection="1">
      <alignment horizontal="center" vertical="center" textRotation="90"/>
      <protection hidden="1"/>
    </xf>
    <xf numFmtId="0" fontId="0" fillId="0" borderId="1" xfId="0" applyFont="1" applyBorder="1" applyAlignment="1" applyProtection="1">
      <alignment horizontal="center" vertical="center"/>
      <protection hidden="1"/>
    </xf>
    <xf numFmtId="0" fontId="0" fillId="0" borderId="3" xfId="0" applyFont="1" applyBorder="1" applyAlignment="1" applyProtection="1">
      <alignment horizontal="center" vertical="center"/>
      <protection hidden="1"/>
    </xf>
    <xf numFmtId="0" fontId="35" fillId="0" borderId="79" xfId="0" applyFont="1" applyBorder="1" applyAlignment="1" applyProtection="1">
      <alignment horizontal="center"/>
      <protection hidden="1"/>
    </xf>
    <xf numFmtId="0" fontId="35" fillId="0" borderId="80" xfId="0" applyFont="1" applyBorder="1" applyAlignment="1" applyProtection="1">
      <alignment horizontal="center"/>
      <protection hidden="1"/>
    </xf>
    <xf numFmtId="0" fontId="35" fillId="0" borderId="81" xfId="0" applyFont="1" applyBorder="1" applyAlignment="1" applyProtection="1">
      <alignment horizontal="center"/>
      <protection hidden="1"/>
    </xf>
    <xf numFmtId="0" fontId="35" fillId="0" borderId="82" xfId="0" applyFont="1" applyBorder="1" applyAlignment="1" applyProtection="1">
      <alignment horizontal="center"/>
      <protection hidden="1"/>
    </xf>
    <xf numFmtId="0" fontId="35" fillId="0" borderId="83" xfId="0" applyFont="1" applyBorder="1" applyAlignment="1" applyProtection="1">
      <alignment horizontal="center"/>
      <protection hidden="1"/>
    </xf>
    <xf numFmtId="0" fontId="35" fillId="0" borderId="84" xfId="0" applyFont="1" applyBorder="1" applyAlignment="1" applyProtection="1">
      <alignment horizontal="center"/>
      <protection hidden="1"/>
    </xf>
    <xf numFmtId="0" fontId="20" fillId="0" borderId="82" xfId="0" applyFont="1" applyBorder="1" applyAlignment="1" applyProtection="1">
      <alignment horizontal="center"/>
      <protection hidden="1"/>
    </xf>
    <xf numFmtId="0" fontId="20" fillId="0" borderId="83" xfId="0" applyFont="1" applyBorder="1" applyAlignment="1" applyProtection="1">
      <alignment horizontal="center"/>
      <protection hidden="1"/>
    </xf>
    <xf numFmtId="0" fontId="20" fillId="0" borderId="84" xfId="0" applyFont="1" applyBorder="1" applyAlignment="1" applyProtection="1">
      <alignment horizontal="center"/>
      <protection hidden="1"/>
    </xf>
  </cellXfs>
  <cellStyles count="3">
    <cellStyle name="Hyperlink" xfId="2" builtinId="8"/>
    <cellStyle name="Input Cell" xfId="1"/>
    <cellStyle name="Normal" xfId="0" builtinId="0"/>
  </cellStyles>
  <dxfs count="3">
    <dxf>
      <font>
        <b/>
        <i val="0"/>
        <color rgb="FFFF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onov@unpar.ac.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5"/>
  <sheetViews>
    <sheetView topLeftCell="A7" workbookViewId="0">
      <selection activeCell="B3" sqref="B3:C3"/>
    </sheetView>
  </sheetViews>
  <sheetFormatPr defaultColWidth="7.85546875" defaultRowHeight="18" x14ac:dyDescent="0.3"/>
  <cols>
    <col min="1" max="1" width="14.5703125" style="3" bestFit="1" customWidth="1"/>
    <col min="2" max="2" width="20" style="3" customWidth="1"/>
    <col min="3" max="3" width="139.42578125" style="3" customWidth="1"/>
    <col min="4" max="16384" width="7.85546875" style="3"/>
  </cols>
  <sheetData>
    <row r="1" spans="1:3" x14ac:dyDescent="0.3">
      <c r="A1" s="194" t="s">
        <v>0</v>
      </c>
      <c r="B1" s="193">
        <v>18</v>
      </c>
      <c r="C1" s="199" t="s">
        <v>605</v>
      </c>
    </row>
    <row r="2" spans="1:3" x14ac:dyDescent="0.3">
      <c r="A2" s="2"/>
      <c r="B2" s="289"/>
      <c r="C2" s="289"/>
    </row>
    <row r="3" spans="1:3" s="195" customFormat="1" ht="30.75" customHeight="1" x14ac:dyDescent="0.25">
      <c r="A3" s="197"/>
      <c r="B3" s="290" t="s">
        <v>550</v>
      </c>
      <c r="C3" s="290"/>
    </row>
    <row r="4" spans="1:3" s="196" customFormat="1" ht="15.75" x14ac:dyDescent="0.25">
      <c r="A4" s="198">
        <v>1</v>
      </c>
      <c r="B4" s="286" t="s">
        <v>1</v>
      </c>
      <c r="C4" s="286"/>
    </row>
    <row r="5" spans="1:3" s="196" customFormat="1" ht="33" customHeight="1" x14ac:dyDescent="0.25">
      <c r="A5" s="198">
        <v>2</v>
      </c>
      <c r="B5" s="286" t="s">
        <v>2</v>
      </c>
      <c r="C5" s="286"/>
    </row>
    <row r="6" spans="1:3" s="196" customFormat="1" ht="33" customHeight="1" x14ac:dyDescent="0.25">
      <c r="A6" s="198">
        <v>3</v>
      </c>
      <c r="B6" s="286" t="s">
        <v>3</v>
      </c>
      <c r="C6" s="286"/>
    </row>
    <row r="7" spans="1:3" s="196" customFormat="1" ht="15.75" x14ac:dyDescent="0.25">
      <c r="A7" s="198">
        <v>4</v>
      </c>
      <c r="B7" s="286" t="s">
        <v>4</v>
      </c>
      <c r="C7" s="286"/>
    </row>
    <row r="8" spans="1:3" s="196" customFormat="1" ht="47.25" customHeight="1" x14ac:dyDescent="0.25">
      <c r="A8" s="198">
        <v>5</v>
      </c>
      <c r="B8" s="286" t="s">
        <v>5</v>
      </c>
      <c r="C8" s="286"/>
    </row>
    <row r="9" spans="1:3" s="196" customFormat="1" ht="33" customHeight="1" x14ac:dyDescent="0.25">
      <c r="A9" s="198">
        <v>6</v>
      </c>
      <c r="B9" s="286" t="s">
        <v>6</v>
      </c>
      <c r="C9" s="286"/>
    </row>
    <row r="10" spans="1:3" s="196" customFormat="1" ht="15.75" x14ac:dyDescent="0.25">
      <c r="A10" s="198">
        <v>7</v>
      </c>
      <c r="B10" s="286" t="s">
        <v>7</v>
      </c>
      <c r="C10" s="286"/>
    </row>
    <row r="11" spans="1:3" s="196" customFormat="1" ht="47.25" customHeight="1" x14ac:dyDescent="0.25">
      <c r="A11" s="198">
        <v>8</v>
      </c>
      <c r="B11" s="286" t="s">
        <v>8</v>
      </c>
      <c r="C11" s="286"/>
    </row>
    <row r="12" spans="1:3" s="196" customFormat="1" ht="15.75" x14ac:dyDescent="0.25">
      <c r="A12" s="198">
        <v>9</v>
      </c>
      <c r="B12" s="286" t="s">
        <v>9</v>
      </c>
      <c r="C12" s="286"/>
    </row>
    <row r="13" spans="1:3" s="196" customFormat="1" ht="15.75" x14ac:dyDescent="0.25">
      <c r="A13" s="198">
        <v>10</v>
      </c>
      <c r="B13" s="288" t="s">
        <v>10</v>
      </c>
      <c r="C13" s="288"/>
    </row>
    <row r="14" spans="1:3" s="196" customFormat="1" ht="15.75" x14ac:dyDescent="0.25">
      <c r="A14" s="198">
        <v>11</v>
      </c>
      <c r="B14" s="286" t="s">
        <v>11</v>
      </c>
      <c r="C14" s="286"/>
    </row>
    <row r="15" spans="1:3" s="196" customFormat="1" ht="15.75" x14ac:dyDescent="0.25">
      <c r="A15" s="198">
        <v>12</v>
      </c>
      <c r="B15" s="291" t="s">
        <v>556</v>
      </c>
      <c r="C15" s="291"/>
    </row>
    <row r="16" spans="1:3" s="196" customFormat="1" ht="15.75" x14ac:dyDescent="0.25">
      <c r="A16" s="198">
        <v>13</v>
      </c>
      <c r="B16" s="291" t="s">
        <v>12</v>
      </c>
      <c r="C16" s="291"/>
    </row>
    <row r="17" spans="1:3" s="196" customFormat="1" ht="34.5" customHeight="1" x14ac:dyDescent="0.25">
      <c r="A17" s="198">
        <v>14</v>
      </c>
      <c r="B17" s="286" t="s">
        <v>557</v>
      </c>
      <c r="C17" s="286"/>
    </row>
    <row r="18" spans="1:3" s="196" customFormat="1" ht="34.5" customHeight="1" x14ac:dyDescent="0.25">
      <c r="A18" s="198">
        <v>15</v>
      </c>
      <c r="B18" s="291" t="s">
        <v>558</v>
      </c>
      <c r="C18" s="291"/>
    </row>
    <row r="19" spans="1:3" s="196" customFormat="1" ht="15.75" x14ac:dyDescent="0.25">
      <c r="A19" s="198">
        <v>16</v>
      </c>
      <c r="B19" s="286" t="s">
        <v>13</v>
      </c>
      <c r="C19" s="286"/>
    </row>
    <row r="20" spans="1:3" s="196" customFormat="1" ht="15.75" x14ac:dyDescent="0.25">
      <c r="A20" s="198">
        <v>17</v>
      </c>
      <c r="B20" s="288" t="s">
        <v>14</v>
      </c>
      <c r="C20" s="288"/>
    </row>
    <row r="21" spans="1:3" s="196" customFormat="1" ht="15.75" x14ac:dyDescent="0.25">
      <c r="A21" s="198">
        <v>18</v>
      </c>
      <c r="B21" s="286" t="s">
        <v>15</v>
      </c>
      <c r="C21" s="286"/>
    </row>
    <row r="22" spans="1:3" s="196" customFormat="1" ht="15.75" x14ac:dyDescent="0.25">
      <c r="A22" s="198">
        <v>19</v>
      </c>
      <c r="B22" s="286" t="s">
        <v>552</v>
      </c>
      <c r="C22" s="286"/>
    </row>
    <row r="23" spans="1:3" s="196" customFormat="1" ht="33.75" customHeight="1" x14ac:dyDescent="0.25">
      <c r="A23" s="198">
        <v>20</v>
      </c>
      <c r="B23" s="286" t="s">
        <v>553</v>
      </c>
      <c r="C23" s="286"/>
    </row>
    <row r="24" spans="1:3" s="196" customFormat="1" ht="15.75" x14ac:dyDescent="0.25">
      <c r="A24" s="198">
        <v>21</v>
      </c>
      <c r="B24" s="286" t="s">
        <v>551</v>
      </c>
      <c r="C24" s="286"/>
    </row>
    <row r="25" spans="1:3" s="195" customFormat="1" ht="17.25" customHeight="1" x14ac:dyDescent="0.25"/>
    <row r="26" spans="1:3" s="195" customFormat="1" ht="17.25" customHeight="1" x14ac:dyDescent="0.25">
      <c r="A26" s="200" t="s">
        <v>16</v>
      </c>
      <c r="B26" s="201" t="s">
        <v>17</v>
      </c>
      <c r="C26" s="202" t="s">
        <v>598</v>
      </c>
    </row>
    <row r="28" spans="1:3" x14ac:dyDescent="0.3">
      <c r="A28" s="217" t="s">
        <v>18</v>
      </c>
      <c r="B28" s="217"/>
    </row>
    <row r="29" spans="1:3" ht="36" customHeight="1" x14ac:dyDescent="0.3">
      <c r="A29" s="226">
        <v>2</v>
      </c>
      <c r="B29" s="287" t="s">
        <v>19</v>
      </c>
      <c r="C29" s="287"/>
    </row>
    <row r="30" spans="1:3" s="227" customFormat="1" ht="54" customHeight="1" x14ac:dyDescent="0.25">
      <c r="A30" s="228">
        <v>3</v>
      </c>
      <c r="B30" s="287" t="s">
        <v>20</v>
      </c>
      <c r="C30" s="287"/>
    </row>
    <row r="31" spans="1:3" ht="18" customHeight="1" x14ac:dyDescent="0.3">
      <c r="A31" s="228">
        <v>4</v>
      </c>
      <c r="B31" s="287" t="s">
        <v>21</v>
      </c>
      <c r="C31" s="287"/>
    </row>
    <row r="32" spans="1:3" ht="18" customHeight="1" x14ac:dyDescent="0.3">
      <c r="A32" s="217">
        <v>5</v>
      </c>
      <c r="B32" s="287" t="s">
        <v>22</v>
      </c>
      <c r="C32" s="287"/>
    </row>
    <row r="33" spans="1:3" ht="18" customHeight="1" x14ac:dyDescent="0.3">
      <c r="A33" s="217">
        <v>6</v>
      </c>
      <c r="B33" s="292" t="s">
        <v>23</v>
      </c>
      <c r="C33" s="292"/>
    </row>
    <row r="34" spans="1:3" ht="18" customHeight="1" x14ac:dyDescent="0.3">
      <c r="A34" s="217">
        <v>7</v>
      </c>
      <c r="B34" s="292" t="s">
        <v>546</v>
      </c>
      <c r="C34" s="292"/>
    </row>
    <row r="35" spans="1:3" ht="18" customHeight="1" x14ac:dyDescent="0.3">
      <c r="A35" s="217">
        <v>8</v>
      </c>
      <c r="B35" s="292" t="s">
        <v>24</v>
      </c>
      <c r="C35" s="292"/>
    </row>
    <row r="36" spans="1:3" ht="18" customHeight="1" x14ac:dyDescent="0.3">
      <c r="A36" s="217">
        <v>9</v>
      </c>
      <c r="B36" s="292" t="s">
        <v>25</v>
      </c>
      <c r="C36" s="292"/>
    </row>
    <row r="37" spans="1:3" ht="18" customHeight="1" x14ac:dyDescent="0.3">
      <c r="A37" s="217">
        <v>10</v>
      </c>
      <c r="B37" s="292" t="s">
        <v>26</v>
      </c>
      <c r="C37" s="292"/>
    </row>
    <row r="38" spans="1:3" ht="18" customHeight="1" x14ac:dyDescent="0.3">
      <c r="A38" s="217">
        <v>11</v>
      </c>
      <c r="B38" s="292" t="s">
        <v>27</v>
      </c>
      <c r="C38" s="292"/>
    </row>
    <row r="39" spans="1:3" ht="18" customHeight="1" x14ac:dyDescent="0.3">
      <c r="A39" s="217">
        <v>12</v>
      </c>
      <c r="B39" s="292" t="s">
        <v>545</v>
      </c>
      <c r="C39" s="292"/>
    </row>
    <row r="40" spans="1:3" ht="18" customHeight="1" x14ac:dyDescent="0.3">
      <c r="A40" s="217">
        <v>13</v>
      </c>
      <c r="B40" s="292" t="s">
        <v>547</v>
      </c>
      <c r="C40" s="292"/>
    </row>
    <row r="41" spans="1:3" ht="18" customHeight="1" x14ac:dyDescent="0.3">
      <c r="A41" s="217">
        <v>14</v>
      </c>
      <c r="B41" s="292" t="s">
        <v>549</v>
      </c>
      <c r="C41" s="292"/>
    </row>
    <row r="42" spans="1:3" ht="18" customHeight="1" x14ac:dyDescent="0.3">
      <c r="A42" s="217">
        <v>15</v>
      </c>
      <c r="B42" s="292" t="s">
        <v>554</v>
      </c>
      <c r="C42" s="292"/>
    </row>
    <row r="43" spans="1:3" ht="18" customHeight="1" x14ac:dyDescent="0.3">
      <c r="A43" s="217">
        <v>16</v>
      </c>
      <c r="B43" s="292" t="s">
        <v>596</v>
      </c>
      <c r="C43" s="292"/>
    </row>
    <row r="44" spans="1:3" ht="18" customHeight="1" x14ac:dyDescent="0.3">
      <c r="A44" s="217">
        <v>17</v>
      </c>
      <c r="B44" s="292" t="s">
        <v>597</v>
      </c>
      <c r="C44" s="292"/>
    </row>
    <row r="45" spans="1:3" ht="54" customHeight="1" x14ac:dyDescent="0.3">
      <c r="A45" s="228">
        <v>18</v>
      </c>
      <c r="B45" s="287" t="s">
        <v>604</v>
      </c>
      <c r="C45" s="287"/>
    </row>
  </sheetData>
  <sheetProtection algorithmName="SHA-512" hashValue="8wuf7W8jheUHErvvnV4hoRuGfQAqsJogq0RJg/qtvxhcRlJnI6qYyQa2ZOG6z6LcTcT/1OBEaMUM+Lu4RvqEzQ==" saltValue="T9n7w/YXbTrfN4nIid6KZw==" spinCount="100000" sheet="1" objects="1" scenarios="1" selectLockedCells="1" selectUnlockedCells="1"/>
  <mergeCells count="40">
    <mergeCell ref="B43:C43"/>
    <mergeCell ref="B44:C44"/>
    <mergeCell ref="B45:C45"/>
    <mergeCell ref="B38:C38"/>
    <mergeCell ref="B39:C39"/>
    <mergeCell ref="B40:C40"/>
    <mergeCell ref="B41:C41"/>
    <mergeCell ref="B42:C42"/>
    <mergeCell ref="B33:C33"/>
    <mergeCell ref="B34:C34"/>
    <mergeCell ref="B35:C35"/>
    <mergeCell ref="B36:C36"/>
    <mergeCell ref="B37:C37"/>
    <mergeCell ref="B23:C23"/>
    <mergeCell ref="B19:C19"/>
    <mergeCell ref="B15:C15"/>
    <mergeCell ref="B16:C16"/>
    <mergeCell ref="B18:C18"/>
    <mergeCell ref="B22:C22"/>
    <mergeCell ref="B12:C12"/>
    <mergeCell ref="B10:C10"/>
    <mergeCell ref="B14:C14"/>
    <mergeCell ref="B20:C20"/>
    <mergeCell ref="B21:C21"/>
    <mergeCell ref="B24:C24"/>
    <mergeCell ref="B32:C32"/>
    <mergeCell ref="B13:C13"/>
    <mergeCell ref="B2:C2"/>
    <mergeCell ref="B3:C3"/>
    <mergeCell ref="B4:C4"/>
    <mergeCell ref="B5:C5"/>
    <mergeCell ref="B6:C6"/>
    <mergeCell ref="B31:C31"/>
    <mergeCell ref="B29:C29"/>
    <mergeCell ref="B30:C30"/>
    <mergeCell ref="B7:C7"/>
    <mergeCell ref="B8:C8"/>
    <mergeCell ref="B9:C9"/>
    <mergeCell ref="B17:C17"/>
    <mergeCell ref="B11:C11"/>
  </mergeCells>
  <hyperlinks>
    <hyperlink ref="B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L82"/>
  <sheetViews>
    <sheetView topLeftCell="A13" zoomScaleNormal="100" workbookViewId="0">
      <selection activeCell="F66" sqref="F66:H66"/>
    </sheetView>
  </sheetViews>
  <sheetFormatPr defaultColWidth="9.140625" defaultRowHeight="15" x14ac:dyDescent="0.25"/>
  <cols>
    <col min="1" max="1" width="4.5703125" style="1" customWidth="1"/>
    <col min="2" max="2" width="12.28515625" style="1" customWidth="1"/>
    <col min="3" max="7" width="5.85546875" style="1" customWidth="1"/>
    <col min="8" max="8" width="9.5703125" style="1" customWidth="1"/>
    <col min="9" max="9" width="5.5703125" style="1" bestFit="1" customWidth="1"/>
    <col min="10" max="10" width="9.5703125" style="1" bestFit="1" customWidth="1"/>
    <col min="11" max="11" width="5.5703125" style="1" bestFit="1" customWidth="1"/>
    <col min="12" max="12" width="11.5703125" style="1" customWidth="1"/>
    <col min="13" max="13" width="10.140625" style="1" customWidth="1"/>
    <col min="14" max="16384" width="9.140625" style="1"/>
  </cols>
  <sheetData>
    <row r="1" spans="1:12" ht="15.75" x14ac:dyDescent="0.3">
      <c r="A1" s="184"/>
      <c r="B1" s="320" t="s">
        <v>28</v>
      </c>
      <c r="C1" s="320"/>
      <c r="D1" s="320"/>
      <c r="E1" s="320"/>
      <c r="F1" s="320"/>
      <c r="G1" s="320"/>
      <c r="H1" s="320"/>
      <c r="I1" s="320"/>
      <c r="J1" s="320"/>
      <c r="K1" s="320"/>
      <c r="L1" s="320"/>
    </row>
    <row r="2" spans="1:12" ht="15.75" x14ac:dyDescent="0.3">
      <c r="A2" s="184"/>
      <c r="B2" s="320" t="s">
        <v>29</v>
      </c>
      <c r="C2" s="320"/>
      <c r="D2" s="320"/>
      <c r="E2" s="320"/>
      <c r="F2" s="320"/>
      <c r="G2" s="320"/>
      <c r="H2" s="320"/>
      <c r="I2" s="320"/>
      <c r="J2" s="320"/>
      <c r="K2" s="320"/>
      <c r="L2" s="320"/>
    </row>
    <row r="3" spans="1:12" ht="7.5" customHeight="1" x14ac:dyDescent="0.25"/>
    <row r="4" spans="1:12" ht="20.25" x14ac:dyDescent="0.3">
      <c r="A4" s="333" t="s">
        <v>30</v>
      </c>
      <c r="B4" s="333"/>
      <c r="C4" s="333"/>
      <c r="D4" s="333"/>
      <c r="E4" s="333"/>
      <c r="F4" s="333"/>
      <c r="G4" s="333"/>
      <c r="H4" s="333"/>
      <c r="I4" s="333"/>
      <c r="J4" s="333"/>
      <c r="K4" s="333"/>
      <c r="L4" s="333"/>
    </row>
    <row r="5" spans="1:12" ht="20.25" x14ac:dyDescent="0.3">
      <c r="A5" s="333" t="s">
        <v>31</v>
      </c>
      <c r="B5" s="333"/>
      <c r="C5" s="333"/>
      <c r="D5" s="333"/>
      <c r="E5" s="333"/>
      <c r="F5" s="333"/>
      <c r="G5" s="333"/>
      <c r="H5" s="333"/>
      <c r="I5" s="333"/>
      <c r="J5" s="333"/>
      <c r="K5" s="333"/>
      <c r="L5" s="333"/>
    </row>
    <row r="6" spans="1:12" ht="11.25" customHeight="1" x14ac:dyDescent="0.25">
      <c r="L6" s="125">
        <f>Petunjuk!B1</f>
        <v>18</v>
      </c>
    </row>
    <row r="7" spans="1:12" x14ac:dyDescent="0.25">
      <c r="B7" s="1" t="s">
        <v>32</v>
      </c>
      <c r="H7" s="126"/>
    </row>
    <row r="8" spans="1:12" ht="15.75" x14ac:dyDescent="0.25">
      <c r="B8" s="1" t="s">
        <v>33</v>
      </c>
      <c r="C8" s="51" t="s">
        <v>34</v>
      </c>
      <c r="D8" s="323" t="str">
        <f>'Data Diri'!C10</f>
        <v>LUCKY SENJAYA DARMAWAN</v>
      </c>
      <c r="E8" s="323"/>
      <c r="F8" s="323"/>
      <c r="G8" s="323"/>
      <c r="H8" s="323"/>
      <c r="I8" s="323"/>
      <c r="J8" s="323"/>
      <c r="K8" s="323"/>
    </row>
    <row r="9" spans="1:12" ht="15.75" x14ac:dyDescent="0.25">
      <c r="B9" s="1" t="s">
        <v>35</v>
      </c>
      <c r="C9" s="51" t="s">
        <v>34</v>
      </c>
      <c r="D9" s="323">
        <f>'Data Diri'!C9</f>
        <v>2012730009</v>
      </c>
      <c r="E9" s="323"/>
      <c r="F9" s="323"/>
      <c r="G9" s="323"/>
      <c r="H9" s="229"/>
      <c r="I9" s="229"/>
      <c r="J9" s="229"/>
      <c r="K9" s="229"/>
      <c r="L9" s="127"/>
    </row>
    <row r="10" spans="1:12" ht="8.25" customHeight="1" x14ac:dyDescent="0.25"/>
    <row r="11" spans="1:12" x14ac:dyDescent="0.25">
      <c r="B11" s="1" t="s">
        <v>36</v>
      </c>
    </row>
    <row r="12" spans="1:12" ht="7.5" customHeight="1" thickBot="1" x14ac:dyDescent="0.3"/>
    <row r="13" spans="1:12" ht="16.5" thickTop="1" thickBot="1" x14ac:dyDescent="0.3">
      <c r="B13" s="128" t="s">
        <v>37</v>
      </c>
      <c r="C13" s="129" t="s">
        <v>38</v>
      </c>
      <c r="D13" s="322" t="s">
        <v>39</v>
      </c>
      <c r="E13" s="322"/>
      <c r="F13" s="322"/>
      <c r="G13" s="322"/>
      <c r="H13" s="322"/>
      <c r="I13" s="322"/>
      <c r="J13" s="130" t="s">
        <v>40</v>
      </c>
    </row>
    <row r="14" spans="1:12" ht="15.75" hidden="1" thickTop="1" x14ac:dyDescent="0.25">
      <c r="B14" s="131" t="str">
        <f ca="1">IF('Hapus MK'!N13="","Uncheck box ini",'Hapus MK'!N13)</f>
        <v>Uncheck box ini</v>
      </c>
      <c r="C14" s="132" t="e">
        <f ca="1">VLOOKUP(B14,'Nilai Kurikulum 2013'!$E$4:$O$176,2,FALSE)</f>
        <v>#N/A</v>
      </c>
      <c r="D14" s="334" t="e">
        <f ca="1">VLOOKUP(B14,'Nilai Kurikulum 2013'!$E$4:$O$176,5,FALSE)</f>
        <v>#N/A</v>
      </c>
      <c r="E14" s="334"/>
      <c r="F14" s="334"/>
      <c r="G14" s="334"/>
      <c r="H14" s="334"/>
      <c r="I14" s="334"/>
      <c r="J14" s="133" t="e">
        <f ca="1">VLOOKUP(B14,'Nilai Kurikulum 2013'!$E$4:$O$176,10,FALSE)</f>
        <v>#N/A</v>
      </c>
    </row>
    <row r="15" spans="1:12" ht="15.75" hidden="1" thickTop="1" x14ac:dyDescent="0.25">
      <c r="B15" s="134" t="str">
        <f ca="1">IF('Hapus MK'!N15="","Uncheck box ini",'Hapus MK'!N15)</f>
        <v>Uncheck box ini</v>
      </c>
      <c r="C15" s="251" t="e">
        <f ca="1">VLOOKUP(B15,'Nilai Kurikulum 2013'!$E$4:$O$176,2,FALSE)</f>
        <v>#N/A</v>
      </c>
      <c r="D15" s="293" t="e">
        <f ca="1">VLOOKUP(B15,'Nilai Kurikulum 2013'!$E$4:$O$176,5,FALSE)</f>
        <v>#N/A</v>
      </c>
      <c r="E15" s="293"/>
      <c r="F15" s="293"/>
      <c r="G15" s="293"/>
      <c r="H15" s="293"/>
      <c r="I15" s="293"/>
      <c r="J15" s="135" t="e">
        <f ca="1">VLOOKUP(B15,'Nilai Kurikulum 2013'!$E$4:$O$176,10,FALSE)</f>
        <v>#N/A</v>
      </c>
    </row>
    <row r="16" spans="1:12" ht="15.75" hidden="1" thickTop="1" x14ac:dyDescent="0.25">
      <c r="B16" s="134" t="str">
        <f ca="1">IF('Hapus MK'!N17="","Uncheck box ini",'Hapus MK'!N17)</f>
        <v>Uncheck box ini</v>
      </c>
      <c r="C16" s="251" t="e">
        <f ca="1">VLOOKUP(B16,'Nilai Kurikulum 2013'!$E$4:$O$176,2,FALSE)</f>
        <v>#N/A</v>
      </c>
      <c r="D16" s="293" t="e">
        <f ca="1">VLOOKUP(B16,'Nilai Kurikulum 2013'!$E$4:$O$176,5,FALSE)</f>
        <v>#N/A</v>
      </c>
      <c r="E16" s="293"/>
      <c r="F16" s="293"/>
      <c r="G16" s="293"/>
      <c r="H16" s="293"/>
      <c r="I16" s="293"/>
      <c r="J16" s="135" t="e">
        <f ca="1">VLOOKUP(B16,'Nilai Kurikulum 2013'!$E$4:$O$176,10,FALSE)</f>
        <v>#N/A</v>
      </c>
    </row>
    <row r="17" spans="2:10" ht="15.75" hidden="1" thickTop="1" x14ac:dyDescent="0.25">
      <c r="B17" s="134" t="str">
        <f ca="1">IF('Hapus MK'!N19="","Uncheck box ini",'Hapus MK'!N19)</f>
        <v>Uncheck box ini</v>
      </c>
      <c r="C17" s="251" t="e">
        <f ca="1">VLOOKUP(B17,'Nilai Kurikulum 2013'!$E$4:$O$176,2,FALSE)</f>
        <v>#N/A</v>
      </c>
      <c r="D17" s="293" t="e">
        <f ca="1">VLOOKUP(B17,'Nilai Kurikulum 2013'!$E$4:$O$176,5,FALSE)</f>
        <v>#N/A</v>
      </c>
      <c r="E17" s="293"/>
      <c r="F17" s="293"/>
      <c r="G17" s="293"/>
      <c r="H17" s="293"/>
      <c r="I17" s="293"/>
      <c r="J17" s="135" t="e">
        <f ca="1">VLOOKUP(B17,'Nilai Kurikulum 2013'!$E$4:$O$176,10,FALSE)</f>
        <v>#N/A</v>
      </c>
    </row>
    <row r="18" spans="2:10" ht="15.75" hidden="1" thickTop="1" x14ac:dyDescent="0.25">
      <c r="B18" s="134" t="str">
        <f ca="1">IF('Hapus MK'!N21="","Uncheck box ini",'Hapus MK'!N21)</f>
        <v>Uncheck box ini</v>
      </c>
      <c r="C18" s="251" t="e">
        <f ca="1">VLOOKUP(B18,'Nilai Kurikulum 2013'!$E$4:$O$176,2,FALSE)</f>
        <v>#N/A</v>
      </c>
      <c r="D18" s="293" t="e">
        <f ca="1">VLOOKUP(B18,'Nilai Kurikulum 2013'!$E$4:$O$176,5,FALSE)</f>
        <v>#N/A</v>
      </c>
      <c r="E18" s="293"/>
      <c r="F18" s="293"/>
      <c r="G18" s="293"/>
      <c r="H18" s="293"/>
      <c r="I18" s="293"/>
      <c r="J18" s="135" t="e">
        <f ca="1">VLOOKUP(B18,'Nilai Kurikulum 2013'!$E$4:$O$176,10,FALSE)</f>
        <v>#N/A</v>
      </c>
    </row>
    <row r="19" spans="2:10" ht="15.75" hidden="1" thickTop="1" x14ac:dyDescent="0.25">
      <c r="B19" s="134" t="str">
        <f ca="1">IF('Hapus MK'!N23="","Uncheck box ini",'Hapus MK'!N23)</f>
        <v>Uncheck box ini</v>
      </c>
      <c r="C19" s="251" t="e">
        <f ca="1">VLOOKUP(B19,'Nilai Kurikulum 2013'!$E$4:$O$176,2,FALSE)</f>
        <v>#N/A</v>
      </c>
      <c r="D19" s="293" t="e">
        <f ca="1">VLOOKUP(B19,'Nilai Kurikulum 2013'!$E$4:$O$176,5,FALSE)</f>
        <v>#N/A</v>
      </c>
      <c r="E19" s="293"/>
      <c r="F19" s="293"/>
      <c r="G19" s="293"/>
      <c r="H19" s="293"/>
      <c r="I19" s="293"/>
      <c r="J19" s="135" t="e">
        <f ca="1">VLOOKUP(B19,'Nilai Kurikulum 2013'!$E$4:$O$176,10,FALSE)</f>
        <v>#N/A</v>
      </c>
    </row>
    <row r="20" spans="2:10" ht="15.75" hidden="1" thickTop="1" x14ac:dyDescent="0.25">
      <c r="B20" s="134" t="str">
        <f ca="1">IF('Hapus MK'!N25="","Uncheck box ini",'Hapus MK'!N25)</f>
        <v>Uncheck box ini</v>
      </c>
      <c r="C20" s="251" t="e">
        <f ca="1">VLOOKUP(B20,'Nilai Kurikulum 2013'!$E$4:$O$176,2,FALSE)</f>
        <v>#N/A</v>
      </c>
      <c r="D20" s="293" t="e">
        <f ca="1">VLOOKUP(B20,'Nilai Kurikulum 2013'!$E$4:$O$176,5,FALSE)</f>
        <v>#N/A</v>
      </c>
      <c r="E20" s="293"/>
      <c r="F20" s="293"/>
      <c r="G20" s="293"/>
      <c r="H20" s="293"/>
      <c r="I20" s="293"/>
      <c r="J20" s="135" t="e">
        <f ca="1">VLOOKUP(B20,'Nilai Kurikulum 2013'!$E$4:$O$176,10,FALSE)</f>
        <v>#N/A</v>
      </c>
    </row>
    <row r="21" spans="2:10" ht="15.75" hidden="1" thickTop="1" x14ac:dyDescent="0.25">
      <c r="B21" s="134" t="str">
        <f ca="1">IF('Hapus MK'!N26="","Uncheck box ini",'Hapus MK'!N26)</f>
        <v>Uncheck box ini</v>
      </c>
      <c r="C21" s="251" t="e">
        <f ca="1">VLOOKUP(B21,'Nilai Kurikulum 2013'!$E$4:$O$176,2,FALSE)</f>
        <v>#N/A</v>
      </c>
      <c r="D21" s="293" t="e">
        <f ca="1">VLOOKUP(B21,'Nilai Kurikulum 2013'!$E$4:$O$176,5,FALSE)</f>
        <v>#N/A</v>
      </c>
      <c r="E21" s="293"/>
      <c r="F21" s="293"/>
      <c r="G21" s="293"/>
      <c r="H21" s="293"/>
      <c r="I21" s="293"/>
      <c r="J21" s="135" t="e">
        <f ca="1">VLOOKUP(B21,'Nilai Kurikulum 2013'!$E$4:$O$176,10,FALSE)</f>
        <v>#N/A</v>
      </c>
    </row>
    <row r="22" spans="2:10" ht="15.75" hidden="1" thickTop="1" x14ac:dyDescent="0.25">
      <c r="B22" s="134" t="str">
        <f ca="1">IF('Hapus MK'!N28="","Uncheck box ini",'Hapus MK'!N28)</f>
        <v>Uncheck box ini</v>
      </c>
      <c r="C22" s="251" t="e">
        <f ca="1">VLOOKUP(B22,'Nilai Kurikulum 2013'!$E$4:$O$176,2,FALSE)</f>
        <v>#N/A</v>
      </c>
      <c r="D22" s="293" t="e">
        <f ca="1">VLOOKUP(B22,'Nilai Kurikulum 2013'!$E$4:$O$176,5,FALSE)</f>
        <v>#N/A</v>
      </c>
      <c r="E22" s="293"/>
      <c r="F22" s="293"/>
      <c r="G22" s="293"/>
      <c r="H22" s="293"/>
      <c r="I22" s="293"/>
      <c r="J22" s="135" t="e">
        <f ca="1">VLOOKUP(B22,'Nilai Kurikulum 2013'!$E$4:$O$176,10,FALSE)</f>
        <v>#N/A</v>
      </c>
    </row>
    <row r="23" spans="2:10" ht="15.75" hidden="1" thickTop="1" x14ac:dyDescent="0.25">
      <c r="B23" s="134" t="str">
        <f ca="1">IF('Hapus MK'!N29="","Uncheck box ini",'Hapus MK'!N29)</f>
        <v>Uncheck box ini</v>
      </c>
      <c r="C23" s="251" t="e">
        <f ca="1">VLOOKUP(B23,'Nilai Kurikulum 2013'!$E$4:$O$176,2,FALSE)</f>
        <v>#N/A</v>
      </c>
      <c r="D23" s="293" t="e">
        <f ca="1">VLOOKUP(B23,'Nilai Kurikulum 2013'!$E$4:$O$176,5,FALSE)</f>
        <v>#N/A</v>
      </c>
      <c r="E23" s="293"/>
      <c r="F23" s="293"/>
      <c r="G23" s="293"/>
      <c r="H23" s="293"/>
      <c r="I23" s="293"/>
      <c r="J23" s="135" t="e">
        <f ca="1">VLOOKUP(B23,'Nilai Kurikulum 2013'!$E$4:$O$176,10,FALSE)</f>
        <v>#N/A</v>
      </c>
    </row>
    <row r="24" spans="2:10" ht="15.75" thickTop="1" x14ac:dyDescent="0.25">
      <c r="B24" s="134" t="str">
        <f>IF('Hapus MK'!Q13="","Uncheck box ini",'Hapus MK'!Q13)</f>
        <v>AIF311</v>
      </c>
      <c r="C24" s="251">
        <f>VLOOKUP(B24,'Nilai Kurikulum 2013'!$E$4:$O$176,2,FALSE)</f>
        <v>2</v>
      </c>
      <c r="D24" s="293" t="str">
        <f>VLOOKUP(B24,'Nilai Kurikulum 2013'!$E$4:$O$176,5,FALSE)</f>
        <v>Pemrograman Fungsional</v>
      </c>
      <c r="E24" s="293"/>
      <c r="F24" s="293"/>
      <c r="G24" s="293"/>
      <c r="H24" s="293"/>
      <c r="I24" s="293"/>
      <c r="J24" s="135" t="str">
        <f>VLOOKUP(B24,'Nilai Kurikulum 2013'!$E$4:$O$176,10,FALSE)</f>
        <v>D</v>
      </c>
    </row>
    <row r="25" spans="2:10" hidden="1" x14ac:dyDescent="0.25">
      <c r="B25" s="134" t="str">
        <f>IF('Hapus MK'!Q14="","Uncheck box ini",'Hapus MK'!Q14)</f>
        <v>Uncheck box ini</v>
      </c>
      <c r="C25" s="251" t="e">
        <f>VLOOKUP(B25,'Nilai Kurikulum 2013'!$E$4:$O$176,2,FALSE)</f>
        <v>#N/A</v>
      </c>
      <c r="D25" s="293" t="e">
        <f>VLOOKUP(B25,'Nilai Kurikulum 2013'!$E$4:$O$176,5,FALSE)</f>
        <v>#N/A</v>
      </c>
      <c r="E25" s="293"/>
      <c r="F25" s="293"/>
      <c r="G25" s="293"/>
      <c r="H25" s="293"/>
      <c r="I25" s="293"/>
      <c r="J25" s="135" t="e">
        <f>VLOOKUP(B25,'Nilai Kurikulum 2013'!$E$4:$O$176,10,FALSE)</f>
        <v>#N/A</v>
      </c>
    </row>
    <row r="26" spans="2:10" hidden="1" x14ac:dyDescent="0.25">
      <c r="B26" s="134" t="str">
        <f>IF('Hapus MK'!Q15="","Uncheck box ini",'Hapus MK'!Q15)</f>
        <v>Uncheck box ini</v>
      </c>
      <c r="C26" s="251" t="e">
        <f>VLOOKUP(B26,'Nilai Kurikulum 2013'!$E$4:$O$176,2,FALSE)</f>
        <v>#N/A</v>
      </c>
      <c r="D26" s="293" t="e">
        <f>VLOOKUP(B26,'Nilai Kurikulum 2013'!$E$4:$O$176,5,FALSE)</f>
        <v>#N/A</v>
      </c>
      <c r="E26" s="293"/>
      <c r="F26" s="293"/>
      <c r="G26" s="293"/>
      <c r="H26" s="293"/>
      <c r="I26" s="293"/>
      <c r="J26" s="135" t="e">
        <f>VLOOKUP(B26,'Nilai Kurikulum 2013'!$E$4:$O$176,10,FALSE)</f>
        <v>#N/A</v>
      </c>
    </row>
    <row r="27" spans="2:10" hidden="1" x14ac:dyDescent="0.25">
      <c r="B27" s="134" t="str">
        <f>IF('Hapus MK'!Q16="","Uncheck box ini",'Hapus MK'!Q16)</f>
        <v>Uncheck box ini</v>
      </c>
      <c r="C27" s="251" t="e">
        <f>VLOOKUP(B27,'Nilai Kurikulum 2013'!$E$4:$O$176,2,FALSE)</f>
        <v>#N/A</v>
      </c>
      <c r="D27" s="293" t="e">
        <f>VLOOKUP(B27,'Nilai Kurikulum 2013'!$E$4:$O$176,5,FALSE)</f>
        <v>#N/A</v>
      </c>
      <c r="E27" s="293"/>
      <c r="F27" s="293"/>
      <c r="G27" s="293"/>
      <c r="H27" s="293"/>
      <c r="I27" s="293"/>
      <c r="J27" s="135" t="e">
        <f>VLOOKUP(B27,'Nilai Kurikulum 2013'!$E$4:$O$176,10,FALSE)</f>
        <v>#N/A</v>
      </c>
    </row>
    <row r="28" spans="2:10" hidden="1" x14ac:dyDescent="0.25">
      <c r="B28" s="134" t="str">
        <f>IF('Hapus MK'!Q17="","Uncheck box ini",'Hapus MK'!Q17)</f>
        <v>Uncheck box ini</v>
      </c>
      <c r="C28" s="251" t="e">
        <f>VLOOKUP(B28,'Nilai Kurikulum 2013'!$E$4:$O$176,2,FALSE)</f>
        <v>#N/A</v>
      </c>
      <c r="D28" s="293" t="e">
        <f>VLOOKUP(B28,'Nilai Kurikulum 2013'!$E$4:$O$176,5,FALSE)</f>
        <v>#N/A</v>
      </c>
      <c r="E28" s="293"/>
      <c r="F28" s="293"/>
      <c r="G28" s="293"/>
      <c r="H28" s="293"/>
      <c r="I28" s="293"/>
      <c r="J28" s="135" t="e">
        <f>VLOOKUP(B28,'Nilai Kurikulum 2013'!$E$4:$O$176,10,FALSE)</f>
        <v>#N/A</v>
      </c>
    </row>
    <row r="29" spans="2:10" hidden="1" x14ac:dyDescent="0.25">
      <c r="B29" s="134" t="str">
        <f>IF('Hapus MK'!Q18="","Uncheck box ini",'Hapus MK'!Q18)</f>
        <v>Uncheck box ini</v>
      </c>
      <c r="C29" s="251" t="e">
        <f>VLOOKUP(B29,'Nilai Kurikulum 2013'!$E$4:$O$176,2,FALSE)</f>
        <v>#N/A</v>
      </c>
      <c r="D29" s="293" t="e">
        <f>VLOOKUP(B29,'Nilai Kurikulum 2013'!$E$4:$O$176,5,FALSE)</f>
        <v>#N/A</v>
      </c>
      <c r="E29" s="293"/>
      <c r="F29" s="293"/>
      <c r="G29" s="293"/>
      <c r="H29" s="293"/>
      <c r="I29" s="293"/>
      <c r="J29" s="135" t="e">
        <f>VLOOKUP(B29,'Nilai Kurikulum 2013'!$E$4:$O$176,10,FALSE)</f>
        <v>#N/A</v>
      </c>
    </row>
    <row r="30" spans="2:10" hidden="1" x14ac:dyDescent="0.25">
      <c r="B30" s="134" t="str">
        <f>IF('Hapus MK'!Q19="","Uncheck box ini",'Hapus MK'!Q19)</f>
        <v>Uncheck box ini</v>
      </c>
      <c r="C30" s="251" t="e">
        <f>VLOOKUP(B30,'Nilai Kurikulum 2013'!$E$4:$O$176,2,FALSE)</f>
        <v>#N/A</v>
      </c>
      <c r="D30" s="293" t="e">
        <f>VLOOKUP(B30,'Nilai Kurikulum 2013'!$E$4:$O$176,5,FALSE)</f>
        <v>#N/A</v>
      </c>
      <c r="E30" s="293"/>
      <c r="F30" s="293"/>
      <c r="G30" s="293"/>
      <c r="H30" s="293"/>
      <c r="I30" s="293"/>
      <c r="J30" s="135" t="e">
        <f>VLOOKUP(B30,'Nilai Kurikulum 2013'!$E$4:$O$176,10,FALSE)</f>
        <v>#N/A</v>
      </c>
    </row>
    <row r="31" spans="2:10" hidden="1" x14ac:dyDescent="0.25">
      <c r="B31" s="134" t="str">
        <f>IF('Hapus MK'!Q20="","Uncheck box ini",'Hapus MK'!Q20)</f>
        <v>Uncheck box ini</v>
      </c>
      <c r="C31" s="251" t="e">
        <f>VLOOKUP(B31,'Nilai Kurikulum 2013'!$E$4:$O$176,2,FALSE)</f>
        <v>#N/A</v>
      </c>
      <c r="D31" s="293" t="e">
        <f>VLOOKUP(B31,'Nilai Kurikulum 2013'!$E$4:$O$176,5,FALSE)</f>
        <v>#N/A</v>
      </c>
      <c r="E31" s="293"/>
      <c r="F31" s="293"/>
      <c r="G31" s="293"/>
      <c r="H31" s="293"/>
      <c r="I31" s="293"/>
      <c r="J31" s="135" t="e">
        <f>VLOOKUP(B31,'Nilai Kurikulum 2013'!$E$4:$O$176,10,FALSE)</f>
        <v>#N/A</v>
      </c>
    </row>
    <row r="32" spans="2:10" hidden="1" x14ac:dyDescent="0.25">
      <c r="B32" s="134" t="str">
        <f>IF('Hapus MK'!Q21="","Uncheck box ini",'Hapus MK'!Q21)</f>
        <v>Uncheck box ini</v>
      </c>
      <c r="C32" s="251" t="e">
        <f>VLOOKUP(B32,'Nilai Kurikulum 2013'!$E$4:$O$176,2,FALSE)</f>
        <v>#N/A</v>
      </c>
      <c r="D32" s="293" t="e">
        <f>VLOOKUP(B32,'Nilai Kurikulum 2013'!$E$4:$O$176,5,FALSE)</f>
        <v>#N/A</v>
      </c>
      <c r="E32" s="293"/>
      <c r="F32" s="293"/>
      <c r="G32" s="293"/>
      <c r="H32" s="293"/>
      <c r="I32" s="293"/>
      <c r="J32" s="135" t="e">
        <f>VLOOKUP(B32,'Nilai Kurikulum 2013'!$E$4:$O$176,10,FALSE)</f>
        <v>#N/A</v>
      </c>
    </row>
    <row r="33" spans="2:12" hidden="1" x14ac:dyDescent="0.25">
      <c r="B33" s="134" t="str">
        <f>IF('Hapus MK'!Q22="","Uncheck box ini",'Hapus MK'!Q22)</f>
        <v>Uncheck box ini</v>
      </c>
      <c r="C33" s="251" t="e">
        <f>VLOOKUP(B33,'Nilai Kurikulum 2013'!$E$4:$O$176,2,FALSE)</f>
        <v>#N/A</v>
      </c>
      <c r="D33" s="293" t="e">
        <f>VLOOKUP(B33,'Nilai Kurikulum 2013'!$E$4:$O$176,5,FALSE)</f>
        <v>#N/A</v>
      </c>
      <c r="E33" s="293"/>
      <c r="F33" s="293"/>
      <c r="G33" s="293"/>
      <c r="H33" s="293"/>
      <c r="I33" s="293"/>
      <c r="J33" s="135" t="e">
        <f>VLOOKUP(B33,'Nilai Kurikulum 2013'!$E$4:$O$176,10,FALSE)</f>
        <v>#N/A</v>
      </c>
    </row>
    <row r="34" spans="2:12" hidden="1" x14ac:dyDescent="0.25">
      <c r="B34" s="134" t="str">
        <f>IF('Hapus MK'!Q23="","Uncheck box ini",'Hapus MK'!Q23)</f>
        <v>Uncheck box ini</v>
      </c>
      <c r="C34" s="251" t="e">
        <f>VLOOKUP(B34,'Nilai Kurikulum 2013'!$E$4:$O$176,2,FALSE)</f>
        <v>#N/A</v>
      </c>
      <c r="D34" s="293" t="e">
        <f>VLOOKUP(B34,'Nilai Kurikulum 2013'!$E$4:$O$176,5,FALSE)</f>
        <v>#N/A</v>
      </c>
      <c r="E34" s="293"/>
      <c r="F34" s="293"/>
      <c r="G34" s="293"/>
      <c r="H34" s="293"/>
      <c r="I34" s="293"/>
      <c r="J34" s="135" t="e">
        <f>VLOOKUP(B34,'Nilai Kurikulum 2013'!$E$4:$O$176,10,FALSE)</f>
        <v>#N/A</v>
      </c>
    </row>
    <row r="35" spans="2:12" hidden="1" x14ac:dyDescent="0.25">
      <c r="B35" s="134" t="str">
        <f>IF('Hapus MK'!Q24="","Uncheck box ini",'Hapus MK'!Q24)</f>
        <v>Uncheck box ini</v>
      </c>
      <c r="C35" s="251" t="e">
        <f>VLOOKUP(B35,'Nilai Kurikulum 2013'!$E$4:$O$176,2,FALSE)</f>
        <v>#N/A</v>
      </c>
      <c r="D35" s="293" t="e">
        <f>VLOOKUP(B35,'Nilai Kurikulum 2013'!$E$4:$O$176,5,FALSE)</f>
        <v>#N/A</v>
      </c>
      <c r="E35" s="293"/>
      <c r="F35" s="293"/>
      <c r="G35" s="293"/>
      <c r="H35" s="293"/>
      <c r="I35" s="293"/>
      <c r="J35" s="135" t="e">
        <f>VLOOKUP(B35,'Nilai Kurikulum 2013'!$E$4:$O$176,10,FALSE)</f>
        <v>#N/A</v>
      </c>
    </row>
    <row r="36" spans="2:12" hidden="1" x14ac:dyDescent="0.25">
      <c r="B36" s="134" t="str">
        <f>IF('Hapus MK'!Q25="","Uncheck box ini",'Hapus MK'!Q25)</f>
        <v>Uncheck box ini</v>
      </c>
      <c r="C36" s="251" t="e">
        <f>VLOOKUP(B36,'Nilai Kurikulum 2013'!$E$4:$O$176,2,FALSE)</f>
        <v>#N/A</v>
      </c>
      <c r="D36" s="293" t="e">
        <f>VLOOKUP(B36,'Nilai Kurikulum 2013'!$E$4:$O$176,5,FALSE)</f>
        <v>#N/A</v>
      </c>
      <c r="E36" s="293"/>
      <c r="F36" s="293"/>
      <c r="G36" s="293"/>
      <c r="H36" s="293"/>
      <c r="I36" s="293"/>
      <c r="J36" s="135" t="e">
        <f>VLOOKUP(B36,'Nilai Kurikulum 2013'!$E$4:$O$176,10,FALSE)</f>
        <v>#N/A</v>
      </c>
    </row>
    <row r="37" spans="2:12" hidden="1" x14ac:dyDescent="0.25">
      <c r="B37" s="134" t="str">
        <f>IF('Hapus MK'!Q26="","Uncheck box ini",'Hapus MK'!Q26)</f>
        <v>Uncheck box ini</v>
      </c>
      <c r="C37" s="251" t="e">
        <f>VLOOKUP(B37,'Nilai Kurikulum 2013'!$E$4:$O$176,2,FALSE)</f>
        <v>#N/A</v>
      </c>
      <c r="D37" s="293" t="e">
        <f>VLOOKUP(B37,'Nilai Kurikulum 2013'!$E$4:$O$176,5,FALSE)</f>
        <v>#N/A</v>
      </c>
      <c r="E37" s="293"/>
      <c r="F37" s="293"/>
      <c r="G37" s="293"/>
      <c r="H37" s="293"/>
      <c r="I37" s="293"/>
      <c r="J37" s="135" t="e">
        <f>VLOOKUP(B37,'Nilai Kurikulum 2013'!$E$4:$O$176,10,FALSE)</f>
        <v>#N/A</v>
      </c>
    </row>
    <row r="38" spans="2:12" hidden="1" x14ac:dyDescent="0.25">
      <c r="B38" s="134" t="str">
        <f>IF('Hapus MK'!Q27="","Uncheck box ini",'Hapus MK'!Q27)</f>
        <v>Uncheck box ini</v>
      </c>
      <c r="C38" s="251" t="e">
        <f>VLOOKUP(B38,'Nilai Kurikulum 2013'!$E$4:$O$176,2,FALSE)</f>
        <v>#N/A</v>
      </c>
      <c r="D38" s="293" t="e">
        <f>VLOOKUP(B38,'Nilai Kurikulum 2013'!$E$4:$O$176,5,FALSE)</f>
        <v>#N/A</v>
      </c>
      <c r="E38" s="293"/>
      <c r="F38" s="293"/>
      <c r="G38" s="293"/>
      <c r="H38" s="293"/>
      <c r="I38" s="293"/>
      <c r="J38" s="135" t="e">
        <f>VLOOKUP(B38,'Nilai Kurikulum 2013'!$E$4:$O$176,10,FALSE)</f>
        <v>#N/A</v>
      </c>
    </row>
    <row r="39" spans="2:12" hidden="1" x14ac:dyDescent="0.25">
      <c r="B39" s="134" t="str">
        <f>IF('Hapus MK'!Q28="","Uncheck box ini",'Hapus MK'!Q28)</f>
        <v>Uncheck box ini</v>
      </c>
      <c r="C39" s="251" t="e">
        <f>VLOOKUP(B39,'Nilai Kurikulum 2013'!$E$4:$O$176,2,FALSE)</f>
        <v>#N/A</v>
      </c>
      <c r="D39" s="293" t="e">
        <f>VLOOKUP(B39,'Nilai Kurikulum 2013'!$E$4:$O$176,5,FALSE)</f>
        <v>#N/A</v>
      </c>
      <c r="E39" s="293"/>
      <c r="F39" s="293"/>
      <c r="G39" s="293"/>
      <c r="H39" s="293"/>
      <c r="I39" s="293"/>
      <c r="J39" s="135" t="e">
        <f>VLOOKUP(B39,'Nilai Kurikulum 2013'!$E$4:$O$176,10,FALSE)</f>
        <v>#N/A</v>
      </c>
    </row>
    <row r="40" spans="2:12" hidden="1" x14ac:dyDescent="0.25">
      <c r="B40" s="134" t="str">
        <f>IF('Hapus MK'!Q29="","Uncheck box ini",'Hapus MK'!Q29)</f>
        <v>Uncheck box ini</v>
      </c>
      <c r="C40" s="251" t="e">
        <f>VLOOKUP(B40,'Nilai Kurikulum 2013'!$E$4:$O$176,2,FALSE)</f>
        <v>#N/A</v>
      </c>
      <c r="D40" s="293" t="e">
        <f>VLOOKUP(B40,'Nilai Kurikulum 2013'!$E$4:$O$176,5,FALSE)</f>
        <v>#N/A</v>
      </c>
      <c r="E40" s="293"/>
      <c r="F40" s="293"/>
      <c r="G40" s="293"/>
      <c r="H40" s="293"/>
      <c r="I40" s="293"/>
      <c r="J40" s="135" t="e">
        <f>VLOOKUP(B40,'Nilai Kurikulum 2013'!$E$4:$O$176,10,FALSE)</f>
        <v>#N/A</v>
      </c>
    </row>
    <row r="41" spans="2:12" hidden="1" x14ac:dyDescent="0.25">
      <c r="B41" s="134" t="str">
        <f>IF('Hapus MK'!Q30="","Uncheck box ini",'Hapus MK'!Q30)</f>
        <v>Uncheck box ini</v>
      </c>
      <c r="C41" s="251" t="e">
        <f>VLOOKUP(B41,'Nilai Kurikulum 2013'!$E$4:$O$176,2,FALSE)</f>
        <v>#N/A</v>
      </c>
      <c r="D41" s="293" t="e">
        <f>VLOOKUP(B41,'Nilai Kurikulum 2013'!$E$4:$O$176,5,FALSE)</f>
        <v>#N/A</v>
      </c>
      <c r="E41" s="293"/>
      <c r="F41" s="293"/>
      <c r="G41" s="293"/>
      <c r="H41" s="293"/>
      <c r="I41" s="293"/>
      <c r="J41" s="135" t="e">
        <f>VLOOKUP(B41,'Nilai Kurikulum 2013'!$E$4:$O$176,10,FALSE)</f>
        <v>#N/A</v>
      </c>
    </row>
    <row r="42" spans="2:12" hidden="1" x14ac:dyDescent="0.25">
      <c r="B42" s="134" t="str">
        <f>IF('Hapus MK'!Q31="","Uncheck box ini",'Hapus MK'!Q31)</f>
        <v>Uncheck box ini</v>
      </c>
      <c r="C42" s="251" t="e">
        <f>VLOOKUP(B42,'Nilai Kurikulum 2013'!$E$4:$O$176,2,FALSE)</f>
        <v>#N/A</v>
      </c>
      <c r="D42" s="293" t="e">
        <f>VLOOKUP(B42,'Nilai Kurikulum 2013'!$E$4:$O$176,5,FALSE)</f>
        <v>#N/A</v>
      </c>
      <c r="E42" s="293"/>
      <c r="F42" s="293"/>
      <c r="G42" s="293"/>
      <c r="H42" s="293"/>
      <c r="I42" s="293"/>
      <c r="J42" s="135" t="e">
        <f>VLOOKUP(B42,'Nilai Kurikulum 2013'!$E$4:$O$176,10,FALSE)</f>
        <v>#N/A</v>
      </c>
    </row>
    <row r="43" spans="2:12" hidden="1" x14ac:dyDescent="0.25">
      <c r="B43" s="134" t="str">
        <f>IF('Hapus MK'!Q32="","Uncheck box ini",'Hapus MK'!Q32)</f>
        <v>Uncheck box ini</v>
      </c>
      <c r="C43" s="136" t="e">
        <f>VLOOKUP(B43,'Nilai Kurikulum 2013'!$E$4:$O$176,2,FALSE)</f>
        <v>#N/A</v>
      </c>
      <c r="D43" s="293" t="e">
        <f>VLOOKUP(B43,'Nilai Kurikulum 2013'!$E$4:$O$176,5,FALSE)</f>
        <v>#N/A</v>
      </c>
      <c r="E43" s="293"/>
      <c r="F43" s="293"/>
      <c r="G43" s="293"/>
      <c r="H43" s="293"/>
      <c r="I43" s="293"/>
      <c r="J43" s="137" t="e">
        <f>VLOOKUP(B43,'Nilai Kurikulum 2013'!$E$4:$O$176,10,FALSE)</f>
        <v>#N/A</v>
      </c>
    </row>
    <row r="44" spans="2:12" ht="15.75" thickBot="1" x14ac:dyDescent="0.3">
      <c r="B44" s="138" t="s">
        <v>41</v>
      </c>
      <c r="C44" s="139"/>
      <c r="D44" s="321"/>
      <c r="E44" s="321"/>
      <c r="F44" s="321"/>
      <c r="G44" s="321"/>
      <c r="H44" s="321"/>
      <c r="I44" s="321"/>
      <c r="J44" s="140"/>
      <c r="K44" s="326" t="str">
        <f ca="1">IF(E56=K56,"","IPK Awal : "&amp;'Nilai Kurikulum 2013'!AF40)</f>
        <v>IPK Awal : 3.16</v>
      </c>
      <c r="L44" s="327"/>
    </row>
    <row r="45" spans="2:12" ht="7.5" customHeight="1" thickTop="1" x14ac:dyDescent="0.25"/>
    <row r="46" spans="2:12" x14ac:dyDescent="0.25">
      <c r="B46" s="297" t="s">
        <v>42</v>
      </c>
      <c r="C46" s="297"/>
      <c r="D46" s="297"/>
      <c r="E46" s="297"/>
      <c r="F46" s="297"/>
      <c r="G46" s="297"/>
      <c r="H46" s="297"/>
      <c r="I46" s="297"/>
      <c r="J46" s="297"/>
      <c r="K46" s="297"/>
      <c r="L46" s="297"/>
    </row>
    <row r="47" spans="2:12" ht="7.5" customHeight="1" thickBot="1" x14ac:dyDescent="0.3"/>
    <row r="48" spans="2:12" ht="15" customHeight="1" thickTop="1" x14ac:dyDescent="0.25">
      <c r="B48" s="302" t="s">
        <v>43</v>
      </c>
      <c r="C48" s="303"/>
      <c r="D48" s="294" t="s">
        <v>44</v>
      </c>
      <c r="E48" s="295"/>
      <c r="F48" s="294" t="s">
        <v>45</v>
      </c>
      <c r="G48" s="295"/>
      <c r="H48" s="294" t="s">
        <v>46</v>
      </c>
      <c r="I48" s="296"/>
      <c r="J48" s="296"/>
      <c r="K48" s="295"/>
      <c r="L48" s="315" t="s">
        <v>47</v>
      </c>
    </row>
    <row r="49" spans="2:12" x14ac:dyDescent="0.25">
      <c r="B49" s="304"/>
      <c r="C49" s="305"/>
      <c r="D49" s="298" t="s">
        <v>48</v>
      </c>
      <c r="E49" s="300" t="s">
        <v>38</v>
      </c>
      <c r="F49" s="298" t="s">
        <v>48</v>
      </c>
      <c r="G49" s="300" t="s">
        <v>38</v>
      </c>
      <c r="H49" s="318" t="s">
        <v>48</v>
      </c>
      <c r="I49" s="319"/>
      <c r="J49" s="319" t="s">
        <v>38</v>
      </c>
      <c r="K49" s="329"/>
      <c r="L49" s="316"/>
    </row>
    <row r="50" spans="2:12" ht="15.75" thickBot="1" x14ac:dyDescent="0.3">
      <c r="B50" s="306"/>
      <c r="C50" s="307"/>
      <c r="D50" s="299"/>
      <c r="E50" s="301"/>
      <c r="F50" s="299"/>
      <c r="G50" s="301"/>
      <c r="H50" s="141" t="s">
        <v>49</v>
      </c>
      <c r="I50" s="142" t="s">
        <v>50</v>
      </c>
      <c r="J50" s="143" t="s">
        <v>49</v>
      </c>
      <c r="K50" s="144" t="s">
        <v>50</v>
      </c>
      <c r="L50" s="317"/>
    </row>
    <row r="51" spans="2:12" ht="15.75" thickTop="1" x14ac:dyDescent="0.25">
      <c r="B51" s="310" t="s">
        <v>51</v>
      </c>
      <c r="C51" s="311"/>
      <c r="D51" s="145">
        <f>'Nilai Kurikulum 2013'!AC26</f>
        <v>32</v>
      </c>
      <c r="E51" s="146">
        <f ca="1">'Nilai Kurikulum 2013'!AD26</f>
        <v>97</v>
      </c>
      <c r="F51" s="224">
        <f ca="1">D51-I51</f>
        <v>0</v>
      </c>
      <c r="G51" s="225">
        <f ca="1">E51-K51</f>
        <v>0</v>
      </c>
      <c r="H51" s="147">
        <f>'Nilai Kurikulum 2013'!AB5</f>
        <v>32</v>
      </c>
      <c r="I51" s="148">
        <f ca="1">'Nilai Kurikulum 2013'!AC5</f>
        <v>32</v>
      </c>
      <c r="J51" s="149">
        <f>'Nilai Kurikulum 2013'!AE5</f>
        <v>89</v>
      </c>
      <c r="K51" s="150">
        <f ca="1">'Nilai Kurikulum 2013'!AD5</f>
        <v>97</v>
      </c>
      <c r="L51" s="151" t="str">
        <f ca="1">IF(AND(I51&gt;=H51,K51&gt;=J51),"Ya","Tidak")</f>
        <v>Ya</v>
      </c>
    </row>
    <row r="52" spans="2:12" x14ac:dyDescent="0.25">
      <c r="B52" s="312" t="s">
        <v>52</v>
      </c>
      <c r="C52" s="313"/>
      <c r="D52" s="152">
        <f>'Nilai Kurikulum 2013'!AC27</f>
        <v>1</v>
      </c>
      <c r="E52" s="153">
        <f>'Nilai Kurikulum 2013'!AD27</f>
        <v>6</v>
      </c>
      <c r="F52" s="152">
        <f ca="1">D52-I52</f>
        <v>0</v>
      </c>
      <c r="G52" s="153">
        <f t="shared" ref="G52:G55" ca="1" si="0">E52-K52</f>
        <v>0</v>
      </c>
      <c r="H52" s="154">
        <f>'Nilai Kurikulum 2013'!AB6</f>
        <v>1</v>
      </c>
      <c r="I52" s="250">
        <f ca="1">'Nilai Kurikulum 2013'!AC6</f>
        <v>1</v>
      </c>
      <c r="J52" s="155">
        <f>'Nilai Kurikulum 2013'!AE6</f>
        <v>3</v>
      </c>
      <c r="K52" s="156">
        <f ca="1">'Nilai Kurikulum 2013'!AD6</f>
        <v>6</v>
      </c>
      <c r="L52" s="157" t="str">
        <f t="shared" ref="L52:L54" ca="1" si="1">IF(AND(I52&gt;=H52,K52&gt;=J52),"Ya","Tidak")</f>
        <v>Ya</v>
      </c>
    </row>
    <row r="53" spans="2:12" x14ac:dyDescent="0.25">
      <c r="B53" s="312" t="s">
        <v>53</v>
      </c>
      <c r="C53" s="313"/>
      <c r="D53" s="152">
        <f>'Nilai Kurikulum 2013'!AC28</f>
        <v>5</v>
      </c>
      <c r="E53" s="153">
        <f>'Nilai Kurikulum 2013'!AD28</f>
        <v>10</v>
      </c>
      <c r="F53" s="152">
        <f t="shared" ref="F53:F55" ca="1" si="2">D53-I53</f>
        <v>1</v>
      </c>
      <c r="G53" s="153">
        <f t="shared" ca="1" si="0"/>
        <v>2</v>
      </c>
      <c r="H53" s="154">
        <f>'Nilai Kurikulum 2013'!AB7</f>
        <v>4</v>
      </c>
      <c r="I53" s="250">
        <f ca="1">'Nilai Kurikulum 2013'!AC7</f>
        <v>4</v>
      </c>
      <c r="J53" s="155">
        <f>'Nilai Kurikulum 2013'!AE7</f>
        <v>8</v>
      </c>
      <c r="K53" s="156">
        <f ca="1">'Nilai Kurikulum 2013'!AD7</f>
        <v>8</v>
      </c>
      <c r="L53" s="157" t="str">
        <f t="shared" ca="1" si="1"/>
        <v>Ya</v>
      </c>
    </row>
    <row r="54" spans="2:12" x14ac:dyDescent="0.25">
      <c r="B54" s="312" t="s">
        <v>54</v>
      </c>
      <c r="C54" s="313"/>
      <c r="D54" s="152">
        <f>'Nilai Kurikulum 2013'!AC29</f>
        <v>11</v>
      </c>
      <c r="E54" s="153">
        <f>'Nilai Kurikulum 2013'!AD29</f>
        <v>33</v>
      </c>
      <c r="F54" s="152">
        <f t="shared" ca="1" si="2"/>
        <v>0</v>
      </c>
      <c r="G54" s="153">
        <f t="shared" ca="1" si="0"/>
        <v>0</v>
      </c>
      <c r="H54" s="154">
        <f>'Nilai Kurikulum 2013'!AB8</f>
        <v>0</v>
      </c>
      <c r="I54" s="250">
        <f ca="1">'Nilai Kurikulum 2013'!AC8</f>
        <v>11</v>
      </c>
      <c r="J54" s="155">
        <f>'Nilai Kurikulum 2013'!AE8</f>
        <v>0</v>
      </c>
      <c r="K54" s="156">
        <f ca="1">'Nilai Kurikulum 2013'!AD8</f>
        <v>33</v>
      </c>
      <c r="L54" s="157" t="str">
        <f t="shared" ca="1" si="1"/>
        <v>Ya</v>
      </c>
    </row>
    <row r="55" spans="2:12" ht="15.75" thickBot="1" x14ac:dyDescent="0.3">
      <c r="B55" s="330" t="s">
        <v>55</v>
      </c>
      <c r="C55" s="331"/>
      <c r="D55" s="158">
        <f>'Nilai Kurikulum 2013'!AC30</f>
        <v>0</v>
      </c>
      <c r="E55" s="159">
        <f>'Nilai Kurikulum 2013'!AD30</f>
        <v>0</v>
      </c>
      <c r="F55" s="158">
        <f t="shared" ca="1" si="2"/>
        <v>0</v>
      </c>
      <c r="G55" s="159">
        <f t="shared" ca="1" si="0"/>
        <v>0</v>
      </c>
      <c r="H55" s="160" t="str">
        <f>'Nilai Kurikulum 2013'!AB9</f>
        <v>4 (max)</v>
      </c>
      <c r="I55" s="161">
        <f ca="1">'Nilai Kurikulum 2013'!AC9</f>
        <v>0</v>
      </c>
      <c r="J55" s="162">
        <f>'Nilai Kurikulum 2013'!AE9</f>
        <v>0</v>
      </c>
      <c r="K55" s="163">
        <f ca="1">'Nilai Kurikulum 2013'!AD9</f>
        <v>0</v>
      </c>
      <c r="L55" s="164" t="str">
        <f ca="1">IF(AND(4&gt;=I55,K55&gt;=J55),"Ya","Tidak*")</f>
        <v>Ya</v>
      </c>
    </row>
    <row r="56" spans="2:12" ht="16.5" thickTop="1" thickBot="1" x14ac:dyDescent="0.3">
      <c r="B56" s="308" t="s">
        <v>56</v>
      </c>
      <c r="C56" s="309"/>
      <c r="D56" s="165">
        <f>'Nilai Kurikulum 2013'!AC31</f>
        <v>49</v>
      </c>
      <c r="E56" s="166">
        <f ca="1">'Nilai Kurikulum 2013'!AD31</f>
        <v>146</v>
      </c>
      <c r="F56" s="167">
        <f ca="1">SUM(F51:F55)</f>
        <v>1</v>
      </c>
      <c r="G56" s="166">
        <f ca="1">SUM(G51:G55)</f>
        <v>2</v>
      </c>
      <c r="H56" s="168">
        <f>SUM(H51:H54)</f>
        <v>37</v>
      </c>
      <c r="I56" s="9">
        <f ca="1">'Nilai Kurikulum 2013'!AC10</f>
        <v>48</v>
      </c>
      <c r="J56" s="169">
        <v>144</v>
      </c>
      <c r="K56" s="170">
        <f ca="1">SUM(K51:K55)</f>
        <v>144</v>
      </c>
      <c r="L56" s="171" t="str">
        <f ca="1">IF(K56&gt;=J56,"Ya","Tidak")</f>
        <v>Ya</v>
      </c>
    </row>
    <row r="57" spans="2:12" ht="24.75" customHeight="1" thickTop="1" x14ac:dyDescent="0.25">
      <c r="B57" s="314" t="str">
        <f ca="1">IF(L55="Tidak*","* Pengecualian hanya diberikan kepada mahasiswa angkatan 2006 s.d. 2010 eks Sub-Jurusan TIB Kurikulum 2008, data harus sesuai dengan Lembar Konversi Kurikulum 2013 dan sudah diperiksa oleh pimpinan jurusan","")</f>
        <v/>
      </c>
      <c r="C57" s="314"/>
      <c r="D57" s="314"/>
      <c r="E57" s="314"/>
      <c r="F57" s="314"/>
      <c r="G57" s="314"/>
      <c r="H57" s="314"/>
      <c r="I57" s="314"/>
      <c r="J57" s="314"/>
      <c r="K57" s="314"/>
      <c r="L57" s="314"/>
    </row>
    <row r="58" spans="2:12" ht="12.75" customHeight="1" thickBot="1" x14ac:dyDescent="0.3">
      <c r="B58" s="172"/>
      <c r="C58" s="172"/>
      <c r="D58" s="85"/>
      <c r="E58" s="85"/>
      <c r="F58" s="85"/>
      <c r="G58" s="85"/>
      <c r="H58" s="85"/>
      <c r="I58" s="85"/>
      <c r="J58" s="85"/>
      <c r="K58" s="85"/>
      <c r="L58" s="85"/>
    </row>
    <row r="59" spans="2:12" ht="16.5" thickTop="1" thickBot="1" x14ac:dyDescent="0.3">
      <c r="B59" s="173" t="s">
        <v>40</v>
      </c>
      <c r="C59" s="174" t="s">
        <v>57</v>
      </c>
      <c r="D59" s="174" t="s">
        <v>58</v>
      </c>
      <c r="E59" s="174" t="s">
        <v>59</v>
      </c>
      <c r="F59" s="174" t="s">
        <v>60</v>
      </c>
      <c r="G59" s="174" t="s">
        <v>61</v>
      </c>
      <c r="H59" s="175" t="s">
        <v>56</v>
      </c>
    </row>
    <row r="60" spans="2:12" ht="16.5" thickTop="1" thickBot="1" x14ac:dyDescent="0.3">
      <c r="B60" s="176" t="s">
        <v>62</v>
      </c>
      <c r="C60" s="177">
        <f ca="1">'Nilai Kurikulum 2013'!AA15</f>
        <v>19</v>
      </c>
      <c r="D60" s="177">
        <f ca="1">'Nilai Kurikulum 2013'!AB15</f>
        <v>20</v>
      </c>
      <c r="E60" s="177">
        <f ca="1">'Nilai Kurikulum 2013'!AC15</f>
        <v>7</v>
      </c>
      <c r="F60" s="177">
        <f ca="1">'Nilai Kurikulum 2013'!AD15</f>
        <v>2</v>
      </c>
      <c r="G60" s="177">
        <f ca="1">'Nilai Kurikulum 2013'!AE15</f>
        <v>0</v>
      </c>
      <c r="H60" s="178">
        <f ca="1">'Nilai Kurikulum 2013'!AF15</f>
        <v>48</v>
      </c>
    </row>
    <row r="61" spans="2:12" ht="15.75" thickBot="1" x14ac:dyDescent="0.3">
      <c r="B61" s="179" t="s">
        <v>63</v>
      </c>
      <c r="C61" s="180">
        <f ca="1">'Nilai Kurikulum 2013'!AA16</f>
        <v>61</v>
      </c>
      <c r="D61" s="180">
        <f ca="1">'Nilai Kurikulum 2013'!AB16</f>
        <v>56</v>
      </c>
      <c r="E61" s="180">
        <f ca="1">'Nilai Kurikulum 2013'!AC16</f>
        <v>20</v>
      </c>
      <c r="F61" s="180">
        <f ca="1">'Nilai Kurikulum 2013'!AD16</f>
        <v>7</v>
      </c>
      <c r="G61" s="180">
        <f ca="1">'Nilai Kurikulum 2013'!AE16</f>
        <v>0</v>
      </c>
      <c r="H61" s="181">
        <f ca="1">'Nilai Kurikulum 2013'!AF16</f>
        <v>144</v>
      </c>
    </row>
    <row r="62" spans="2:12" ht="15.75" thickTop="1" x14ac:dyDescent="0.25"/>
    <row r="63" spans="2:12" ht="15.75" customHeight="1" x14ac:dyDescent="0.25">
      <c r="B63" s="297" t="s">
        <v>64</v>
      </c>
      <c r="C63" s="297"/>
      <c r="D63" s="297"/>
      <c r="E63" s="237" t="s">
        <v>34</v>
      </c>
      <c r="F63" s="235">
        <f ca="1">'Nilai Kurikulum 2013'!AF19</f>
        <v>3.19</v>
      </c>
    </row>
    <row r="64" spans="2:12" ht="15.75" x14ac:dyDescent="0.25">
      <c r="B64" s="297" t="s">
        <v>65</v>
      </c>
      <c r="C64" s="297"/>
      <c r="D64" s="297"/>
      <c r="E64" s="237" t="s">
        <v>34</v>
      </c>
      <c r="F64" s="182">
        <f>'Data Diri'!C30</f>
        <v>10</v>
      </c>
      <c r="G64" s="297" t="s">
        <v>66</v>
      </c>
      <c r="H64" s="297"/>
    </row>
    <row r="65" spans="1:12" ht="15.75" x14ac:dyDescent="0.25">
      <c r="B65" s="297" t="s">
        <v>67</v>
      </c>
      <c r="C65" s="297"/>
      <c r="D65" s="297"/>
      <c r="E65" s="237" t="s">
        <v>34</v>
      </c>
      <c r="F65" s="328" t="str">
        <f ca="1">IF(F63&lt;=2.75,"Memuaskan",IF(F63&lt;=3.5,"Sangat Memuaskan",IF(F64&lt;=9,"Dengan Pujian","Sangat Memuaskan")))</f>
        <v>Sangat Memuaskan</v>
      </c>
      <c r="G65" s="328"/>
      <c r="H65" s="328"/>
    </row>
    <row r="66" spans="1:12" ht="15.75" x14ac:dyDescent="0.25">
      <c r="B66" s="297" t="s">
        <v>68</v>
      </c>
      <c r="C66" s="297"/>
      <c r="D66" s="297"/>
      <c r="E66" s="237" t="s">
        <v>34</v>
      </c>
      <c r="F66" s="328" t="str">
        <f>'Data Diri'!E44</f>
        <v>13 Januari 2017</v>
      </c>
      <c r="G66" s="328"/>
      <c r="H66" s="328"/>
    </row>
    <row r="68" spans="1:12" x14ac:dyDescent="0.25">
      <c r="A68" s="185"/>
      <c r="B68" s="332" t="str">
        <f ca="1">"Bandung, "&amp;TEXT('Data Diri'!C47,"[$-421] dd mmmm yyyy")</f>
        <v>Bandung,  28 Juli 2017</v>
      </c>
      <c r="C68" s="332"/>
      <c r="D68" s="332"/>
      <c r="E68" s="332"/>
      <c r="F68" s="332"/>
      <c r="G68" s="332"/>
      <c r="H68" s="332"/>
      <c r="I68" s="332"/>
      <c r="J68" s="332"/>
      <c r="K68" s="332"/>
      <c r="L68" s="332"/>
    </row>
    <row r="74" spans="1:12" x14ac:dyDescent="0.25">
      <c r="B74" s="325" t="str">
        <f>'Data Diri'!C45</f>
        <v>Mariskha Tri Adithia, P.D.Eng</v>
      </c>
      <c r="C74" s="325"/>
      <c r="D74" s="325"/>
      <c r="E74" s="325"/>
      <c r="F74" s="325"/>
      <c r="H74" s="183"/>
      <c r="I74" s="325" t="str">
        <f>'Data Diri'!C10</f>
        <v>LUCKY SENJAYA DARMAWAN</v>
      </c>
      <c r="J74" s="325"/>
      <c r="K74" s="325"/>
      <c r="L74" s="325"/>
    </row>
    <row r="75" spans="1:12" x14ac:dyDescent="0.25">
      <c r="B75" s="324" t="s">
        <v>593</v>
      </c>
      <c r="C75" s="324"/>
      <c r="D75" s="324"/>
      <c r="E75" s="324"/>
      <c r="F75" s="324"/>
      <c r="H75" s="127"/>
      <c r="I75" s="324" t="s">
        <v>69</v>
      </c>
      <c r="J75" s="324"/>
      <c r="K75" s="324"/>
      <c r="L75" s="324"/>
    </row>
    <row r="81" spans="1:12" x14ac:dyDescent="0.25">
      <c r="A81" s="183"/>
      <c r="B81" s="325" t="str">
        <f>'Data Diri'!C46</f>
        <v>Dr.rer.nat. Cecilia Esti Nugraheni</v>
      </c>
      <c r="C81" s="325"/>
      <c r="D81" s="325"/>
      <c r="E81" s="325"/>
      <c r="F81" s="325"/>
      <c r="G81" s="325"/>
      <c r="H81" s="325"/>
      <c r="I81" s="325"/>
      <c r="J81" s="325"/>
      <c r="K81" s="325"/>
      <c r="L81" s="325"/>
    </row>
    <row r="82" spans="1:12" x14ac:dyDescent="0.25">
      <c r="A82" s="127"/>
      <c r="B82" s="324" t="s">
        <v>70</v>
      </c>
      <c r="C82" s="324"/>
      <c r="D82" s="324"/>
      <c r="E82" s="324"/>
      <c r="F82" s="324"/>
      <c r="G82" s="324"/>
      <c r="H82" s="324"/>
      <c r="I82" s="324"/>
      <c r="J82" s="324"/>
      <c r="K82" s="324"/>
      <c r="L82" s="324"/>
    </row>
  </sheetData>
  <sheetProtection password="882B" sheet="1" objects="1" scenarios="1" selectLockedCells="1" autoFilter="0" selectUnlockedCells="1"/>
  <autoFilter ref="B13:B44">
    <filterColumn colId="0">
      <filters>
        <filter val="AIF311"/>
        <filter val="OK"/>
      </filters>
    </filterColumn>
  </autoFilter>
  <mergeCells count="72">
    <mergeCell ref="I74:L74"/>
    <mergeCell ref="I75:L75"/>
    <mergeCell ref="B2:L2"/>
    <mergeCell ref="B68:L68"/>
    <mergeCell ref="B81:L81"/>
    <mergeCell ref="A5:L5"/>
    <mergeCell ref="A4:L4"/>
    <mergeCell ref="D27:I27"/>
    <mergeCell ref="D28:I28"/>
    <mergeCell ref="D29:I29"/>
    <mergeCell ref="D30:I30"/>
    <mergeCell ref="D31:I31"/>
    <mergeCell ref="D18:I18"/>
    <mergeCell ref="D14:I14"/>
    <mergeCell ref="D15:I15"/>
    <mergeCell ref="D16:I16"/>
    <mergeCell ref="B82:L82"/>
    <mergeCell ref="B75:F75"/>
    <mergeCell ref="B74:F74"/>
    <mergeCell ref="B46:L46"/>
    <mergeCell ref="D43:I43"/>
    <mergeCell ref="K44:L44"/>
    <mergeCell ref="G64:H64"/>
    <mergeCell ref="F65:H65"/>
    <mergeCell ref="F66:H66"/>
    <mergeCell ref="B64:D64"/>
    <mergeCell ref="B65:D65"/>
    <mergeCell ref="B66:D66"/>
    <mergeCell ref="J49:K49"/>
    <mergeCell ref="B54:C54"/>
    <mergeCell ref="B55:C55"/>
    <mergeCell ref="F49:F50"/>
    <mergeCell ref="B1:L1"/>
    <mergeCell ref="D42:I42"/>
    <mergeCell ref="D44:I44"/>
    <mergeCell ref="D13:I13"/>
    <mergeCell ref="D8:K8"/>
    <mergeCell ref="D9:G9"/>
    <mergeCell ref="D37:I37"/>
    <mergeCell ref="D38:I38"/>
    <mergeCell ref="D39:I39"/>
    <mergeCell ref="D40:I40"/>
    <mergeCell ref="D41:I41"/>
    <mergeCell ref="D32:I32"/>
    <mergeCell ref="D33:I33"/>
    <mergeCell ref="D34:I34"/>
    <mergeCell ref="D35:I35"/>
    <mergeCell ref="D36:I36"/>
    <mergeCell ref="D17:I17"/>
    <mergeCell ref="D19:I19"/>
    <mergeCell ref="D20:I20"/>
    <mergeCell ref="D21:I21"/>
    <mergeCell ref="D22:I22"/>
    <mergeCell ref="B63:D63"/>
    <mergeCell ref="D49:D50"/>
    <mergeCell ref="E49:E50"/>
    <mergeCell ref="B48:C50"/>
    <mergeCell ref="D48:E48"/>
    <mergeCell ref="B56:C56"/>
    <mergeCell ref="B51:C51"/>
    <mergeCell ref="B52:C52"/>
    <mergeCell ref="B53:C53"/>
    <mergeCell ref="B57:L57"/>
    <mergeCell ref="G49:G50"/>
    <mergeCell ref="L48:L50"/>
    <mergeCell ref="H49:I49"/>
    <mergeCell ref="D23:I23"/>
    <mergeCell ref="D24:I24"/>
    <mergeCell ref="D25:I25"/>
    <mergeCell ref="D26:I26"/>
    <mergeCell ref="F48:G48"/>
    <mergeCell ref="H48:K48"/>
  </mergeCells>
  <conditionalFormatting sqref="F52:G56">
    <cfRule type="cellIs" dxfId="2" priority="1" operator="lessThanOrEqual">
      <formula>0</formula>
    </cfRule>
  </conditionalFormatting>
  <pageMargins left="0.5" right="0.5" top="0.25" bottom="0" header="0.05"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1"/>
  <sheetViews>
    <sheetView workbookViewId="0">
      <selection activeCell="A15" sqref="A15"/>
    </sheetView>
  </sheetViews>
  <sheetFormatPr defaultColWidth="9.140625" defaultRowHeight="15" x14ac:dyDescent="0.25"/>
  <cols>
    <col min="1" max="1" width="25.42578125" style="1" customWidth="1"/>
    <col min="2" max="2" width="1.5703125" style="1" bestFit="1" customWidth="1"/>
    <col min="3" max="3" width="52.7109375" style="1" customWidth="1"/>
    <col min="4" max="4" width="6.140625" style="1" customWidth="1"/>
    <col min="5" max="5" width="7.7109375" style="1" customWidth="1"/>
    <col min="6" max="16384" width="9.140625" style="1"/>
  </cols>
  <sheetData>
    <row r="1" spans="1:12" ht="17.25" x14ac:dyDescent="0.3">
      <c r="A1" s="320" t="s">
        <v>28</v>
      </c>
      <c r="B1" s="320"/>
      <c r="C1" s="320"/>
      <c r="D1" s="320"/>
      <c r="E1" s="320"/>
      <c r="F1" s="184"/>
      <c r="G1" s="184"/>
      <c r="H1" s="184"/>
      <c r="I1" s="184"/>
      <c r="J1" s="184"/>
      <c r="K1" s="184"/>
      <c r="L1" s="186"/>
    </row>
    <row r="2" spans="1:12" ht="17.25" x14ac:dyDescent="0.3">
      <c r="A2" s="320" t="s">
        <v>29</v>
      </c>
      <c r="B2" s="320"/>
      <c r="C2" s="320"/>
      <c r="D2" s="320"/>
      <c r="E2" s="320"/>
      <c r="F2" s="184"/>
      <c r="G2" s="184"/>
      <c r="H2" s="184"/>
      <c r="I2" s="184"/>
      <c r="J2" s="184"/>
      <c r="K2" s="184"/>
      <c r="L2" s="186"/>
    </row>
    <row r="4" spans="1:12" ht="20.25" x14ac:dyDescent="0.3">
      <c r="A4" s="333" t="s">
        <v>71</v>
      </c>
      <c r="B4" s="333"/>
      <c r="C4" s="333"/>
      <c r="D4" s="333"/>
      <c r="E4" s="333"/>
      <c r="F4" s="187"/>
      <c r="G4" s="187"/>
      <c r="H4" s="187"/>
      <c r="I4" s="187"/>
      <c r="J4" s="187"/>
      <c r="K4" s="187"/>
      <c r="L4" s="187"/>
    </row>
    <row r="6" spans="1:12" s="189" customFormat="1" ht="18.75" x14ac:dyDescent="0.3">
      <c r="A6" s="188" t="s">
        <v>72</v>
      </c>
      <c r="B6" s="188" t="s">
        <v>34</v>
      </c>
      <c r="C6" s="336" t="str">
        <f>'Data Diri'!C10</f>
        <v>LUCKY SENJAYA DARMAWAN</v>
      </c>
      <c r="D6" s="336"/>
      <c r="E6" s="336"/>
    </row>
    <row r="7" spans="1:12" s="189" customFormat="1" ht="18.75" x14ac:dyDescent="0.3">
      <c r="A7" s="188" t="s">
        <v>35</v>
      </c>
      <c r="B7" s="188" t="s">
        <v>34</v>
      </c>
      <c r="C7" s="336">
        <f>'Data Diri'!C9</f>
        <v>2012730009</v>
      </c>
      <c r="D7" s="336"/>
      <c r="E7" s="336"/>
    </row>
    <row r="8" spans="1:12" s="189" customFormat="1" ht="18.75" x14ac:dyDescent="0.3">
      <c r="A8" s="188"/>
      <c r="B8" s="188"/>
      <c r="C8" s="190"/>
      <c r="D8" s="190"/>
      <c r="E8" s="190"/>
    </row>
    <row r="9" spans="1:12" s="189" customFormat="1" ht="18.75" x14ac:dyDescent="0.3">
      <c r="A9" s="188" t="s">
        <v>73</v>
      </c>
      <c r="B9" s="188" t="s">
        <v>34</v>
      </c>
      <c r="C9" s="337" t="str">
        <f>'Data Diri'!C11&amp;" / "&amp;'Data Diri'!E12</f>
        <v>TASIKMALAYA / 28 Januari 1994</v>
      </c>
      <c r="D9" s="337"/>
      <c r="E9" s="337"/>
    </row>
    <row r="10" spans="1:12" s="231" customFormat="1" ht="36.75" customHeight="1" x14ac:dyDescent="0.25">
      <c r="A10" s="230" t="s">
        <v>74</v>
      </c>
      <c r="B10" s="230" t="s">
        <v>34</v>
      </c>
      <c r="C10" s="335" t="str">
        <f>'Data Diri'!C13&amp;" , "&amp;'Data Diri'!C14&amp;" - "&amp;'Data Diri'!C15&amp;" - "&amp;'Data Diri'!C16</f>
        <v>Jl. Bukit Indah no 3B kamar A3 (Ciumbuleuit) , Bandung - Jawa Barat - 40141</v>
      </c>
      <c r="D10" s="335"/>
      <c r="E10" s="335"/>
    </row>
    <row r="11" spans="1:12" s="189" customFormat="1" ht="18.75" x14ac:dyDescent="0.3">
      <c r="A11" s="188" t="s">
        <v>75</v>
      </c>
      <c r="B11" s="188" t="s">
        <v>34</v>
      </c>
      <c r="C11" s="336" t="str">
        <f>'Data Diri'!C17</f>
        <v>089662030340</v>
      </c>
      <c r="D11" s="336"/>
      <c r="E11" s="336"/>
    </row>
    <row r="12" spans="1:12" s="189" customFormat="1" ht="18.75" x14ac:dyDescent="0.3">
      <c r="A12" s="188" t="s">
        <v>76</v>
      </c>
      <c r="B12" s="188" t="s">
        <v>34</v>
      </c>
      <c r="C12" s="336" t="str">
        <f>'Data Diri'!C18</f>
        <v>lucky.kls9b@gmail.com</v>
      </c>
      <c r="D12" s="336"/>
      <c r="E12" s="336"/>
    </row>
    <row r="13" spans="1:12" s="233" customFormat="1" ht="37.5" customHeight="1" x14ac:dyDescent="0.25">
      <c r="A13" s="232" t="s">
        <v>77</v>
      </c>
      <c r="B13" s="232" t="s">
        <v>34</v>
      </c>
      <c r="C13" s="335" t="str">
        <f>'Data Diri'!C23&amp;" , "&amp;'Data Diri'!C24&amp;" - "&amp;'Data Diri'!C25&amp;" - "&amp;'Data Diri'!C26</f>
        <v>Jl. Perintis Kemerdekaan Ruko no 4 Tasikmalaya , Tasikmalaya - Jawa Barat - 46126</v>
      </c>
      <c r="D13" s="335"/>
      <c r="E13" s="335"/>
    </row>
    <row r="14" spans="1:12" s="189" customFormat="1" ht="18.75" x14ac:dyDescent="0.3">
      <c r="A14" s="188" t="s">
        <v>78</v>
      </c>
      <c r="B14" s="188" t="s">
        <v>34</v>
      </c>
      <c r="C14" s="336" t="str">
        <f>'Data Diri'!C27</f>
        <v>(0265) 330488</v>
      </c>
      <c r="D14" s="336"/>
      <c r="E14" s="336"/>
    </row>
    <row r="15" spans="1:12" s="189" customFormat="1" ht="18.75" x14ac:dyDescent="0.3">
      <c r="A15" s="188"/>
      <c r="B15" s="188"/>
      <c r="C15" s="190"/>
      <c r="D15" s="190"/>
      <c r="E15" s="190"/>
    </row>
    <row r="16" spans="1:12" s="189" customFormat="1" ht="18.75" x14ac:dyDescent="0.3">
      <c r="A16" s="188" t="s">
        <v>79</v>
      </c>
      <c r="B16" s="188" t="s">
        <v>34</v>
      </c>
      <c r="C16" s="336" t="str">
        <f>'Data Diri'!C30&amp;" Semester"</f>
        <v>10 Semester</v>
      </c>
      <c r="D16" s="336"/>
      <c r="E16" s="336"/>
    </row>
    <row r="17" spans="1:5" s="189" customFormat="1" ht="18.75" x14ac:dyDescent="0.3">
      <c r="A17" s="188" t="s">
        <v>80</v>
      </c>
      <c r="B17" s="188" t="s">
        <v>34</v>
      </c>
      <c r="C17" s="336" t="str">
        <f>'Data Diri'!C31&amp;" Semester"</f>
        <v>0 Semester</v>
      </c>
      <c r="D17" s="336"/>
      <c r="E17" s="336"/>
    </row>
    <row r="18" spans="1:5" s="189" customFormat="1" ht="18.75" x14ac:dyDescent="0.3">
      <c r="A18" s="188"/>
      <c r="B18" s="188"/>
      <c r="C18" s="190"/>
      <c r="D18" s="190"/>
      <c r="E18" s="190"/>
    </row>
    <row r="19" spans="1:5" s="189" customFormat="1" ht="18.75" x14ac:dyDescent="0.3">
      <c r="A19" s="188" t="s">
        <v>81</v>
      </c>
      <c r="B19" s="188" t="s">
        <v>34</v>
      </c>
      <c r="C19" s="336" t="str">
        <f>'Data Diri'!C34&amp;" Semester"</f>
        <v>1 Semester</v>
      </c>
      <c r="D19" s="336"/>
      <c r="E19" s="336"/>
    </row>
    <row r="20" spans="1:5" s="189" customFormat="1" ht="18.75" x14ac:dyDescent="0.3">
      <c r="A20" s="188" t="s">
        <v>82</v>
      </c>
      <c r="B20" s="188"/>
      <c r="C20" s="190"/>
      <c r="D20" s="190"/>
      <c r="E20" s="190"/>
    </row>
    <row r="21" spans="1:5" s="233" customFormat="1" ht="75" customHeight="1" x14ac:dyDescent="0.25">
      <c r="A21" s="234" t="s">
        <v>83</v>
      </c>
      <c r="B21" s="232" t="s">
        <v>34</v>
      </c>
      <c r="C21" s="335" t="str">
        <f>'Data Diri'!C35</f>
        <v>STUDI DAN INTEGRASI WORKFLOW MENGGUNAKAN BPMS DAN SISTEM EMAIL</v>
      </c>
      <c r="D21" s="335"/>
      <c r="E21" s="335"/>
    </row>
    <row r="22" spans="1:5" s="233" customFormat="1" ht="75" customHeight="1" x14ac:dyDescent="0.25">
      <c r="A22" s="234" t="s">
        <v>84</v>
      </c>
      <c r="B22" s="232" t="s">
        <v>34</v>
      </c>
      <c r="C22" s="335" t="str">
        <f>'Data Diri'!C36</f>
        <v>WORKFLOW STUDY AND INTEGRATION USING BPMS AND EMAIL SYSTEM</v>
      </c>
      <c r="D22" s="335"/>
      <c r="E22" s="335"/>
    </row>
    <row r="23" spans="1:5" s="189" customFormat="1" ht="18.75" x14ac:dyDescent="0.3">
      <c r="A23" s="188"/>
      <c r="B23" s="188"/>
      <c r="C23" s="190"/>
      <c r="D23" s="188"/>
      <c r="E23" s="188"/>
    </row>
    <row r="24" spans="1:5" s="189" customFormat="1" ht="18.75" x14ac:dyDescent="0.3">
      <c r="A24" s="188" t="s">
        <v>85</v>
      </c>
      <c r="B24" s="188"/>
      <c r="C24" s="190"/>
      <c r="D24" s="188"/>
      <c r="E24" s="188"/>
    </row>
    <row r="25" spans="1:5" s="189" customFormat="1" ht="18.75" x14ac:dyDescent="0.3">
      <c r="A25" s="191" t="s">
        <v>86</v>
      </c>
      <c r="B25" s="188" t="s">
        <v>34</v>
      </c>
      <c r="C25" s="238" t="str">
        <f>'Data Diri'!C37</f>
        <v>Gede Karya, M.T., CISA</v>
      </c>
      <c r="D25" s="188" t="s">
        <v>87</v>
      </c>
      <c r="E25" s="192">
        <f>VLOOKUP(C25,'Data Diri'!$A$53:$B$74,2,FALSE)</f>
        <v>21894</v>
      </c>
    </row>
    <row r="26" spans="1:5" s="189" customFormat="1" ht="18.75" x14ac:dyDescent="0.3">
      <c r="A26" s="191" t="s">
        <v>88</v>
      </c>
      <c r="B26" s="188" t="s">
        <v>34</v>
      </c>
      <c r="C26" s="238" t="str">
        <f>IF('Data Diri'!C38=0,"",'Data Diri'!C38)</f>
        <v/>
      </c>
      <c r="D26" s="188" t="s">
        <v>87</v>
      </c>
      <c r="E26" s="192" t="str">
        <f>IF(C26&lt;&gt;"",VLOOKUP(C26,'Data Diri'!$A$53:$B$74,2,FALSE),"")</f>
        <v/>
      </c>
    </row>
    <row r="27" spans="1:5" s="189" customFormat="1" ht="18.75" x14ac:dyDescent="0.3">
      <c r="A27" s="188"/>
      <c r="B27" s="188"/>
      <c r="C27" s="190"/>
      <c r="D27" s="188"/>
      <c r="E27" s="188"/>
    </row>
    <row r="28" spans="1:5" s="189" customFormat="1" ht="18.75" x14ac:dyDescent="0.3">
      <c r="A28" s="188" t="s">
        <v>89</v>
      </c>
      <c r="B28" s="188" t="s">
        <v>34</v>
      </c>
      <c r="C28" s="238" t="str">
        <f>'Data Diri'!E39</f>
        <v>30 Mei 2017</v>
      </c>
      <c r="D28" s="188"/>
      <c r="E28" s="188"/>
    </row>
    <row r="29" spans="1:5" s="189" customFormat="1" ht="18.75" x14ac:dyDescent="0.3">
      <c r="A29" s="188" t="s">
        <v>90</v>
      </c>
      <c r="B29" s="188"/>
      <c r="C29" s="190"/>
      <c r="D29" s="188"/>
      <c r="E29" s="188"/>
    </row>
    <row r="30" spans="1:5" s="189" customFormat="1" ht="18.75" x14ac:dyDescent="0.3">
      <c r="A30" s="188">
        <v>1</v>
      </c>
      <c r="B30" s="188" t="s">
        <v>34</v>
      </c>
      <c r="C30" s="238" t="str">
        <f>'Data Diri'!C40</f>
        <v>Dr. Veronica Sri Moertini</v>
      </c>
      <c r="D30" s="188" t="s">
        <v>87</v>
      </c>
      <c r="E30" s="192">
        <f>VLOOKUP(C30,'Data Diri'!$A$53:$B$74,2,FALSE)</f>
        <v>21991</v>
      </c>
    </row>
    <row r="31" spans="1:5" s="189" customFormat="1" ht="18.75" x14ac:dyDescent="0.3">
      <c r="A31" s="188">
        <v>2</v>
      </c>
      <c r="B31" s="188" t="s">
        <v>34</v>
      </c>
      <c r="C31" s="238" t="str">
        <f>'Data Diri'!C41</f>
        <v>Rosa De Lima, M.Kom.</v>
      </c>
      <c r="D31" s="188" t="s">
        <v>87</v>
      </c>
      <c r="E31" s="192">
        <f>VLOOKUP(C31,'Data Diri'!$A$53:$B$74,2,FALSE)</f>
        <v>11271</v>
      </c>
    </row>
  </sheetData>
  <sheetProtection password="882B" sheet="1" objects="1" scenarios="1" selectLockedCells="1" selectUnlockedCells="1"/>
  <mergeCells count="16">
    <mergeCell ref="A1:E1"/>
    <mergeCell ref="A2:E2"/>
    <mergeCell ref="C21:E21"/>
    <mergeCell ref="C22:E22"/>
    <mergeCell ref="C7:E7"/>
    <mergeCell ref="C9:E9"/>
    <mergeCell ref="C10:E10"/>
    <mergeCell ref="C11:E11"/>
    <mergeCell ref="C12:E12"/>
    <mergeCell ref="C13:E13"/>
    <mergeCell ref="A4:E4"/>
    <mergeCell ref="C14:E14"/>
    <mergeCell ref="C16:E16"/>
    <mergeCell ref="C17:E17"/>
    <mergeCell ref="C19:E19"/>
    <mergeCell ref="C6:E6"/>
  </mergeCells>
  <pageMargins left="0.5" right="0.3" top="0.25" bottom="0" header="0.25"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Q168"/>
  <sheetViews>
    <sheetView workbookViewId="0">
      <selection activeCell="M88" sqref="M88"/>
    </sheetView>
  </sheetViews>
  <sheetFormatPr defaultColWidth="9.140625" defaultRowHeight="11.25" x14ac:dyDescent="0.2"/>
  <cols>
    <col min="1" max="1" width="5.85546875" style="4" customWidth="1"/>
    <col min="2" max="2" width="6.85546875" style="4" customWidth="1"/>
    <col min="3" max="3" width="2.7109375" style="46" customWidth="1"/>
    <col min="4" max="4" width="29.140625" style="4" bestFit="1" customWidth="1"/>
    <col min="5" max="5" width="4.5703125" style="4" bestFit="1" customWidth="1"/>
    <col min="6" max="6" width="3.42578125" style="4" customWidth="1"/>
    <col min="7" max="7" width="6.85546875" style="4" customWidth="1"/>
    <col min="8" max="8" width="2.85546875" style="46" customWidth="1"/>
    <col min="9" max="9" width="5" style="4" customWidth="1"/>
    <col min="10" max="15" width="4.42578125" style="4" customWidth="1"/>
    <col min="16" max="16" width="2" style="4" bestFit="1" customWidth="1"/>
    <col min="17" max="16384" width="9.140625" style="4"/>
  </cols>
  <sheetData>
    <row r="1" spans="1:17" ht="18" x14ac:dyDescent="0.25">
      <c r="A1" s="343" t="s">
        <v>91</v>
      </c>
      <c r="B1" s="343"/>
      <c r="C1" s="344"/>
      <c r="D1" s="343"/>
      <c r="E1" s="343"/>
      <c r="F1" s="343"/>
      <c r="G1" s="343"/>
      <c r="H1" s="343"/>
      <c r="I1" s="343"/>
      <c r="J1" s="343"/>
      <c r="K1" s="343"/>
      <c r="L1" s="343"/>
      <c r="M1" s="343"/>
      <c r="N1" s="343"/>
      <c r="O1" s="343"/>
      <c r="P1" s="343"/>
    </row>
    <row r="2" spans="1:17" ht="18" x14ac:dyDescent="0.25">
      <c r="A2" s="343" t="s">
        <v>92</v>
      </c>
      <c r="B2" s="343"/>
      <c r="C2" s="344"/>
      <c r="D2" s="343"/>
      <c r="E2" s="343"/>
      <c r="F2" s="343"/>
      <c r="G2" s="343"/>
      <c r="H2" s="343"/>
      <c r="I2" s="343"/>
      <c r="J2" s="343"/>
      <c r="K2" s="343"/>
      <c r="L2" s="343"/>
      <c r="M2" s="343"/>
      <c r="N2" s="343"/>
      <c r="O2" s="343"/>
      <c r="P2" s="343"/>
    </row>
    <row r="3" spans="1:17" ht="15.75" x14ac:dyDescent="0.25">
      <c r="A3" s="67"/>
      <c r="B3" s="67"/>
      <c r="C3" s="71"/>
      <c r="D3" s="67"/>
      <c r="E3" s="67"/>
      <c r="F3" s="67"/>
      <c r="G3" s="67"/>
      <c r="H3" s="67"/>
      <c r="I3" s="67"/>
      <c r="J3" s="67"/>
      <c r="K3" s="67"/>
      <c r="L3" s="67"/>
      <c r="M3" s="67"/>
      <c r="N3" s="67"/>
      <c r="O3" s="67"/>
      <c r="P3" s="67"/>
    </row>
    <row r="4" spans="1:17" ht="12.75" x14ac:dyDescent="0.2">
      <c r="B4" s="239" t="s">
        <v>33</v>
      </c>
      <c r="C4" s="239" t="s">
        <v>34</v>
      </c>
      <c r="D4" s="345" t="str">
        <f>'Data Diri'!C10</f>
        <v>LUCKY SENJAYA DARMAWAN</v>
      </c>
      <c r="E4" s="345"/>
      <c r="F4" s="345"/>
      <c r="G4" s="345"/>
      <c r="H4" s="345"/>
      <c r="I4" s="345"/>
      <c r="J4" s="345"/>
      <c r="K4" s="70" t="s">
        <v>35</v>
      </c>
      <c r="L4" s="69" t="s">
        <v>34</v>
      </c>
      <c r="M4" s="345">
        <f>'Data Diri'!C9</f>
        <v>2012730009</v>
      </c>
      <c r="N4" s="345"/>
      <c r="O4" s="345"/>
      <c r="P4" s="345"/>
      <c r="Q4" s="68"/>
    </row>
    <row r="6" spans="1:17" ht="12" x14ac:dyDescent="0.2">
      <c r="B6" s="64" t="s">
        <v>93</v>
      </c>
      <c r="C6" s="240"/>
      <c r="H6" s="240"/>
    </row>
    <row r="7" spans="1:17" ht="12" x14ac:dyDescent="0.2">
      <c r="B7" s="63" t="s">
        <v>94</v>
      </c>
      <c r="C7" s="240"/>
      <c r="E7" s="66" t="s">
        <v>95</v>
      </c>
      <c r="F7" s="72" t="str">
        <f>IF(OR(E7&lt;&gt;"",P7&lt;&gt;""),"OK","Uncheck box ini")</f>
        <v>OK</v>
      </c>
      <c r="G7" s="63" t="s">
        <v>96</v>
      </c>
      <c r="H7" s="240"/>
    </row>
    <row r="8" spans="1:17" x14ac:dyDescent="0.2">
      <c r="B8" s="4" t="str">
        <f ca="1">'Nilai Kurikulum 2013'!X4</f>
        <v>AIF191</v>
      </c>
      <c r="C8" s="240">
        <f ca="1">IF(B8&lt;&gt;"",VLOOKUP(B8,'Nilai Kurikulum 2013'!$E$4:$O$176,2,FALSE),"")</f>
        <v>3</v>
      </c>
      <c r="D8" s="4" t="str">
        <f ca="1">IF(B8&lt;&gt;"",VLOOKUP(B8,'Nilai Kurikulum 2013'!$E$4:$O$176,5,FALSE),"")</f>
        <v>Pemrograman Berorientasi Objek</v>
      </c>
      <c r="E8" s="4" t="str">
        <f ca="1">IF(B8&lt;&gt;"",VLOOKUP(B8,'Nilai Kurikulum 2013'!$E$4:$P$176,12,FALSE),"")</f>
        <v>B</v>
      </c>
      <c r="F8" s="66" t="str">
        <f ca="1">IF(OR(E8&lt;&gt;"",P8&lt;&gt;""),"OK","Uncheck box ini")</f>
        <v>OK</v>
      </c>
      <c r="G8" s="4" t="str">
        <f ca="1">'Nilai Kurikulum 2013'!X11</f>
        <v>AIF102</v>
      </c>
      <c r="H8" s="240">
        <f ca="1">IF(G8&lt;&gt;"",VLOOKUP(G8,'Nilai Kurikulum 2013'!$E$4:$O$176,2,FALSE),"")</f>
        <v>4</v>
      </c>
      <c r="I8" s="339" t="str">
        <f ca="1">IF(G8&lt;&gt;"",VLOOKUP(G8,'Nilai Kurikulum 2013'!$E$4:$O$176,5,FALSE),"")</f>
        <v>Algoritma dan Struktur Data</v>
      </c>
      <c r="J8" s="339"/>
      <c r="K8" s="339"/>
      <c r="L8" s="339"/>
      <c r="M8" s="339"/>
      <c r="N8" s="339"/>
      <c r="O8" s="339"/>
      <c r="P8" s="4" t="str">
        <f ca="1">IF(G8&lt;&gt;"",VLOOKUP(G8,'Nilai Kurikulum 2013'!$E$4:$P$176,12,FALSE),"")</f>
        <v>A</v>
      </c>
    </row>
    <row r="9" spans="1:17" x14ac:dyDescent="0.2">
      <c r="B9" s="4" t="s">
        <v>97</v>
      </c>
      <c r="C9" s="240">
        <f>VLOOKUP(B9,'Nilai Kurikulum 2013'!$E$4:$O$176,2,FALSE)</f>
        <v>3</v>
      </c>
      <c r="D9" s="4" t="str">
        <f>VLOOKUP(B9,'Nilai Kurikulum 2013'!$E$4:$O$176,5,FALSE)</f>
        <v>Matematika Diskret</v>
      </c>
      <c r="E9" s="4" t="str">
        <f ca="1">VLOOKUP(B9,'Nilai Kurikulum 2013'!$E$4:$P$176,12,FALSE)</f>
        <v>B</v>
      </c>
      <c r="F9" s="66" t="str">
        <f t="shared" ref="F9:F72" ca="1" si="0">IF(OR(E9&lt;&gt;"",P9&lt;&gt;""),"OK","Uncheck box ini")</f>
        <v>OK</v>
      </c>
      <c r="G9" s="4" t="s">
        <v>98</v>
      </c>
      <c r="H9" s="240">
        <f>VLOOKUP(G9,'Nilai Kurikulum 2013'!$E$4:$O$176,2,FALSE)</f>
        <v>3</v>
      </c>
      <c r="I9" s="339" t="str">
        <f>VLOOKUP(G9,'Nilai Kurikulum 2013'!$E$4:$O$176,5,FALSE)</f>
        <v>Logika Informatika</v>
      </c>
      <c r="J9" s="339"/>
      <c r="K9" s="339"/>
      <c r="L9" s="339"/>
      <c r="M9" s="339"/>
      <c r="N9" s="339"/>
      <c r="O9" s="339"/>
      <c r="P9" s="4" t="str">
        <f ca="1">VLOOKUP(G9,'Nilai Kurikulum 2013'!$E$4:$P$176,12,FALSE)</f>
        <v>B</v>
      </c>
    </row>
    <row r="10" spans="1:17" x14ac:dyDescent="0.2">
      <c r="B10" s="4" t="s">
        <v>99</v>
      </c>
      <c r="C10" s="240">
        <f>VLOOKUP(B10,'Nilai Kurikulum 2013'!$E$4:$O$176,2,FALSE)</f>
        <v>3</v>
      </c>
      <c r="D10" s="4" t="str">
        <f>VLOOKUP(B10,'Nilai Kurikulum 2013'!$E$4:$O$176,5,FALSE)</f>
        <v>Pengantar Informatika</v>
      </c>
      <c r="E10" s="4" t="str">
        <f ca="1">VLOOKUP(B10,'Nilai Kurikulum 2013'!$E$4:$P$176,12,FALSE)</f>
        <v>B</v>
      </c>
      <c r="F10" s="66" t="str">
        <f t="shared" ca="1" si="0"/>
        <v>OK</v>
      </c>
      <c r="G10" s="4" t="s">
        <v>100</v>
      </c>
      <c r="H10" s="240">
        <f>VLOOKUP(G10,'Nilai Kurikulum 2013'!$E$4:$O$176,2,FALSE)</f>
        <v>3</v>
      </c>
      <c r="I10" s="339" t="str">
        <f>VLOOKUP(G10,'Nilai Kurikulum 2013'!$E$4:$O$176,5,FALSE)</f>
        <v>Sistem Dijital</v>
      </c>
      <c r="J10" s="339"/>
      <c r="K10" s="339"/>
      <c r="L10" s="339"/>
      <c r="M10" s="339"/>
      <c r="N10" s="339"/>
      <c r="O10" s="339"/>
      <c r="P10" s="4" t="str">
        <f ca="1">VLOOKUP(G10,'Nilai Kurikulum 2013'!$E$4:$P$176,12,FALSE)</f>
        <v>C</v>
      </c>
    </row>
    <row r="11" spans="1:17" x14ac:dyDescent="0.2">
      <c r="B11" s="4" t="s">
        <v>101</v>
      </c>
      <c r="C11" s="240">
        <f>VLOOKUP(B11,'Nilai Kurikulum 2013'!$E$4:$O$176,2,FALSE)</f>
        <v>2</v>
      </c>
      <c r="D11" s="4" t="str">
        <f>VLOOKUP(B11,'Nilai Kurikulum 2013'!$E$4:$O$176,5,FALSE)</f>
        <v>Pancasila</v>
      </c>
      <c r="E11" s="4" t="str">
        <f ca="1">VLOOKUP(B11,'Nilai Kurikulum 2013'!$E$4:$P$176,12,FALSE)</f>
        <v>A</v>
      </c>
      <c r="F11" s="66" t="str">
        <f t="shared" ca="1" si="0"/>
        <v>OK</v>
      </c>
      <c r="G11" s="4" t="str">
        <f ca="1">'Nilai Kurikulum 2013'!X15</f>
        <v>AMS100</v>
      </c>
      <c r="H11" s="240">
        <f ca="1">IF(G11&lt;&gt;"",VLOOKUP(G11,'Nilai Kurikulum 2013'!$E$4:$O$176,2,FALSE),"")</f>
        <v>4</v>
      </c>
      <c r="I11" s="339" t="str">
        <f ca="1">IF(G11&lt;&gt;"",VLOOKUP(G11,'Nilai Kurikulum 2013'!$E$4:$O$176,5,FALSE),"")</f>
        <v>Matematika Informatika</v>
      </c>
      <c r="J11" s="339"/>
      <c r="K11" s="339"/>
      <c r="L11" s="339"/>
      <c r="M11" s="339"/>
      <c r="N11" s="339"/>
      <c r="O11" s="339"/>
      <c r="P11" s="4" t="str">
        <f ca="1">IF(G11&lt;&gt;"",VLOOKUP(G11,'Nilai Kurikulum 2013'!$E$4:$P$176,12,FALSE),"")</f>
        <v>A</v>
      </c>
    </row>
    <row r="12" spans="1:17" x14ac:dyDescent="0.2">
      <c r="B12" s="4" t="s">
        <v>102</v>
      </c>
      <c r="C12" s="240">
        <f>VLOOKUP(B12,'Nilai Kurikulum 2013'!$E$4:$O$176,2,FALSE)</f>
        <v>2</v>
      </c>
      <c r="D12" s="4" t="str">
        <f>VLOOKUP(B12,'Nilai Kurikulum 2013'!$E$4:$O$176,5,FALSE)</f>
        <v>Etika</v>
      </c>
      <c r="E12" s="4" t="str">
        <f ca="1">VLOOKUP(B12,'Nilai Kurikulum 2013'!$E$4:$P$176,12,FALSE)</f>
        <v>B</v>
      </c>
      <c r="F12" s="66" t="str">
        <f t="shared" ca="1" si="0"/>
        <v>OK</v>
      </c>
      <c r="G12" s="4" t="s">
        <v>103</v>
      </c>
      <c r="H12" s="240">
        <f>VLOOKUP(G12,'Nilai Kurikulum 2013'!$E$4:$O$176,2,FALSE)</f>
        <v>2</v>
      </c>
      <c r="I12" s="339" t="str">
        <f>VLOOKUP(G12,'Nilai Kurikulum 2013'!$E$4:$O$176,5,FALSE)</f>
        <v>Bahasa Indonesia</v>
      </c>
      <c r="J12" s="339"/>
      <c r="K12" s="339"/>
      <c r="L12" s="339"/>
      <c r="M12" s="339"/>
      <c r="N12" s="339"/>
      <c r="O12" s="339"/>
      <c r="P12" s="4" t="str">
        <f ca="1">VLOOKUP(G12,'Nilai Kurikulum 2013'!$E$4:$P$176,12,FALSE)</f>
        <v>B</v>
      </c>
    </row>
    <row r="13" spans="1:17" x14ac:dyDescent="0.2">
      <c r="B13" s="4" t="s">
        <v>104</v>
      </c>
      <c r="C13" s="240">
        <f>VLOOKUP(B13,'Nilai Kurikulum 2013'!$E$4:$O$176,2,FALSE)</f>
        <v>2</v>
      </c>
      <c r="D13" s="4" t="str">
        <f>VLOOKUP(B13,'Nilai Kurikulum 2013'!$E$4:$O$176,5,FALSE)</f>
        <v>Bahasa Inggris</v>
      </c>
      <c r="E13" s="4" t="str">
        <f ca="1">VLOOKUP(B13,'Nilai Kurikulum 2013'!$E$4:$P$176,12,FALSE)</f>
        <v>A</v>
      </c>
      <c r="F13" s="66" t="str">
        <f t="shared" ca="1" si="0"/>
        <v>OK</v>
      </c>
      <c r="G13" s="4" t="s">
        <v>105</v>
      </c>
      <c r="H13" s="240">
        <f>VLOOKUP(G13,'Nilai Kurikulum 2013'!$E$4:$O$176,2,FALSE)</f>
        <v>2</v>
      </c>
      <c r="I13" s="339" t="str">
        <f>VLOOKUP(G13,'Nilai Kurikulum 2013'!$E$4:$O$176,5,FALSE)</f>
        <v>Estetika</v>
      </c>
      <c r="J13" s="339"/>
      <c r="K13" s="339"/>
      <c r="L13" s="339"/>
      <c r="M13" s="339"/>
      <c r="N13" s="339"/>
      <c r="O13" s="339"/>
      <c r="P13" s="4" t="str">
        <f ca="1">VLOOKUP(G13,'Nilai Kurikulum 2013'!$E$4:$P$176,12,FALSE)</f>
        <v>B</v>
      </c>
    </row>
    <row r="14" spans="1:17" x14ac:dyDescent="0.2">
      <c r="C14" s="240"/>
      <c r="E14" s="66" t="s">
        <v>95</v>
      </c>
      <c r="F14" s="66" t="str">
        <f t="shared" si="0"/>
        <v>OK</v>
      </c>
      <c r="H14" s="240"/>
    </row>
    <row r="15" spans="1:17" ht="12" x14ac:dyDescent="0.2">
      <c r="B15" s="63" t="s">
        <v>106</v>
      </c>
      <c r="C15" s="240"/>
      <c r="E15" s="66" t="s">
        <v>95</v>
      </c>
      <c r="F15" s="66" t="str">
        <f t="shared" si="0"/>
        <v>OK</v>
      </c>
      <c r="G15" s="63" t="s">
        <v>107</v>
      </c>
      <c r="H15" s="240"/>
    </row>
    <row r="16" spans="1:17" x14ac:dyDescent="0.2">
      <c r="B16" s="4" t="str">
        <f ca="1">'Nilai Kurikulum 2013'!X19</f>
        <v>AIF201</v>
      </c>
      <c r="C16" s="240">
        <f ca="1">IF(B16&lt;&gt;"",VLOOKUP(B16,'Nilai Kurikulum 2013'!$E$4:$O$176,2,FALSE),"")</f>
        <v>4</v>
      </c>
      <c r="D16" s="4" t="str">
        <f ca="1">IF(B16&lt;&gt;"",VLOOKUP(B16,'Nilai Kurikulum 2013'!$E$4:$O$176,5,FALSE),"")</f>
        <v>Analisis dan Desain Berorientasi Objek</v>
      </c>
      <c r="E16" s="4" t="str">
        <f ca="1">IF(B16&lt;&gt;"",VLOOKUP(B16,'Nilai Kurikulum 2013'!$E$4:$P$176,12,FALSE),"")</f>
        <v>B</v>
      </c>
      <c r="F16" s="66" t="str">
        <f t="shared" ca="1" si="0"/>
        <v>OK</v>
      </c>
      <c r="G16" s="4" t="str">
        <f ca="1">'Nilai Kurikulum 2013'!X26</f>
        <v>AIF202</v>
      </c>
      <c r="H16" s="240">
        <f ca="1">IF(G16&lt;&gt;"",VLOOKUP(G16,'Nilai Kurikulum 2013'!$E$4:$O$176,2,FALSE),"")</f>
        <v>4</v>
      </c>
      <c r="I16" s="339" t="str">
        <f ca="1">IF(G16&lt;&gt;"",VLOOKUP(G16,'Nilai Kurikulum 2013'!$E$4:$O$176,5,FALSE),"")</f>
        <v>Desain dan Analisis Algoritma</v>
      </c>
      <c r="J16" s="339"/>
      <c r="K16" s="339"/>
      <c r="L16" s="339"/>
      <c r="M16" s="339"/>
      <c r="N16" s="339"/>
      <c r="O16" s="339"/>
      <c r="P16" s="4" t="str">
        <f ca="1">IF(G16&lt;&gt;"",VLOOKUP(G16,'Nilai Kurikulum 2013'!$E$4:$P$176,12,FALSE),"")</f>
        <v>B</v>
      </c>
    </row>
    <row r="17" spans="2:16" x14ac:dyDescent="0.2">
      <c r="B17" s="4" t="str">
        <f ca="1">'Nilai Kurikulum 2013'!X20</f>
        <v>AIF203</v>
      </c>
      <c r="C17" s="240">
        <f ca="1">IF(B17&lt;&gt;"",VLOOKUP(B17,'Nilai Kurikulum 2013'!$E$4:$O$176,2,FALSE),"")</f>
        <v>4</v>
      </c>
      <c r="D17" s="4" t="str">
        <f ca="1">IF(B17&lt;&gt;"",VLOOKUP(B17,'Nilai Kurikulum 2013'!$E$4:$O$176,5,FALSE),"")</f>
        <v>Struktur Diskret</v>
      </c>
      <c r="E17" s="4" t="str">
        <f ca="1">IF(B17&lt;&gt;"",VLOOKUP(B17,'Nilai Kurikulum 2013'!$E$4:$P$176,12,FALSE),"")</f>
        <v>A</v>
      </c>
      <c r="F17" s="66" t="str">
        <f t="shared" ca="1" si="0"/>
        <v>OK</v>
      </c>
      <c r="G17" s="4" t="str">
        <f ca="1">'Nilai Kurikulum 2013'!X28</f>
        <v>AIF204</v>
      </c>
      <c r="H17" s="240">
        <f ca="1">IF(G17&lt;&gt;"",VLOOKUP(G17,'Nilai Kurikulum 2013'!$E$4:$O$176,2,FALSE),"")</f>
        <v>4</v>
      </c>
      <c r="I17" s="339" t="str">
        <f ca="1">IF(G17&lt;&gt;"",VLOOKUP(G17,'Nilai Kurikulum 2013'!$E$4:$O$176,5,FALSE),"")</f>
        <v>Manajemen Informasi dan Basisdata</v>
      </c>
      <c r="J17" s="339"/>
      <c r="K17" s="339"/>
      <c r="L17" s="339"/>
      <c r="M17" s="339"/>
      <c r="N17" s="339"/>
      <c r="O17" s="339"/>
      <c r="P17" s="4" t="str">
        <f ca="1">IF(G17&lt;&gt;"",VLOOKUP(G17,'Nilai Kurikulum 2013'!$E$4:$P$176,12,FALSE),"")</f>
        <v>D</v>
      </c>
    </row>
    <row r="18" spans="2:16" x14ac:dyDescent="0.2">
      <c r="B18" s="4" t="s">
        <v>108</v>
      </c>
      <c r="C18" s="240">
        <f>VLOOKUP(B18,'Nilai Kurikulum 2013'!$E$4:$O$176,2,FALSE)</f>
        <v>3</v>
      </c>
      <c r="D18" s="4" t="str">
        <f>VLOOKUP(B18,'Nilai Kurikulum 2013'!$E$4:$O$176,5,FALSE)</f>
        <v>Arsitektur dan Organisasi Komputer</v>
      </c>
      <c r="E18" s="4" t="str">
        <f ca="1">VLOOKUP(B18,'Nilai Kurikulum 2013'!$E$4:$P$176,12,FALSE)</f>
        <v>A</v>
      </c>
      <c r="F18" s="66" t="str">
        <f t="shared" ca="1" si="0"/>
        <v>OK</v>
      </c>
      <c r="G18" s="4" t="s">
        <v>109</v>
      </c>
      <c r="H18" s="240">
        <f>VLOOKUP(G18,'Nilai Kurikulum 2013'!$E$4:$O$176,2,FALSE)</f>
        <v>4</v>
      </c>
      <c r="I18" s="339" t="str">
        <f>VLOOKUP(G18,'Nilai Kurikulum 2013'!$E$4:$O$176,5,FALSE)</f>
        <v>Sistem Operasi</v>
      </c>
      <c r="J18" s="339"/>
      <c r="K18" s="339"/>
      <c r="L18" s="339"/>
      <c r="M18" s="339"/>
      <c r="N18" s="339"/>
      <c r="O18" s="339"/>
      <c r="P18" s="4" t="str">
        <f ca="1">VLOOKUP(G18,'Nilai Kurikulum 2013'!$E$4:$P$176,12,FALSE)</f>
        <v>A</v>
      </c>
    </row>
    <row r="19" spans="2:16" x14ac:dyDescent="0.2">
      <c r="B19" s="4" t="s">
        <v>110</v>
      </c>
      <c r="C19" s="240">
        <f>VLOOKUP(B19,'Nilai Kurikulum 2013'!$E$4:$O$176,2,FALSE)</f>
        <v>3</v>
      </c>
      <c r="D19" s="4" t="str">
        <f>VLOOKUP(B19,'Nilai Kurikulum 2013'!$E$4:$O$176,5,FALSE)</f>
        <v>Probabilitas dan Statistika</v>
      </c>
      <c r="E19" s="4" t="str">
        <f ca="1">VLOOKUP(B19,'Nilai Kurikulum 2013'!$E$4:$P$176,12,FALSE)</f>
        <v>A</v>
      </c>
      <c r="F19" s="66" t="str">
        <f t="shared" ca="1" si="0"/>
        <v>OK</v>
      </c>
      <c r="G19" s="4" t="str">
        <f ca="1">'Nilai Kurikulum 2013'!X31</f>
        <v>AIF208</v>
      </c>
      <c r="H19" s="240">
        <f ca="1">IF(G19&lt;&gt;"",VLOOKUP(G19,'Nilai Kurikulum 2013'!$E$4:$O$176,2,FALSE),"")</f>
        <v>4</v>
      </c>
      <c r="I19" s="339" t="str">
        <f ca="1">IF(G19&lt;&gt;"",VLOOKUP(G19,'Nilai Kurikulum 2013'!$E$4:$O$176,5,FALSE),"")</f>
        <v>Rekayasa Perangkat Lunak</v>
      </c>
      <c r="J19" s="339"/>
      <c r="K19" s="339"/>
      <c r="L19" s="339"/>
      <c r="M19" s="339"/>
      <c r="N19" s="339"/>
      <c r="O19" s="339"/>
      <c r="P19" s="4" t="str">
        <f ca="1">IF(G19&lt;&gt;"",VLOOKUP(G19,'Nilai Kurikulum 2013'!$E$4:$P$176,12,FALSE),"")</f>
        <v>C</v>
      </c>
    </row>
    <row r="20" spans="2:16" x14ac:dyDescent="0.2">
      <c r="B20" s="4" t="str">
        <f ca="1">'Nilai Kurikulum 2013'!X23</f>
        <v>MKU004</v>
      </c>
      <c r="C20" s="240">
        <f ca="1">IF(B20&lt;&gt;"",VLOOKUP(B20,'Nilai Kurikulum 2013'!$E$4:$O$176,2,FALSE),"")</f>
        <v>2</v>
      </c>
      <c r="D20" s="4" t="str">
        <f ca="1">IF(B20&lt;&gt;"",VLOOKUP(B20,'Nilai Kurikulum 2013'!$E$4:$O$176,5,FALSE),"")</f>
        <v>Fenomenologi Agama</v>
      </c>
      <c r="E20" s="4" t="str">
        <f ca="1">IF(B20&lt;&gt;"",VLOOKUP(B20,'Nilai Kurikulum 2013'!$E$4:$P$176,12,FALSE),"")</f>
        <v>A</v>
      </c>
      <c r="F20" s="66" t="str">
        <f t="shared" ca="1" si="0"/>
        <v>OK</v>
      </c>
      <c r="G20" s="4" t="str">
        <f ca="1">'Nilai Kurikulum 2013'!X32</f>
        <v>AIF210</v>
      </c>
      <c r="H20" s="240">
        <f ca="1">IF(G20&lt;&gt;"",VLOOKUP(G20,'Nilai Kurikulum 2013'!$E$4:$O$176,2,FALSE),"")</f>
        <v>2</v>
      </c>
      <c r="I20" s="339" t="str">
        <f ca="1">IF(G20&lt;&gt;"",VLOOKUP(G20,'Nilai Kurikulum 2013'!$E$4:$O$176,5,FALSE),"")</f>
        <v>Interaksi Manusia Komputer</v>
      </c>
      <c r="J20" s="339"/>
      <c r="K20" s="339"/>
      <c r="L20" s="339"/>
      <c r="M20" s="339"/>
      <c r="N20" s="339"/>
      <c r="O20" s="339"/>
      <c r="P20" s="4" t="str">
        <f ca="1">IF(G20&lt;&gt;"",VLOOKUP(G20,'Nilai Kurikulum 2013'!$E$4:$P$176,12,FALSE),"")</f>
        <v>B</v>
      </c>
    </row>
    <row r="21" spans="2:16" x14ac:dyDescent="0.2">
      <c r="B21" s="4" t="s">
        <v>111</v>
      </c>
      <c r="C21" s="240">
        <f>VLOOKUP(B21,'Nilai Kurikulum 2013'!$E$4:$O$176,2,FALSE)</f>
        <v>2</v>
      </c>
      <c r="D21" s="4" t="str">
        <f>VLOOKUP(B21,'Nilai Kurikulum 2013'!$E$4:$O$176,5,FALSE)</f>
        <v>Logika</v>
      </c>
      <c r="E21" s="4" t="str">
        <f ca="1">VLOOKUP(B21,'Nilai Kurikulum 2013'!$E$4:$P$176,12,FALSE)</f>
        <v>A</v>
      </c>
      <c r="F21" s="66" t="str">
        <f t="shared" ca="1" si="0"/>
        <v>OK</v>
      </c>
      <c r="H21" s="240"/>
    </row>
    <row r="22" spans="2:16" x14ac:dyDescent="0.2">
      <c r="C22" s="240"/>
      <c r="E22" s="66" t="s">
        <v>95</v>
      </c>
      <c r="F22" s="66" t="str">
        <f t="shared" si="0"/>
        <v>OK</v>
      </c>
      <c r="H22" s="240"/>
    </row>
    <row r="23" spans="2:16" ht="12" x14ac:dyDescent="0.2">
      <c r="B23" s="63" t="s">
        <v>112</v>
      </c>
      <c r="C23" s="240"/>
      <c r="E23" s="66" t="s">
        <v>95</v>
      </c>
      <c r="F23" s="66" t="str">
        <f t="shared" si="0"/>
        <v>OK</v>
      </c>
      <c r="G23" s="63" t="s">
        <v>113</v>
      </c>
      <c r="H23" s="240"/>
    </row>
    <row r="24" spans="2:16" x14ac:dyDescent="0.2">
      <c r="B24" s="4" t="str">
        <f ca="1">'Nilai Kurikulum 2013'!X33</f>
        <v>AIF301</v>
      </c>
      <c r="C24" s="240">
        <f ca="1">IF(B24&lt;&gt;"",VLOOKUP(B24,'Nilai Kurikulum 2013'!$E$4:$O$176,2,FALSE),"")</f>
        <v>3</v>
      </c>
      <c r="D24" s="4" t="str">
        <f ca="1">IF(B24&lt;&gt;"",VLOOKUP(B24,'Nilai Kurikulum 2013'!$E$4:$O$176,5,FALSE),"")</f>
        <v xml:space="preserve">Pengantar Sistem Cerdas </v>
      </c>
      <c r="E24" s="4" t="str">
        <f ca="1">IF(B24&lt;&gt;"",VLOOKUP(B24,'Nilai Kurikulum 2013'!$E$4:$P$176,12,FALSE),"")</f>
        <v>D</v>
      </c>
      <c r="F24" s="66" t="str">
        <f t="shared" ca="1" si="0"/>
        <v>OK</v>
      </c>
      <c r="G24" s="4" t="s">
        <v>114</v>
      </c>
      <c r="H24" s="240">
        <f>VLOOKUP(G24,'Nilai Kurikulum 2013'!$E$4:$O$176,2,FALSE)</f>
        <v>2</v>
      </c>
      <c r="I24" s="339" t="str">
        <f>VLOOKUP(G24,'Nilai Kurikulum 2013'!$E$4:$O$176,5,FALSE)</f>
        <v xml:space="preserve">Penulisan Ilmiah </v>
      </c>
      <c r="J24" s="339"/>
      <c r="K24" s="339"/>
      <c r="L24" s="339"/>
      <c r="M24" s="339"/>
      <c r="N24" s="339"/>
      <c r="O24" s="339"/>
      <c r="P24" s="4" t="str">
        <f ca="1">VLOOKUP(G24,'Nilai Kurikulum 2013'!$E$4:$P$176,12,FALSE)</f>
        <v>B</v>
      </c>
    </row>
    <row r="25" spans="2:16" x14ac:dyDescent="0.2">
      <c r="B25" s="4" t="s">
        <v>115</v>
      </c>
      <c r="C25" s="240">
        <f>VLOOKUP(B25,'Nilai Kurikulum 2013'!$E$4:$O$176,2,FALSE)</f>
        <v>3</v>
      </c>
      <c r="D25" s="4" t="str">
        <f>VLOOKUP(B25,'Nilai Kurikulum 2013'!$E$4:$O$176,5,FALSE)</f>
        <v xml:space="preserve">Pengantar Sistem Informasi </v>
      </c>
      <c r="E25" s="4" t="str">
        <f ca="1">VLOOKUP(B25,'Nilai Kurikulum 2013'!$E$4:$P$176,12,FALSE)</f>
        <v>A</v>
      </c>
      <c r="F25" s="66" t="str">
        <f t="shared" ca="1" si="0"/>
        <v>OK</v>
      </c>
      <c r="G25" s="4" t="str">
        <f ca="1">'Nilai Kurikulum 2013'!X40</f>
        <v>AIF306</v>
      </c>
      <c r="H25" s="240">
        <f ca="1">IF(G25&lt;&gt;"",VLOOKUP(G25,'Nilai Kurikulum 2013'!$E$4:$O$176,2,FALSE),"")</f>
        <v>6</v>
      </c>
      <c r="I25" s="339" t="str">
        <f ca="1">IF(G25&lt;&gt;"",VLOOKUP(G25,'Nilai Kurikulum 2013'!$E$4:$O$176,5,FALSE),"")</f>
        <v>Proyek Informatika</v>
      </c>
      <c r="J25" s="339"/>
      <c r="K25" s="339"/>
      <c r="L25" s="339"/>
      <c r="M25" s="339"/>
      <c r="N25" s="339"/>
      <c r="O25" s="339"/>
      <c r="P25" s="4" t="str">
        <f ca="1">IF(G25&lt;&gt;"",VLOOKUP(G25,'Nilai Kurikulum 2013'!$E$4:$P$176,12,FALSE),"")</f>
        <v>A</v>
      </c>
    </row>
    <row r="26" spans="2:16" x14ac:dyDescent="0.2">
      <c r="B26" s="4" t="s">
        <v>116</v>
      </c>
      <c r="C26" s="240">
        <f>VLOOKUP(B26,'Nilai Kurikulum 2013'!$E$4:$O$176,2,FALSE)</f>
        <v>4</v>
      </c>
      <c r="D26" s="4" t="str">
        <f>VLOOKUP(B26,'Nilai Kurikulum 2013'!$E$4:$O$176,5,FALSE)</f>
        <v xml:space="preserve">Jaringan Komputer </v>
      </c>
      <c r="E26" s="4" t="str">
        <f ca="1">VLOOKUP(B26,'Nilai Kurikulum 2013'!$E$4:$P$176,12,FALSE)</f>
        <v>A</v>
      </c>
      <c r="F26" s="66" t="str">
        <f t="shared" ca="1" si="0"/>
        <v>OK</v>
      </c>
      <c r="H26" s="240"/>
    </row>
    <row r="27" spans="2:16" x14ac:dyDescent="0.2">
      <c r="B27" s="4" t="s">
        <v>117</v>
      </c>
      <c r="C27" s="240">
        <f>VLOOKUP(B27,'Nilai Kurikulum 2013'!$E$4:$O$176,2,FALSE)</f>
        <v>2</v>
      </c>
      <c r="D27" s="4" t="str">
        <f>VLOOKUP(B27,'Nilai Kurikulum 2013'!$E$4:$O$176,5,FALSE)</f>
        <v>Pendidikan Kewarganegaraan</v>
      </c>
      <c r="E27" s="4" t="str">
        <f ca="1">VLOOKUP(B27,'Nilai Kurikulum 2013'!$E$4:$P$176,12,FALSE)</f>
        <v>B</v>
      </c>
      <c r="F27" s="66" t="str">
        <f t="shared" ca="1" si="0"/>
        <v>OK</v>
      </c>
      <c r="H27" s="240"/>
    </row>
    <row r="28" spans="2:16" x14ac:dyDescent="0.2">
      <c r="C28" s="240"/>
      <c r="E28" s="66" t="s">
        <v>95</v>
      </c>
      <c r="F28" s="66" t="str">
        <f t="shared" si="0"/>
        <v>OK</v>
      </c>
      <c r="H28" s="240"/>
    </row>
    <row r="29" spans="2:16" ht="12" x14ac:dyDescent="0.2">
      <c r="B29" s="63" t="s">
        <v>118</v>
      </c>
      <c r="C29" s="240"/>
      <c r="E29" s="66" t="s">
        <v>95</v>
      </c>
      <c r="F29" s="66" t="str">
        <f t="shared" si="0"/>
        <v>OK</v>
      </c>
      <c r="G29" s="63" t="s">
        <v>119</v>
      </c>
      <c r="H29" s="240"/>
    </row>
    <row r="30" spans="2:16" x14ac:dyDescent="0.2">
      <c r="B30" s="4" t="str">
        <f ca="1">'Nilai Kurikulum 2013'!X42</f>
        <v>AIF401</v>
      </c>
      <c r="C30" s="240">
        <f ca="1">IF(B30&lt;&gt;"",VLOOKUP(B30,'Nilai Kurikulum 2013'!$E$4:$O$176,2,FALSE),"")</f>
        <v>4</v>
      </c>
      <c r="D30" s="4" t="str">
        <f ca="1">IF(B30&lt;&gt;"",VLOOKUP(B30,'Nilai Kurikulum 2013'!$E$4:$O$176,5,FALSE),"")</f>
        <v>Skripsi 1</v>
      </c>
      <c r="E30" s="4" t="str">
        <f ca="1">IF(B30&lt;&gt;"",VLOOKUP(B30,'Nilai Kurikulum 2013'!$E$4:$P$176,12,FALSE),"")</f>
        <v>A</v>
      </c>
      <c r="F30" s="66" t="str">
        <f t="shared" ca="1" si="0"/>
        <v>OK</v>
      </c>
      <c r="G30" s="4" t="str">
        <f ca="1">'Nilai Kurikulum 2013'!X45</f>
        <v>AIF402</v>
      </c>
      <c r="H30" s="240">
        <f ca="1">IF(G30&lt;&gt;"",VLOOKUP(G30,'Nilai Kurikulum 2013'!$E$4:$O$176,2,FALSE),"")</f>
        <v>6</v>
      </c>
      <c r="I30" s="342" t="str">
        <f ca="1">IF(G30&lt;&gt;"",VLOOKUP(G30,'Nilai Kurikulum 2013'!$E$4:$O$176,5,FALSE),"")</f>
        <v>Skripsi 2</v>
      </c>
      <c r="J30" s="342"/>
      <c r="K30" s="342"/>
      <c r="L30" s="342"/>
      <c r="M30" s="342"/>
      <c r="N30" s="342"/>
      <c r="O30" s="342"/>
      <c r="P30" s="4" t="str">
        <f ca="1">IF(G30&lt;&gt;"",VLOOKUP(G30,'Nilai Kurikulum 2013'!$E$4:$P$176,12,FALSE),"")</f>
        <v>B</v>
      </c>
    </row>
    <row r="31" spans="2:16" x14ac:dyDescent="0.2">
      <c r="B31" s="4" t="str">
        <f ca="1">'Nilai Kurikulum 2013'!X44</f>
        <v>AIF403</v>
      </c>
      <c r="C31" s="240">
        <f ca="1">IF(B31&lt;&gt;"",VLOOKUP(B31,'Nilai Kurikulum 2013'!$E$4:$O$176,2,FALSE),"")</f>
        <v>2</v>
      </c>
      <c r="D31" s="4" t="str">
        <f ca="1">IF(B31&lt;&gt;"",VLOOKUP(B31,'Nilai Kurikulum 2013'!$E$4:$O$176,5,FALSE),"")</f>
        <v xml:space="preserve">Komputer dan Masyarakat </v>
      </c>
      <c r="E31" s="4" t="str">
        <f ca="1">IF(B31&lt;&gt;"",VLOOKUP(B31,'Nilai Kurikulum 2013'!$E$4:$P$176,12,FALSE),"")</f>
        <v>C</v>
      </c>
      <c r="F31" s="66" t="str">
        <f t="shared" ca="1" si="0"/>
        <v>OK</v>
      </c>
      <c r="G31" s="4" t="str">
        <f ca="1">'Nilai Kurikulum 2013'!X47</f>
        <v>APS402</v>
      </c>
      <c r="H31" s="240">
        <f ca="1">IF(G31&lt;&gt;"",VLOOKUP(G31,'Nilai Kurikulum 2013'!$E$4:$O$176,2,FALSE),"")</f>
        <v>2</v>
      </c>
      <c r="I31" s="342" t="str">
        <f ca="1">IF(G31&lt;&gt;"",VLOOKUP(G31,'Nilai Kurikulum 2013'!$E$4:$O$176,5,FALSE),"")</f>
        <v xml:space="preserve">Etika Profesi </v>
      </c>
      <c r="J31" s="342"/>
      <c r="K31" s="342"/>
      <c r="L31" s="342"/>
      <c r="M31" s="342"/>
      <c r="N31" s="342"/>
      <c r="O31" s="342"/>
      <c r="P31" s="4" t="str">
        <f ca="1">IF(G31&lt;&gt;"",VLOOKUP(G31,'Nilai Kurikulum 2013'!$E$4:$P$176,12,FALSE),"")</f>
        <v>A</v>
      </c>
    </row>
    <row r="32" spans="2:16" hidden="1" x14ac:dyDescent="0.2">
      <c r="B32" s="4" t="str">
        <f ca="1">'Nilai Kurikulum 2013'!X39</f>
        <v/>
      </c>
      <c r="C32" s="240" t="str">
        <f ca="1">IF(B32&lt;&gt;"",VLOOKUP(B32,'Nilai Kurikulum 2013'!$E$4:$O$176,2,FALSE),"")</f>
        <v/>
      </c>
      <c r="D32" s="4" t="str">
        <f ca="1">IF(B32&lt;&gt;"",VLOOKUP(B32,'Nilai Kurikulum 2013'!$E$4:$O$176,5,FALSE),"")</f>
        <v/>
      </c>
      <c r="E32" s="4" t="str">
        <f ca="1">IF(B32&lt;&gt;"",VLOOKUP(B32,'Nilai Kurikulum 2013'!$E$4:$P$176,12,FALSE),"")</f>
        <v/>
      </c>
      <c r="F32" s="66" t="str">
        <f t="shared" ca="1" si="0"/>
        <v>Uncheck box ini</v>
      </c>
      <c r="H32" s="240"/>
    </row>
    <row r="33" spans="2:16" x14ac:dyDescent="0.2">
      <c r="C33" s="240"/>
      <c r="E33" s="66" t="s">
        <v>95</v>
      </c>
      <c r="F33" s="66" t="str">
        <f t="shared" si="0"/>
        <v>OK</v>
      </c>
      <c r="H33" s="240"/>
    </row>
    <row r="34" spans="2:16" ht="12" x14ac:dyDescent="0.2">
      <c r="B34" s="64" t="s">
        <v>120</v>
      </c>
      <c r="C34" s="240"/>
      <c r="E34" s="66" t="s">
        <v>95</v>
      </c>
      <c r="F34" s="66" t="str">
        <f t="shared" si="0"/>
        <v>OK</v>
      </c>
      <c r="H34" s="240"/>
    </row>
    <row r="35" spans="2:16" ht="9.75" hidden="1" customHeight="1" x14ac:dyDescent="0.2">
      <c r="B35" s="4" t="s">
        <v>112</v>
      </c>
      <c r="C35" s="240"/>
      <c r="F35" s="66" t="str">
        <f t="shared" si="0"/>
        <v>Uncheck box ini</v>
      </c>
      <c r="G35" s="4" t="s">
        <v>113</v>
      </c>
      <c r="H35" s="240"/>
    </row>
    <row r="36" spans="2:16" x14ac:dyDescent="0.2">
      <c r="B36" s="4" t="str">
        <f ca="1">'Nilai Kurikulum 2013'!X48</f>
        <v/>
      </c>
      <c r="C36" s="240" t="str">
        <f ca="1">IF(B36&lt;&gt;"",VLOOKUP(B36,'Nilai Kurikulum 2013'!$E$4:$O$176,2,FALSE),"")</f>
        <v/>
      </c>
      <c r="D36" s="4" t="str">
        <f ca="1">IF(B36&lt;&gt;"",VLOOKUP(B36,'Nilai Kurikulum 2013'!$E$4:$O$176,5,FALSE),"")</f>
        <v/>
      </c>
      <c r="E36" s="4" t="str">
        <f ca="1">IF(B36&lt;&gt;"",VLOOKUP(B36,'Nilai Kurikulum 2013'!$E$4:$P$176,12,FALSE),"")</f>
        <v/>
      </c>
      <c r="F36" s="66" t="str">
        <f t="shared" ca="1" si="0"/>
        <v>OK</v>
      </c>
      <c r="G36" s="4" t="str">
        <f ca="1">'Nilai Kurikulum 2013'!X52</f>
        <v>AIF312</v>
      </c>
      <c r="H36" s="240">
        <f ca="1">IF(G36&lt;&gt;"",VLOOKUP(G36,'Nilai Kurikulum 2013'!$E$4:$O$176,2,FALSE),"")</f>
        <v>2</v>
      </c>
      <c r="I36" s="339" t="str">
        <f ca="1">IF(G36&lt;&gt;"",VLOOKUP(G36,'Nilai Kurikulum 2013'!$E$4:$O$176,5,FALSE),"")</f>
        <v>Keamanan Informasi</v>
      </c>
      <c r="J36" s="339"/>
      <c r="K36" s="339"/>
      <c r="L36" s="339"/>
      <c r="M36" s="339"/>
      <c r="N36" s="339"/>
      <c r="O36" s="339"/>
      <c r="P36" s="4" t="str">
        <f ca="1">IF(G36&lt;&gt;"",VLOOKUP(G36,'Nilai Kurikulum 2013'!$E$4:$P$176,12,FALSE),"")</f>
        <v>C</v>
      </c>
    </row>
    <row r="37" spans="2:16" x14ac:dyDescent="0.2">
      <c r="B37" s="4" t="str">
        <f ca="1">'Nilai Kurikulum 2013'!X49</f>
        <v>AIF313</v>
      </c>
      <c r="C37" s="240">
        <f ca="1">IF(B37&lt;&gt;"",VLOOKUP(B37,'Nilai Kurikulum 2013'!$E$4:$O$176,2,FALSE),"")</f>
        <v>2</v>
      </c>
      <c r="D37" s="4" t="str">
        <f ca="1">IF(B37&lt;&gt;"",VLOOKUP(B37,'Nilai Kurikulum 2013'!$E$4:$O$176,5,FALSE),"")</f>
        <v>Grafika Komputer</v>
      </c>
      <c r="E37" s="4" t="str">
        <f ca="1">IF(B37&lt;&gt;"",VLOOKUP(B37,'Nilai Kurikulum 2013'!$E$4:$P$176,12,FALSE),"")</f>
        <v>B</v>
      </c>
      <c r="F37" s="66" t="str">
        <f t="shared" ca="1" si="0"/>
        <v>OK</v>
      </c>
      <c r="G37" s="4" t="str">
        <f ca="1">'Nilai Kurikulum 2013'!X53</f>
        <v/>
      </c>
      <c r="H37" s="240" t="str">
        <f ca="1">IF(G37&lt;&gt;"",VLOOKUP(G37,'Nilai Kurikulum 2013'!$E$4:$O$176,2,FALSE),"")</f>
        <v/>
      </c>
      <c r="I37" s="339" t="str">
        <f ca="1">IF(G37&lt;&gt;"",VLOOKUP(G37,'Nilai Kurikulum 2013'!$E$4:$O$176,5,FALSE),"")</f>
        <v/>
      </c>
      <c r="J37" s="339"/>
      <c r="K37" s="339"/>
      <c r="L37" s="339"/>
      <c r="M37" s="339"/>
      <c r="N37" s="339"/>
      <c r="O37" s="339"/>
      <c r="P37" s="4" t="str">
        <f ca="1">IF(G37&lt;&gt;"",VLOOKUP(G37,'Nilai Kurikulum 2013'!$E$4:$P$176,12,FALSE),"")</f>
        <v/>
      </c>
    </row>
    <row r="38" spans="2:16" x14ac:dyDescent="0.2">
      <c r="B38" s="4" t="str">
        <f ca="1">'Nilai Kurikulum 2013'!X50</f>
        <v>AIF315</v>
      </c>
      <c r="C38" s="240">
        <f ca="1">IF(B38&lt;&gt;"",VLOOKUP(B38,'Nilai Kurikulum 2013'!$E$4:$O$176,2,FALSE),"")</f>
        <v>2</v>
      </c>
      <c r="D38" s="4" t="str">
        <f ca="1">IF(B38&lt;&gt;"",VLOOKUP(B38,'Nilai Kurikulum 2013'!$E$4:$O$176,5,FALSE),"")</f>
        <v>Pemrograman Berbasis Web</v>
      </c>
      <c r="E38" s="4" t="str">
        <f ca="1">IF(B38&lt;&gt;"",VLOOKUP(B38,'Nilai Kurikulum 2013'!$E$4:$P$176,12,FALSE),"")</f>
        <v>B</v>
      </c>
      <c r="F38" s="66" t="str">
        <f t="shared" ca="1" si="0"/>
        <v>OK</v>
      </c>
      <c r="G38" s="4" t="str">
        <f ca="1">'Nilai Kurikulum 2013'!X54</f>
        <v/>
      </c>
      <c r="H38" s="240" t="str">
        <f ca="1">IF(G38&lt;&gt;"",VLOOKUP(G38,'Nilai Kurikulum 2013'!$E$4:$O$176,2,FALSE),"")</f>
        <v/>
      </c>
      <c r="I38" s="339" t="str">
        <f ca="1">IF(G38&lt;&gt;"",VLOOKUP(G38,'Nilai Kurikulum 2013'!$E$4:$O$176,5,FALSE),"")</f>
        <v/>
      </c>
      <c r="J38" s="339"/>
      <c r="K38" s="339"/>
      <c r="L38" s="339"/>
      <c r="M38" s="339"/>
      <c r="N38" s="339"/>
      <c r="O38" s="339"/>
      <c r="P38" s="4" t="str">
        <f ca="1">IF(G38&lt;&gt;"",VLOOKUP(G38,'Nilai Kurikulum 2013'!$E$4:$P$176,12,FALSE),"")</f>
        <v/>
      </c>
    </row>
    <row r="39" spans="2:16" x14ac:dyDescent="0.2">
      <c r="B39" s="4" t="str">
        <f ca="1">'Nilai Kurikulum 2013'!X51</f>
        <v/>
      </c>
      <c r="C39" s="240" t="str">
        <f ca="1">IF(B39&lt;&gt;"",VLOOKUP(B39,'Nilai Kurikulum 2013'!$E$4:$O$176,2,FALSE),"")</f>
        <v/>
      </c>
      <c r="D39" s="4" t="str">
        <f ca="1">IF(B39&lt;&gt;"",VLOOKUP(B39,'Nilai Kurikulum 2013'!$E$4:$O$176,5,FALSE),"")</f>
        <v/>
      </c>
      <c r="E39" s="4" t="str">
        <f ca="1">IF(B39&lt;&gt;"",VLOOKUP(B39,'Nilai Kurikulum 2013'!$E$4:$P$176,12,FALSE),"")</f>
        <v/>
      </c>
      <c r="F39" s="66" t="str">
        <f t="shared" ca="1" si="0"/>
        <v>OK</v>
      </c>
      <c r="G39" s="4" t="str">
        <f ca="1">'Nilai Kurikulum 2013'!X55</f>
        <v>AIF318</v>
      </c>
      <c r="H39" s="240">
        <f ca="1">IF(G39&lt;&gt;"",VLOOKUP(G39,'Nilai Kurikulum 2013'!$E$4:$O$176,2,FALSE),"")</f>
        <v>2</v>
      </c>
      <c r="I39" s="339" t="str">
        <f ca="1">IF(G39&lt;&gt;"",VLOOKUP(G39,'Nilai Kurikulum 2013'!$E$4:$O$176,5,FALSE),"")</f>
        <v>Pemrograman Aplikasi Bergerak</v>
      </c>
      <c r="J39" s="339"/>
      <c r="K39" s="339"/>
      <c r="L39" s="339"/>
      <c r="M39" s="339"/>
      <c r="N39" s="339"/>
      <c r="O39" s="339"/>
      <c r="P39" s="4" t="str">
        <f ca="1">IF(G39&lt;&gt;"",VLOOKUP(G39,'Nilai Kurikulum 2013'!$E$4:$P$176,12,FALSE),"")</f>
        <v>B</v>
      </c>
    </row>
    <row r="40" spans="2:16" x14ac:dyDescent="0.2">
      <c r="C40" s="240"/>
      <c r="E40" s="66" t="s">
        <v>95</v>
      </c>
      <c r="F40" s="66" t="str">
        <f t="shared" si="0"/>
        <v>OK</v>
      </c>
      <c r="H40" s="240"/>
    </row>
    <row r="41" spans="2:16" ht="12" x14ac:dyDescent="0.2">
      <c r="B41" s="64" t="s">
        <v>121</v>
      </c>
      <c r="C41" s="240"/>
      <c r="E41" s="66" t="s">
        <v>95</v>
      </c>
      <c r="F41" s="66" t="str">
        <f t="shared" si="0"/>
        <v>OK</v>
      </c>
      <c r="H41" s="240"/>
    </row>
    <row r="42" spans="2:16" hidden="1" x14ac:dyDescent="0.2">
      <c r="B42" s="4" t="s">
        <v>122</v>
      </c>
      <c r="C42" s="240">
        <f>VLOOKUP(B42,'Nilai Kurikulum 2013'!$E$4:$O$176,2,FALSE)</f>
        <v>3</v>
      </c>
      <c r="D42" s="4" t="str">
        <f>VLOOKUP(B42,'Nilai Kurikulum 2013'!$E$4:$O$176,5,FALSE)</f>
        <v>Dasar - Dasar Pemrograman</v>
      </c>
      <c r="E42" s="4" t="str">
        <f ca="1">VLOOKUP(B42,'Nilai Kurikulum 2013'!$E$4:$P$176,12,FALSE)</f>
        <v/>
      </c>
      <c r="F42" s="66" t="str">
        <f t="shared" ca="1" si="0"/>
        <v>Uncheck box ini</v>
      </c>
      <c r="H42" s="240"/>
    </row>
    <row r="43" spans="2:16" hidden="1" x14ac:dyDescent="0.2">
      <c r="B43" s="4" t="s">
        <v>123</v>
      </c>
      <c r="C43" s="240">
        <f>VLOOKUP(B43,'Nilai Kurikulum 2013'!$E$4:$O$176,2,FALSE)</f>
        <v>4</v>
      </c>
      <c r="D43" s="4" t="str">
        <f>VLOOKUP(B43,'Nilai Kurikulum 2013'!$E$4:$O$176,5,FALSE)</f>
        <v>Pemrograman Prosedural</v>
      </c>
      <c r="E43" s="4" t="str">
        <f ca="1">VLOOKUP(B43,'Nilai Kurikulum 2013'!$E$4:$P$176,12,FALSE)</f>
        <v/>
      </c>
      <c r="F43" s="66" t="str">
        <f t="shared" ca="1" si="0"/>
        <v>Uncheck box ini</v>
      </c>
      <c r="H43" s="4"/>
    </row>
    <row r="44" spans="2:16" hidden="1" x14ac:dyDescent="0.2">
      <c r="B44" s="4" t="s">
        <v>124</v>
      </c>
      <c r="C44" s="240">
        <f>VLOOKUP(B44,'Nilai Kurikulum 2013'!$E$4:$O$176,2,FALSE)</f>
        <v>3</v>
      </c>
      <c r="D44" s="4" t="str">
        <f>VLOOKUP(B44,'Nilai Kurikulum 2013'!$E$4:$O$176,5,FALSE)</f>
        <v>Fisika Dasar</v>
      </c>
      <c r="E44" s="4" t="str">
        <f ca="1">VLOOKUP(B44,'Nilai Kurikulum 2013'!$E$4:$P$176,12,FALSE)</f>
        <v/>
      </c>
      <c r="F44" s="66" t="str">
        <f t="shared" ca="1" si="0"/>
        <v>Uncheck box ini</v>
      </c>
      <c r="H44" s="4"/>
    </row>
    <row r="45" spans="2:16" hidden="1" x14ac:dyDescent="0.2">
      <c r="B45" s="4" t="s">
        <v>125</v>
      </c>
      <c r="C45" s="240">
        <f>VLOOKUP(B45,'Nilai Kurikulum 2013'!$E$4:$O$176,2,FALSE)</f>
        <v>2</v>
      </c>
      <c r="D45" s="4" t="str">
        <f>VLOOKUP(B45,'Nilai Kurikulum 2013'!$E$4:$O$176,5,FALSE)</f>
        <v>Pengantar Basisdata</v>
      </c>
      <c r="E45" s="4" t="str">
        <f ca="1">VLOOKUP(B45,'Nilai Kurikulum 2013'!$E$4:$P$176,12,FALSE)</f>
        <v/>
      </c>
      <c r="F45" s="66" t="str">
        <f t="shared" ca="1" si="0"/>
        <v>Uncheck box ini</v>
      </c>
      <c r="H45" s="240"/>
    </row>
    <row r="46" spans="2:16" hidden="1" x14ac:dyDescent="0.2">
      <c r="B46" s="4" t="s">
        <v>126</v>
      </c>
      <c r="C46" s="240">
        <f>VLOOKUP(B46,'Nilai Kurikulum 2013'!$E$4:$O$176,2,FALSE)</f>
        <v>4</v>
      </c>
      <c r="D46" s="4" t="str">
        <f>VLOOKUP(B46,'Nilai Kurikulum 2013'!$E$4:$O$176,5,FALSE)</f>
        <v>Kalkulus</v>
      </c>
      <c r="E46" s="4" t="str">
        <f ca="1">VLOOKUP(B46,'Nilai Kurikulum 2013'!$E$4:$P$176,12,FALSE)</f>
        <v/>
      </c>
      <c r="F46" s="66" t="str">
        <f t="shared" ca="1" si="0"/>
        <v>Uncheck box ini</v>
      </c>
      <c r="H46" s="240"/>
    </row>
    <row r="47" spans="2:16" hidden="1" x14ac:dyDescent="0.2">
      <c r="B47" s="4" t="s">
        <v>127</v>
      </c>
      <c r="C47" s="240">
        <f>VLOOKUP(B47,'Nilai Kurikulum 2013'!$E$4:$O$176,2,FALSE)</f>
        <v>4</v>
      </c>
      <c r="D47" s="4" t="str">
        <f>VLOOKUP(B47,'Nilai Kurikulum 2013'!$E$4:$O$176,5,FALSE)</f>
        <v>Kalkulus 2</v>
      </c>
      <c r="E47" s="4" t="str">
        <f ca="1">VLOOKUP(B47,'Nilai Kurikulum 2013'!$E$4:$P$176,12,FALSE)</f>
        <v/>
      </c>
      <c r="F47" s="66" t="str">
        <f t="shared" ca="1" si="0"/>
        <v>Uncheck box ini</v>
      </c>
      <c r="H47" s="4"/>
    </row>
    <row r="48" spans="2:16" x14ac:dyDescent="0.2">
      <c r="B48" s="4" t="s">
        <v>128</v>
      </c>
      <c r="C48" s="240">
        <f>VLOOKUP(B48,'Nilai Kurikulum 2013'!$E$4:$O$176,2,FALSE)</f>
        <v>3</v>
      </c>
      <c r="D48" s="4" t="str">
        <f>VLOOKUP(B48,'Nilai Kurikulum 2013'!$E$4:$O$176,5,FALSE)</f>
        <v>Aljabar Linear dan Matriks</v>
      </c>
      <c r="E48" s="4" t="str">
        <f ca="1">VLOOKUP(B48,'Nilai Kurikulum 2013'!$E$4:$P$176,12,FALSE)</f>
        <v>C</v>
      </c>
      <c r="F48" s="66" t="str">
        <f t="shared" ca="1" si="0"/>
        <v>OK</v>
      </c>
      <c r="H48" s="4"/>
    </row>
    <row r="49" spans="2:8" hidden="1" x14ac:dyDescent="0.2">
      <c r="B49" s="4" t="s">
        <v>129</v>
      </c>
      <c r="C49" s="240">
        <f>VLOOKUP(B49,'Nilai Kurikulum 2013'!$E$4:$O$176,2,FALSE)</f>
        <v>2</v>
      </c>
      <c r="D49" s="4" t="str">
        <f>VLOOKUP(B49,'Nilai Kurikulum 2013'!$E$4:$O$176,5,FALSE)</f>
        <v>Pengenalan Bidang Ilmu TIK</v>
      </c>
      <c r="E49" s="4" t="str">
        <f ca="1">VLOOKUP(B49,'Nilai Kurikulum 2013'!$E$4:$P$176,12,FALSE)</f>
        <v/>
      </c>
      <c r="F49" s="66" t="str">
        <f t="shared" ca="1" si="0"/>
        <v>Uncheck box ini</v>
      </c>
      <c r="H49" s="240"/>
    </row>
    <row r="50" spans="2:8" hidden="1" x14ac:dyDescent="0.2">
      <c r="B50" s="4" t="s">
        <v>130</v>
      </c>
      <c r="C50" s="240">
        <f>VLOOKUP(B50,'Nilai Kurikulum 2013'!$E$4:$O$176,2,FALSE)</f>
        <v>1</v>
      </c>
      <c r="D50" s="4" t="str">
        <f>VLOOKUP(B50,'Nilai Kurikulum 2013'!$E$4:$O$176,5,FALSE)</f>
        <v>Praktika Interaksi Manusia Komputer</v>
      </c>
      <c r="E50" s="4" t="str">
        <f ca="1">VLOOKUP(B50,'Nilai Kurikulum 2013'!$E$4:$P$176,12,FALSE)</f>
        <v/>
      </c>
      <c r="F50" s="66" t="str">
        <f t="shared" ca="1" si="0"/>
        <v>Uncheck box ini</v>
      </c>
      <c r="H50" s="240"/>
    </row>
    <row r="51" spans="2:8" hidden="1" x14ac:dyDescent="0.2">
      <c r="B51" s="4" t="s">
        <v>131</v>
      </c>
      <c r="C51" s="240">
        <f>VLOOKUP(B51,'Nilai Kurikulum 2013'!$E$4:$O$176,2,FALSE)</f>
        <v>3</v>
      </c>
      <c r="D51" s="4" t="str">
        <f>VLOOKUP(B51,'Nilai Kurikulum 2013'!$E$4:$O$176,5,FALSE)</f>
        <v>Algoritma &amp; Struktur Data Lanjut</v>
      </c>
      <c r="E51" s="4" t="str">
        <f ca="1">VLOOKUP(B51,'Nilai Kurikulum 2013'!$E$4:$P$176,12,FALSE)</f>
        <v/>
      </c>
      <c r="F51" s="66" t="str">
        <f t="shared" ca="1" si="0"/>
        <v>Uncheck box ini</v>
      </c>
      <c r="H51" s="4"/>
    </row>
    <row r="52" spans="2:8" hidden="1" x14ac:dyDescent="0.2">
      <c r="B52" s="4" t="s">
        <v>132</v>
      </c>
      <c r="C52" s="240">
        <f>VLOOKUP(B52,'Nilai Kurikulum 2013'!$E$4:$O$176,2,FALSE)</f>
        <v>2</v>
      </c>
      <c r="D52" s="4" t="str">
        <f>VLOOKUP(B52,'Nilai Kurikulum 2013'!$E$4:$O$176,5,FALSE)</f>
        <v>Topik Khusus Informatika 1</v>
      </c>
      <c r="E52" s="4" t="str">
        <f ca="1">VLOOKUP(B52,'Nilai Kurikulum 2013'!$E$4:$P$176,12,FALSE)</f>
        <v/>
      </c>
      <c r="F52" s="66" t="str">
        <f t="shared" ca="1" si="0"/>
        <v>Uncheck box ini</v>
      </c>
      <c r="H52" s="4"/>
    </row>
    <row r="53" spans="2:8" hidden="1" x14ac:dyDescent="0.2">
      <c r="B53" s="4" t="s">
        <v>133</v>
      </c>
      <c r="C53" s="240">
        <f>VLOOKUP(B53,'Nilai Kurikulum 2013'!$E$4:$O$176,2,FALSE)</f>
        <v>2</v>
      </c>
      <c r="D53" s="4" t="str">
        <f>VLOOKUP(B53,'Nilai Kurikulum 2013'!$E$4:$O$176,5,FALSE)</f>
        <v>Topik Khusus Sistem Informasi 1</v>
      </c>
      <c r="E53" s="4" t="str">
        <f ca="1">VLOOKUP(B53,'Nilai Kurikulum 2013'!$E$4:$P$176,12,FALSE)</f>
        <v/>
      </c>
      <c r="F53" s="66" t="str">
        <f t="shared" ca="1" si="0"/>
        <v>Uncheck box ini</v>
      </c>
      <c r="H53" s="4"/>
    </row>
    <row r="54" spans="2:8" hidden="1" x14ac:dyDescent="0.2">
      <c r="B54" s="4" t="s">
        <v>134</v>
      </c>
      <c r="C54" s="240">
        <f>VLOOKUP(B54,'Nilai Kurikulum 2013'!$E$4:$O$176,2,FALSE)</f>
        <v>3</v>
      </c>
      <c r="D54" s="4" t="str">
        <f>VLOOKUP(B54,'Nilai Kurikulum 2013'!$E$4:$O$176,5,FALSE)</f>
        <v>Pembelajaran Mesin</v>
      </c>
      <c r="E54" s="4" t="str">
        <f ca="1">VLOOKUP(B54,'Nilai Kurikulum 2013'!$E$4:$P$176,12,FALSE)</f>
        <v/>
      </c>
      <c r="F54" s="66" t="str">
        <f t="shared" ca="1" si="0"/>
        <v>Uncheck box ini</v>
      </c>
      <c r="H54" s="4"/>
    </row>
    <row r="55" spans="2:8" hidden="1" x14ac:dyDescent="0.2">
      <c r="B55" s="4" t="s">
        <v>135</v>
      </c>
      <c r="C55" s="240">
        <f>VLOOKUP(B55,'Nilai Kurikulum 2013'!$E$4:$O$176,2,FALSE)</f>
        <v>3</v>
      </c>
      <c r="D55" s="4" t="str">
        <f>VLOOKUP(B55,'Nilai Kurikulum 2013'!$E$4:$O$176,5,FALSE)</f>
        <v>Matematika Teknik</v>
      </c>
      <c r="E55" s="4" t="str">
        <f ca="1">VLOOKUP(B55,'Nilai Kurikulum 2013'!$E$4:$P$176,12,FALSE)</f>
        <v/>
      </c>
      <c r="F55" s="66" t="str">
        <f t="shared" ca="1" si="0"/>
        <v>Uncheck box ini</v>
      </c>
      <c r="H55" s="4"/>
    </row>
    <row r="56" spans="2:8" hidden="1" x14ac:dyDescent="0.2">
      <c r="B56" s="4" t="s">
        <v>136</v>
      </c>
      <c r="C56" s="240">
        <f>VLOOKUP(B56,'Nilai Kurikulum 2013'!$E$4:$O$176,2,FALSE)</f>
        <v>3</v>
      </c>
      <c r="D56" s="4" t="str">
        <f>VLOOKUP(B56,'Nilai Kurikulum 2013'!$E$4:$O$176,5,FALSE)</f>
        <v>Pemodelan Formal</v>
      </c>
      <c r="E56" s="4" t="str">
        <f ca="1">VLOOKUP(B56,'Nilai Kurikulum 2013'!$E$4:$P$176,12,FALSE)</f>
        <v/>
      </c>
      <c r="F56" s="66" t="str">
        <f t="shared" ca="1" si="0"/>
        <v>Uncheck box ini</v>
      </c>
      <c r="H56" s="4"/>
    </row>
    <row r="57" spans="2:8" x14ac:dyDescent="0.2">
      <c r="B57" s="4" t="s">
        <v>137</v>
      </c>
      <c r="C57" s="240">
        <f>VLOOKUP(B57,'Nilai Kurikulum 2013'!$E$4:$O$176,2,FALSE)</f>
        <v>3</v>
      </c>
      <c r="D57" s="4" t="str">
        <f>VLOOKUP(B57,'Nilai Kurikulum 2013'!$E$4:$O$176,5,FALSE)</f>
        <v>Administrasi Jaringan Komputer 1</v>
      </c>
      <c r="E57" s="4" t="str">
        <f ca="1">VLOOKUP(B57,'Nilai Kurikulum 2013'!$E$4:$P$176,12,FALSE)</f>
        <v>B</v>
      </c>
      <c r="F57" s="66" t="str">
        <f t="shared" ca="1" si="0"/>
        <v>OK</v>
      </c>
      <c r="H57" s="4"/>
    </row>
    <row r="58" spans="2:8" hidden="1" x14ac:dyDescent="0.2">
      <c r="B58" s="4" t="s">
        <v>138</v>
      </c>
      <c r="C58" s="240">
        <f>VLOOKUP(B58,'Nilai Kurikulum 2013'!$E$4:$O$176,2,FALSE)</f>
        <v>3</v>
      </c>
      <c r="D58" s="4" t="str">
        <f>VLOOKUP(B58,'Nilai Kurikulum 2013'!$E$4:$O$176,5,FALSE)</f>
        <v>Pemrograman Kompetitif</v>
      </c>
      <c r="E58" s="4" t="str">
        <f ca="1">VLOOKUP(B58,'Nilai Kurikulum 2013'!$E$4:$P$176,12,FALSE)</f>
        <v/>
      </c>
      <c r="F58" s="66" t="str">
        <f t="shared" ca="1" si="0"/>
        <v>Uncheck box ini</v>
      </c>
      <c r="H58" s="4"/>
    </row>
    <row r="59" spans="2:8" hidden="1" x14ac:dyDescent="0.2">
      <c r="B59" s="4" t="s">
        <v>139</v>
      </c>
      <c r="C59" s="240">
        <f>VLOOKUP(B59,'Nilai Kurikulum 2013'!$E$4:$O$176,2,FALSE)</f>
        <v>2</v>
      </c>
      <c r="D59" s="4" t="str">
        <f>VLOOKUP(B59,'Nilai Kurikulum 2013'!$E$4:$O$176,5,FALSE)</f>
        <v>Pengujian Perangkat Lunak</v>
      </c>
      <c r="E59" s="4" t="str">
        <f ca="1">VLOOKUP(B59,'Nilai Kurikulum 2013'!$E$4:$P$176,12,FALSE)</f>
        <v/>
      </c>
      <c r="F59" s="66" t="str">
        <f t="shared" ca="1" si="0"/>
        <v>Uncheck box ini</v>
      </c>
      <c r="H59" s="4"/>
    </row>
    <row r="60" spans="2:8" hidden="1" x14ac:dyDescent="0.2">
      <c r="B60" s="4" t="s">
        <v>140</v>
      </c>
      <c r="C60" s="240">
        <f>VLOOKUP(B60,'Nilai Kurikulum 2013'!$E$4:$O$176,2,FALSE)</f>
        <v>2</v>
      </c>
      <c r="D60" s="4" t="str">
        <f>VLOOKUP(B60,'Nilai Kurikulum 2013'!$E$4:$O$176,5,FALSE)</f>
        <v>e-Commerce</v>
      </c>
      <c r="E60" s="4" t="str">
        <f ca="1">VLOOKUP(B60,'Nilai Kurikulum 2013'!$E$4:$P$176,12,FALSE)</f>
        <v/>
      </c>
      <c r="F60" s="66" t="str">
        <f t="shared" ca="1" si="0"/>
        <v>Uncheck box ini</v>
      </c>
      <c r="H60" s="240"/>
    </row>
    <row r="61" spans="2:8" hidden="1" x14ac:dyDescent="0.2">
      <c r="B61" s="4" t="s">
        <v>141</v>
      </c>
      <c r="C61" s="240">
        <f>VLOOKUP(B61,'Nilai Kurikulum 2013'!$E$4:$O$176,2,FALSE)</f>
        <v>2</v>
      </c>
      <c r="D61" s="4" t="str">
        <f>VLOOKUP(B61,'Nilai Kurikulum 2013'!$E$4:$O$176,5,FALSE)</f>
        <v>Analisis Sistem Informasi</v>
      </c>
      <c r="E61" s="4" t="str">
        <f ca="1">VLOOKUP(B61,'Nilai Kurikulum 2013'!$E$4:$P$176,12,FALSE)</f>
        <v/>
      </c>
      <c r="F61" s="66" t="str">
        <f t="shared" ca="1" si="0"/>
        <v>Uncheck box ini</v>
      </c>
      <c r="H61" s="240"/>
    </row>
    <row r="62" spans="2:8" hidden="1" x14ac:dyDescent="0.2">
      <c r="B62" s="4" t="s">
        <v>142</v>
      </c>
      <c r="C62" s="240">
        <f>VLOOKUP(B62,'Nilai Kurikulum 2013'!$E$4:$O$176,2,FALSE)</f>
        <v>1</v>
      </c>
      <c r="D62" s="4" t="str">
        <f>VLOOKUP(B62,'Nilai Kurikulum 2013'!$E$4:$O$176,5,FALSE)</f>
        <v>Praktika Grafika Komputer</v>
      </c>
      <c r="E62" s="4" t="str">
        <f ca="1">VLOOKUP(B62,'Nilai Kurikulum 2013'!$E$4:$P$176,12,FALSE)</f>
        <v/>
      </c>
      <c r="F62" s="66" t="str">
        <f t="shared" ca="1" si="0"/>
        <v>Uncheck box ini</v>
      </c>
      <c r="H62" s="4"/>
    </row>
    <row r="63" spans="2:8" hidden="1" x14ac:dyDescent="0.2">
      <c r="B63" s="4" t="s">
        <v>143</v>
      </c>
      <c r="C63" s="240">
        <f>VLOOKUP(B63,'Nilai Kurikulum 2013'!$E$4:$O$176,2,FALSE)</f>
        <v>1</v>
      </c>
      <c r="D63" s="4" t="str">
        <f>VLOOKUP(B63,'Nilai Kurikulum 2013'!$E$4:$O$176,5,FALSE)</f>
        <v>Praktika Pemrograman Berbasis Web</v>
      </c>
      <c r="E63" s="4" t="str">
        <f ca="1">VLOOKUP(B63,'Nilai Kurikulum 2013'!$E$4:$P$176,12,FALSE)</f>
        <v/>
      </c>
      <c r="F63" s="66" t="str">
        <f t="shared" ca="1" si="0"/>
        <v>Uncheck box ini</v>
      </c>
      <c r="H63" s="240"/>
    </row>
    <row r="64" spans="2:8" hidden="1" x14ac:dyDescent="0.2">
      <c r="B64" s="4" t="s">
        <v>144</v>
      </c>
      <c r="C64" s="240">
        <f>VLOOKUP(B64,'Nilai Kurikulum 2013'!$E$4:$O$176,2,FALSE)</f>
        <v>3</v>
      </c>
      <c r="D64" s="4" t="str">
        <f>VLOOKUP(B64,'Nilai Kurikulum 2013'!$E$4:$O$176,5,FALSE)</f>
        <v>Pengantar Telekomunikasi</v>
      </c>
      <c r="E64" s="4" t="str">
        <f ca="1">VLOOKUP(B64,'Nilai Kurikulum 2013'!$E$4:$P$176,12,FALSE)</f>
        <v/>
      </c>
      <c r="F64" s="66" t="str">
        <f t="shared" ca="1" si="0"/>
        <v>Uncheck box ini</v>
      </c>
      <c r="H64" s="4"/>
    </row>
    <row r="65" spans="2:8" hidden="1" x14ac:dyDescent="0.2">
      <c r="B65" s="4" t="s">
        <v>145</v>
      </c>
      <c r="C65" s="240">
        <f>VLOOKUP(B65,'Nilai Kurikulum 2013'!$E$4:$O$176,2,FALSE)</f>
        <v>2</v>
      </c>
      <c r="D65" s="4" t="str">
        <f>VLOOKUP(B65,'Nilai Kurikulum 2013'!$E$4:$O$176,5,FALSE)</f>
        <v>Kriptografi</v>
      </c>
      <c r="E65" s="4" t="str">
        <f ca="1">VLOOKUP(B65,'Nilai Kurikulum 2013'!$E$4:$P$176,12,FALSE)</f>
        <v/>
      </c>
      <c r="F65" s="66" t="str">
        <f t="shared" ca="1" si="0"/>
        <v>Uncheck box ini</v>
      </c>
      <c r="H65" s="4"/>
    </row>
    <row r="66" spans="2:8" hidden="1" x14ac:dyDescent="0.2">
      <c r="B66" s="4" t="s">
        <v>146</v>
      </c>
      <c r="C66" s="240">
        <f>VLOOKUP(B66,'Nilai Kurikulum 2013'!$E$4:$O$176,2,FALSE)</f>
        <v>2</v>
      </c>
      <c r="D66" s="4" t="str">
        <f>VLOOKUP(B66,'Nilai Kurikulum 2013'!$E$4:$O$176,5,FALSE)</f>
        <v>Kerja Praktek 1</v>
      </c>
      <c r="E66" s="4" t="str">
        <f ca="1">VLOOKUP(B66,'Nilai Kurikulum 2013'!$E$4:$P$176,12,FALSE)</f>
        <v/>
      </c>
      <c r="F66" s="66" t="str">
        <f t="shared" ca="1" si="0"/>
        <v>Uncheck box ini</v>
      </c>
      <c r="H66" s="4"/>
    </row>
    <row r="67" spans="2:8" hidden="1" x14ac:dyDescent="0.2">
      <c r="B67" s="4" t="s">
        <v>147</v>
      </c>
      <c r="C67" s="240">
        <f>VLOOKUP(B67,'Nilai Kurikulum 2013'!$E$4:$O$176,2,FALSE)</f>
        <v>3</v>
      </c>
      <c r="D67" s="4" t="str">
        <f>VLOOKUP(B67,'Nilai Kurikulum 2013'!$E$4:$O$176,5,FALSE)</f>
        <v>Topik Khusus Informatika 2</v>
      </c>
      <c r="E67" s="4" t="str">
        <f ca="1">VLOOKUP(B67,'Nilai Kurikulum 2013'!$E$4:$P$176,12,FALSE)</f>
        <v/>
      </c>
      <c r="F67" s="66" t="str">
        <f t="shared" ca="1" si="0"/>
        <v>Uncheck box ini</v>
      </c>
      <c r="H67" s="4"/>
    </row>
    <row r="68" spans="2:8" hidden="1" x14ac:dyDescent="0.2">
      <c r="B68" s="4" t="s">
        <v>148</v>
      </c>
      <c r="C68" s="240">
        <f>VLOOKUP(B68,'Nilai Kurikulum 2013'!$E$4:$O$176,2,FALSE)</f>
        <v>3</v>
      </c>
      <c r="D68" s="4" t="str">
        <f>VLOOKUP(B68,'Nilai Kurikulum 2013'!$E$4:$O$176,5,FALSE)</f>
        <v>Topik Khusus Sistem Informasi 2</v>
      </c>
      <c r="E68" s="4" t="str">
        <f ca="1">VLOOKUP(B68,'Nilai Kurikulum 2013'!$E$4:$P$176,12,FALSE)</f>
        <v/>
      </c>
      <c r="F68" s="66" t="str">
        <f t="shared" ca="1" si="0"/>
        <v>Uncheck box ini</v>
      </c>
      <c r="H68" s="4"/>
    </row>
    <row r="69" spans="2:8" hidden="1" x14ac:dyDescent="0.2">
      <c r="B69" s="4" t="s">
        <v>149</v>
      </c>
      <c r="C69" s="240">
        <f>VLOOKUP(B69,'Nilai Kurikulum 2013'!$E$4:$O$176,2,FALSE)</f>
        <v>3</v>
      </c>
      <c r="D69" s="4" t="str">
        <f>VLOOKUP(B69,'Nilai Kurikulum 2013'!$E$4:$O$176,5,FALSE)</f>
        <v>Algoritma Kriptografi</v>
      </c>
      <c r="E69" s="4" t="str">
        <f ca="1">VLOOKUP(B69,'Nilai Kurikulum 2013'!$E$4:$P$176,12,FALSE)</f>
        <v/>
      </c>
      <c r="F69" s="66" t="str">
        <f t="shared" ca="1" si="0"/>
        <v>Uncheck box ini</v>
      </c>
      <c r="H69" s="4"/>
    </row>
    <row r="70" spans="2:8" hidden="1" x14ac:dyDescent="0.2">
      <c r="B70" s="4" t="s">
        <v>150</v>
      </c>
      <c r="C70" s="240">
        <f>VLOOKUP(B70,'Nilai Kurikulum 2013'!$E$4:$O$176,2,FALSE)</f>
        <v>3</v>
      </c>
      <c r="D70" s="4" t="str">
        <f>VLOOKUP(B70,'Nilai Kurikulum 2013'!$E$4:$O$176,5,FALSE)</f>
        <v>Bioinformatika</v>
      </c>
      <c r="E70" s="4" t="str">
        <f ca="1">VLOOKUP(B70,'Nilai Kurikulum 2013'!$E$4:$P$176,12,FALSE)</f>
        <v/>
      </c>
      <c r="F70" s="66" t="str">
        <f t="shared" ca="1" si="0"/>
        <v>Uncheck box ini</v>
      </c>
      <c r="H70" s="4"/>
    </row>
    <row r="71" spans="2:8" hidden="1" x14ac:dyDescent="0.2">
      <c r="B71" s="4" t="s">
        <v>151</v>
      </c>
      <c r="C71" s="240">
        <f>VLOOKUP(B71,'Nilai Kurikulum 2013'!$E$4:$O$176,2,FALSE)</f>
        <v>3</v>
      </c>
      <c r="D71" s="4" t="str">
        <f>VLOOKUP(B71,'Nilai Kurikulum 2013'!$E$4:$O$176,5,FALSE)</f>
        <v>Komputasi Geometri</v>
      </c>
      <c r="E71" s="4" t="str">
        <f ca="1">VLOOKUP(B71,'Nilai Kurikulum 2013'!$E$4:$P$176,12,FALSE)</f>
        <v/>
      </c>
      <c r="F71" s="66" t="str">
        <f t="shared" ca="1" si="0"/>
        <v>Uncheck box ini</v>
      </c>
      <c r="H71" s="4"/>
    </row>
    <row r="72" spans="2:8" x14ac:dyDescent="0.2">
      <c r="B72" s="4" t="s">
        <v>152</v>
      </c>
      <c r="C72" s="240">
        <f>VLOOKUP(B72,'Nilai Kurikulum 2013'!$E$4:$O$176,2,FALSE)</f>
        <v>3</v>
      </c>
      <c r="D72" s="4" t="str">
        <f>VLOOKUP(B72,'Nilai Kurikulum 2013'!$E$4:$O$176,5,FALSE)</f>
        <v>Administrasi Jaringan Komputer 2</v>
      </c>
      <c r="E72" s="4" t="str">
        <f ca="1">VLOOKUP(B72,'Nilai Kurikulum 2013'!$E$4:$P$176,12,FALSE)</f>
        <v>C</v>
      </c>
      <c r="F72" s="66" t="str">
        <f t="shared" ca="1" si="0"/>
        <v>OK</v>
      </c>
      <c r="H72" s="4"/>
    </row>
    <row r="73" spans="2:8" x14ac:dyDescent="0.2">
      <c r="B73" s="4" t="s">
        <v>153</v>
      </c>
      <c r="C73" s="240">
        <f>VLOOKUP(B73,'Nilai Kurikulum 2013'!$E$4:$O$176,2,FALSE)</f>
        <v>3</v>
      </c>
      <c r="D73" s="4" t="str">
        <f>VLOOKUP(B73,'Nilai Kurikulum 2013'!$E$4:$O$176,5,FALSE)</f>
        <v>Pemodelan dan Simulasi</v>
      </c>
      <c r="E73" s="4" t="str">
        <f ca="1">VLOOKUP(B73,'Nilai Kurikulum 2013'!$E$4:$P$176,12,FALSE)</f>
        <v>A</v>
      </c>
      <c r="F73" s="66" t="str">
        <f t="shared" ref="F73:F138" ca="1" si="1">IF(OR(E73&lt;&gt;"",P73&lt;&gt;""),"OK","Uncheck box ini")</f>
        <v>OK</v>
      </c>
      <c r="H73" s="4"/>
    </row>
    <row r="74" spans="2:8" hidden="1" x14ac:dyDescent="0.2">
      <c r="B74" s="4" t="s">
        <v>154</v>
      </c>
      <c r="C74" s="240">
        <f>VLOOKUP(B74,'Nilai Kurikulum 2013'!$E$4:$O$176,2,FALSE)</f>
        <v>3</v>
      </c>
      <c r="D74" s="4" t="str">
        <f>VLOOKUP(B74,'Nilai Kurikulum 2013'!$E$4:$O$176,5,FALSE)</f>
        <v>Perancangan Permainan Komputer</v>
      </c>
      <c r="E74" s="4" t="str">
        <f ca="1">VLOOKUP(B74,'Nilai Kurikulum 2013'!$E$4:$P$176,12,FALSE)</f>
        <v/>
      </c>
      <c r="F74" s="66" t="str">
        <f t="shared" ca="1" si="1"/>
        <v>Uncheck box ini</v>
      </c>
      <c r="H74" s="4"/>
    </row>
    <row r="75" spans="2:8" hidden="1" x14ac:dyDescent="0.2">
      <c r="B75" s="4" t="s">
        <v>155</v>
      </c>
      <c r="C75" s="240">
        <f>VLOOKUP(B75,'Nilai Kurikulum 2013'!$E$4:$O$176,2,FALSE)</f>
        <v>3</v>
      </c>
      <c r="D75" s="4" t="str">
        <f>VLOOKUP(B75,'Nilai Kurikulum 2013'!$E$4:$O$176,5,FALSE)</f>
        <v>Verifikasi Formal</v>
      </c>
      <c r="E75" s="4" t="str">
        <f ca="1">VLOOKUP(B75,'Nilai Kurikulum 2013'!$E$4:$P$176,12,FALSE)</f>
        <v/>
      </c>
      <c r="F75" s="66" t="str">
        <f t="shared" ca="1" si="1"/>
        <v>Uncheck box ini</v>
      </c>
      <c r="H75" s="4"/>
    </row>
    <row r="76" spans="2:8" hidden="1" x14ac:dyDescent="0.2">
      <c r="B76" s="4" t="s">
        <v>156</v>
      </c>
      <c r="C76" s="240">
        <f>VLOOKUP(B76,'Nilai Kurikulum 2013'!$E$4:$O$176,2,FALSE)</f>
        <v>2</v>
      </c>
      <c r="D76" s="4" t="str">
        <f>VLOOKUP(B76,'Nilai Kurikulum 2013'!$E$4:$O$176,5,FALSE)</f>
        <v>Algoritma Genetika</v>
      </c>
      <c r="E76" s="4" t="str">
        <f ca="1">VLOOKUP(B76,'Nilai Kurikulum 2013'!$E$4:$P$176,12,FALSE)</f>
        <v/>
      </c>
      <c r="F76" s="66" t="str">
        <f t="shared" ca="1" si="1"/>
        <v>Uncheck box ini</v>
      </c>
      <c r="H76" s="4"/>
    </row>
    <row r="77" spans="2:8" hidden="1" x14ac:dyDescent="0.2">
      <c r="B77" s="4" t="s">
        <v>157</v>
      </c>
      <c r="C77" s="240">
        <f>VLOOKUP(B77,'Nilai Kurikulum 2013'!$E$4:$O$176,2,FALSE)</f>
        <v>2</v>
      </c>
      <c r="D77" s="4" t="str">
        <f>VLOOKUP(B77,'Nilai Kurikulum 2013'!$E$4:$O$176,5,FALSE)</f>
        <v>Jaringan Syaraf Tiruan</v>
      </c>
      <c r="E77" s="4" t="str">
        <f ca="1">VLOOKUP(B77,'Nilai Kurikulum 2013'!$E$4:$P$176,12,FALSE)</f>
        <v/>
      </c>
      <c r="F77" s="66" t="str">
        <f t="shared" ca="1" si="1"/>
        <v>Uncheck box ini</v>
      </c>
      <c r="H77" s="4"/>
    </row>
    <row r="78" spans="2:8" hidden="1" x14ac:dyDescent="0.2">
      <c r="B78" s="4" t="s">
        <v>158</v>
      </c>
      <c r="C78" s="240">
        <f>VLOOKUP(B78,'Nilai Kurikulum 2013'!$E$4:$O$176,2,FALSE)</f>
        <v>2</v>
      </c>
      <c r="D78" s="4" t="str">
        <f>VLOOKUP(B78,'Nilai Kurikulum 2013'!$E$4:$O$176,5,FALSE)</f>
        <v>Teori Bahasa dan Kompilasi</v>
      </c>
      <c r="E78" s="4" t="str">
        <f ca="1">VLOOKUP(B78,'Nilai Kurikulum 2013'!$E$4:$P$176,12,FALSE)</f>
        <v/>
      </c>
      <c r="F78" s="66" t="str">
        <f t="shared" ca="1" si="1"/>
        <v>Uncheck box ini</v>
      </c>
      <c r="H78" s="4"/>
    </row>
    <row r="79" spans="2:8" hidden="1" x14ac:dyDescent="0.2">
      <c r="B79" s="4" t="s">
        <v>159</v>
      </c>
      <c r="C79" s="240">
        <f>VLOOKUP(B79,'Nilai Kurikulum 2013'!$E$4:$O$176,2,FALSE)</f>
        <v>2</v>
      </c>
      <c r="D79" s="4" t="str">
        <f>VLOOKUP(B79,'Nilai Kurikulum 2013'!$E$4:$O$176,5,FALSE)</f>
        <v>Analisis Proses Bisnis</v>
      </c>
      <c r="E79" s="4" t="str">
        <f ca="1">VLOOKUP(B79,'Nilai Kurikulum 2013'!$E$4:$P$176,12,FALSE)</f>
        <v/>
      </c>
      <c r="F79" s="66" t="str">
        <f t="shared" ca="1" si="1"/>
        <v>Uncheck box ini</v>
      </c>
      <c r="H79" s="240"/>
    </row>
    <row r="80" spans="2:8" hidden="1" x14ac:dyDescent="0.2">
      <c r="B80" s="4" t="s">
        <v>160</v>
      </c>
      <c r="C80" s="240">
        <f>VLOOKUP(B80,'Nilai Kurikulum 2013'!$E$4:$O$176,2,FALSE)</f>
        <v>3</v>
      </c>
      <c r="D80" s="4" t="str">
        <f>VLOOKUP(B80,'Nilai Kurikulum 2013'!$E$4:$O$176,5,FALSE)</f>
        <v>Jaringan Komputer Lanjut</v>
      </c>
      <c r="E80" s="4" t="str">
        <f ca="1">VLOOKUP(B80,'Nilai Kurikulum 2013'!$E$4:$P$176,12,FALSE)</f>
        <v/>
      </c>
      <c r="F80" s="66" t="str">
        <f t="shared" ca="1" si="1"/>
        <v>Uncheck box ini</v>
      </c>
      <c r="H80" s="4"/>
    </row>
    <row r="81" spans="2:8" x14ac:dyDescent="0.2">
      <c r="B81" s="4" t="s">
        <v>161</v>
      </c>
      <c r="C81" s="240">
        <f>VLOOKUP(B81,'Nilai Kurikulum 2013'!$E$4:$O$176,2,FALSE)</f>
        <v>3</v>
      </c>
      <c r="D81" s="4" t="str">
        <f>VLOOKUP(B81,'Nilai Kurikulum 2013'!$E$4:$O$176,5,FALSE)</f>
        <v>Pemrograman Berbasis Web Lanjut</v>
      </c>
      <c r="E81" s="4" t="str">
        <f ca="1">VLOOKUP(B81,'Nilai Kurikulum 2013'!$E$4:$P$176,12,FALSE)</f>
        <v>B</v>
      </c>
      <c r="F81" s="66" t="str">
        <f t="shared" ca="1" si="1"/>
        <v>OK</v>
      </c>
      <c r="H81" s="4"/>
    </row>
    <row r="82" spans="2:8" hidden="1" x14ac:dyDescent="0.2">
      <c r="B82" s="4" t="s">
        <v>162</v>
      </c>
      <c r="C82" s="240">
        <f>VLOOKUP(B82,'Nilai Kurikulum 2013'!$E$4:$O$176,2,FALSE)</f>
        <v>3</v>
      </c>
      <c r="D82" s="4" t="str">
        <f>VLOOKUP(B82,'Nilai Kurikulum 2013'!$E$4:$O$176,5,FALSE)</f>
        <v>Sistem dan Aplikasi Telematika</v>
      </c>
      <c r="E82" s="4" t="str">
        <f ca="1">VLOOKUP(B82,'Nilai Kurikulum 2013'!$E$4:$P$176,12,FALSE)</f>
        <v/>
      </c>
      <c r="F82" s="66" t="str">
        <f t="shared" ca="1" si="1"/>
        <v>Uncheck box ini</v>
      </c>
      <c r="H82" s="4"/>
    </row>
    <row r="83" spans="2:8" hidden="1" x14ac:dyDescent="0.2">
      <c r="B83" s="4" t="s">
        <v>163</v>
      </c>
      <c r="C83" s="240">
        <f>VLOOKUP(B83,'Nilai Kurikulum 2013'!$E$4:$O$176,2,FALSE)</f>
        <v>3</v>
      </c>
      <c r="D83" s="4" t="str">
        <f>VLOOKUP(B83,'Nilai Kurikulum 2013'!$E$4:$O$176,5,FALSE)</f>
        <v>Teori Bahasa dan Otomata</v>
      </c>
      <c r="E83" s="4" t="str">
        <f ca="1">VLOOKUP(B83,'Nilai Kurikulum 2013'!$E$4:$P$176,12,FALSE)</f>
        <v/>
      </c>
      <c r="F83" s="66" t="str">
        <f t="shared" ca="1" si="1"/>
        <v>Uncheck box ini</v>
      </c>
      <c r="H83" s="4"/>
    </row>
    <row r="84" spans="2:8" hidden="1" x14ac:dyDescent="0.2">
      <c r="B84" s="4" t="s">
        <v>164</v>
      </c>
      <c r="C84" s="240">
        <f>VLOOKUP(B84,'Nilai Kurikulum 2013'!$E$4:$O$176,2,FALSE)</f>
        <v>3</v>
      </c>
      <c r="D84" s="4" t="str">
        <f>VLOOKUP(B84,'Nilai Kurikulum 2013'!$E$4:$O$176,5,FALSE)</f>
        <v>Gudang Data dan Penambangan Data</v>
      </c>
      <c r="E84" s="4" t="str">
        <f ca="1">VLOOKUP(B84,'Nilai Kurikulum 2013'!$E$4:$P$176,12,FALSE)</f>
        <v/>
      </c>
      <c r="F84" s="66" t="str">
        <f t="shared" ca="1" si="1"/>
        <v>Uncheck box ini</v>
      </c>
      <c r="H84" s="240"/>
    </row>
    <row r="85" spans="2:8" hidden="1" x14ac:dyDescent="0.2">
      <c r="B85" s="4" t="s">
        <v>165</v>
      </c>
      <c r="C85" s="240">
        <f>VLOOKUP(B85,'Nilai Kurikulum 2013'!$E$4:$O$176,2,FALSE)</f>
        <v>1</v>
      </c>
      <c r="D85" s="4" t="str">
        <f>VLOOKUP(B85,'Nilai Kurikulum 2013'!$E$4:$O$176,5,FALSE)</f>
        <v>Praktika Pemrograman Basisdata</v>
      </c>
      <c r="E85" s="4" t="str">
        <f ca="1">VLOOKUP(B85,'Nilai Kurikulum 2013'!$E$4:$P$176,12,FALSE)</f>
        <v/>
      </c>
      <c r="F85" s="66" t="str">
        <f t="shared" ca="1" si="1"/>
        <v>Uncheck box ini</v>
      </c>
      <c r="H85" s="4"/>
    </row>
    <row r="86" spans="2:8" hidden="1" x14ac:dyDescent="0.2">
      <c r="B86" s="4" t="s">
        <v>166</v>
      </c>
      <c r="C86" s="240">
        <f>VLOOKUP(B86,'Nilai Kurikulum 2013'!$E$4:$O$176,2,FALSE)</f>
        <v>2</v>
      </c>
      <c r="D86" s="4" t="str">
        <f>VLOOKUP(B86,'Nilai Kurikulum 2013'!$E$4:$O$176,5,FALSE)</f>
        <v>Manajemen Projek Teknologi Informasi</v>
      </c>
      <c r="E86" s="4" t="str">
        <f ca="1">VLOOKUP(B86,'Nilai Kurikulum 2013'!$E$4:$P$176,12,FALSE)</f>
        <v/>
      </c>
      <c r="F86" s="66" t="str">
        <f t="shared" ca="1" si="1"/>
        <v>Uncheck box ini</v>
      </c>
      <c r="H86" s="240"/>
    </row>
    <row r="87" spans="2:8" hidden="1" x14ac:dyDescent="0.2">
      <c r="B87" s="4" t="s">
        <v>167</v>
      </c>
      <c r="C87" s="240">
        <f>VLOOKUP(B87,'Nilai Kurikulum 2013'!$E$4:$O$176,2,FALSE)</f>
        <v>1</v>
      </c>
      <c r="D87" s="4" t="str">
        <f>VLOOKUP(B87,'Nilai Kurikulum 2013'!$E$4:$O$176,5,FALSE)</f>
        <v>Praktika Pemrograman Aplikasi Bergerak</v>
      </c>
      <c r="E87" s="4" t="str">
        <f ca="1">VLOOKUP(B87,'Nilai Kurikulum 2013'!$E$4:$P$176,12,FALSE)</f>
        <v/>
      </c>
      <c r="F87" s="66" t="str">
        <f t="shared" ca="1" si="1"/>
        <v>Uncheck box ini</v>
      </c>
      <c r="H87" s="4"/>
    </row>
    <row r="88" spans="2:8" hidden="1" x14ac:dyDescent="0.2">
      <c r="B88" s="4" t="s">
        <v>168</v>
      </c>
      <c r="C88" s="240">
        <f>VLOOKUP(B88,'Nilai Kurikulum 2013'!$E$4:$O$176,2,FALSE)</f>
        <v>3</v>
      </c>
      <c r="D88" s="4" t="str">
        <f>VLOOKUP(B88,'Nilai Kurikulum 2013'!$E$4:$O$176,5,FALSE)</f>
        <v>Topik Khusus Informatika 3</v>
      </c>
      <c r="E88" s="4" t="str">
        <f ca="1">VLOOKUP(B88,'Nilai Kurikulum 2013'!$E$4:$P$176,12,FALSE)</f>
        <v/>
      </c>
      <c r="F88" s="66" t="str">
        <f t="shared" ca="1" si="1"/>
        <v>Uncheck box ini</v>
      </c>
      <c r="H88" s="4"/>
    </row>
    <row r="89" spans="2:8" hidden="1" x14ac:dyDescent="0.2">
      <c r="B89" s="4" t="s">
        <v>169</v>
      </c>
      <c r="C89" s="240">
        <f>VLOOKUP(B89,'Nilai Kurikulum 2013'!$E$4:$O$176,2,FALSE)</f>
        <v>3</v>
      </c>
      <c r="D89" s="4" t="str">
        <f>VLOOKUP(B89,'Nilai Kurikulum 2013'!$E$4:$O$176,5,FALSE)</f>
        <v>Topik Khusus Sistem Informasi 3</v>
      </c>
      <c r="E89" s="4" t="str">
        <f ca="1">VLOOKUP(B89,'Nilai Kurikulum 2013'!$E$4:$P$176,12,FALSE)</f>
        <v/>
      </c>
      <c r="F89" s="66" t="str">
        <f t="shared" ca="1" si="1"/>
        <v>Uncheck box ini</v>
      </c>
      <c r="H89" s="4"/>
    </row>
    <row r="90" spans="2:8" hidden="1" x14ac:dyDescent="0.2">
      <c r="B90" s="4" t="s">
        <v>170</v>
      </c>
      <c r="C90" s="240">
        <f>VLOOKUP(B90,'Nilai Kurikulum 2013'!$E$4:$O$176,2,FALSE)</f>
        <v>3</v>
      </c>
      <c r="D90" s="4" t="str">
        <f>VLOOKUP(B90,'Nilai Kurikulum 2013'!$E$4:$O$176,5,FALSE)</f>
        <v>Grafika Komputer Lanjut</v>
      </c>
      <c r="E90" s="4" t="str">
        <f ca="1">VLOOKUP(B90,'Nilai Kurikulum 2013'!$E$4:$P$176,12,FALSE)</f>
        <v/>
      </c>
      <c r="F90" s="66" t="str">
        <f t="shared" ca="1" si="1"/>
        <v>Uncheck box ini</v>
      </c>
      <c r="H90" s="4"/>
    </row>
    <row r="91" spans="2:8" hidden="1" x14ac:dyDescent="0.2">
      <c r="B91" s="4" t="s">
        <v>171</v>
      </c>
      <c r="C91" s="240">
        <f>VLOOKUP(B91,'Nilai Kurikulum 2013'!$E$4:$O$176,2,FALSE)</f>
        <v>3</v>
      </c>
      <c r="D91" s="4" t="str">
        <f>VLOOKUP(B91,'Nilai Kurikulum 2013'!$E$4:$O$176,5,FALSE)</f>
        <v>Kecerdasan Buatan untuk Permainan Komputer</v>
      </c>
      <c r="E91" s="4" t="str">
        <f ca="1">VLOOKUP(B91,'Nilai Kurikulum 2013'!$E$4:$P$176,12,FALSE)</f>
        <v/>
      </c>
      <c r="F91" s="66" t="str">
        <f t="shared" ca="1" si="1"/>
        <v>Uncheck box ini</v>
      </c>
      <c r="H91" s="4"/>
    </row>
    <row r="92" spans="2:8" hidden="1" x14ac:dyDescent="0.2">
      <c r="B92" s="4" t="s">
        <v>172</v>
      </c>
      <c r="C92" s="240">
        <f>VLOOKUP(B92,'Nilai Kurikulum 2013'!$E$4:$O$176,2,FALSE)</f>
        <v>3</v>
      </c>
      <c r="D92" s="4" t="str">
        <f>VLOOKUP(B92,'Nilai Kurikulum 2013'!$E$4:$O$176,5,FALSE)</f>
        <v>Kerja Praktek 2</v>
      </c>
      <c r="E92" s="4" t="str">
        <f ca="1">VLOOKUP(B92,'Nilai Kurikulum 2013'!$E$4:$P$176,12,FALSE)</f>
        <v/>
      </c>
      <c r="F92" s="66" t="str">
        <f t="shared" ca="1" si="1"/>
        <v>Uncheck box ini</v>
      </c>
      <c r="H92" s="4"/>
    </row>
    <row r="93" spans="2:8" hidden="1" x14ac:dyDescent="0.2">
      <c r="B93" s="4" t="s">
        <v>173</v>
      </c>
      <c r="C93" s="240">
        <f>VLOOKUP(B93,'Nilai Kurikulum 2013'!$E$4:$O$176,2,FALSE)</f>
        <v>3</v>
      </c>
      <c r="D93" s="4" t="str">
        <f>VLOOKUP(B93,'Nilai Kurikulum 2013'!$E$4:$O$176,5,FALSE)</f>
        <v>Administrasi Jaringan Komputer 3</v>
      </c>
      <c r="E93" s="4" t="str">
        <f ca="1">VLOOKUP(B93,'Nilai Kurikulum 2013'!$E$4:$P$176,12,FALSE)</f>
        <v/>
      </c>
      <c r="F93" s="66" t="str">
        <f t="shared" ca="1" si="1"/>
        <v>Uncheck box ini</v>
      </c>
      <c r="H93" s="4"/>
    </row>
    <row r="94" spans="2:8" hidden="1" x14ac:dyDescent="0.2">
      <c r="B94" s="4" t="s">
        <v>174</v>
      </c>
      <c r="C94" s="240">
        <f>VLOOKUP(B94,'Nilai Kurikulum 2013'!$E$4:$O$176,2,FALSE)</f>
        <v>3</v>
      </c>
      <c r="D94" s="4" t="str">
        <f>VLOOKUP(B94,'Nilai Kurikulum 2013'!$E$4:$O$176,5,FALSE)</f>
        <v>Matematika Kombinatorial</v>
      </c>
      <c r="E94" s="4" t="str">
        <f ca="1">VLOOKUP(B94,'Nilai Kurikulum 2013'!$E$4:$P$176,12,FALSE)</f>
        <v/>
      </c>
      <c r="F94" s="66" t="str">
        <f t="shared" ca="1" si="1"/>
        <v>Uncheck box ini</v>
      </c>
      <c r="H94" s="4"/>
    </row>
    <row r="95" spans="2:8" x14ac:dyDescent="0.2">
      <c r="B95" s="4" t="s">
        <v>175</v>
      </c>
      <c r="C95" s="240">
        <f>VLOOKUP(B95,'Nilai Kurikulum 2013'!$E$4:$O$176,2,FALSE)</f>
        <v>3</v>
      </c>
      <c r="D95" s="4" t="str">
        <f>VLOOKUP(B95,'Nilai Kurikulum 2013'!$E$4:$O$176,5,FALSE)</f>
        <v>Metode Numerik</v>
      </c>
      <c r="E95" s="4" t="str">
        <f ca="1">VLOOKUP(B95,'Nilai Kurikulum 2013'!$E$4:$P$176,12,FALSE)</f>
        <v>B</v>
      </c>
      <c r="F95" s="66" t="str">
        <f t="shared" ca="1" si="1"/>
        <v>OK</v>
      </c>
      <c r="H95" s="4"/>
    </row>
    <row r="96" spans="2:8" hidden="1" x14ac:dyDescent="0.2">
      <c r="B96" s="4" t="s">
        <v>176</v>
      </c>
      <c r="C96" s="240">
        <f>VLOOKUP(B96,'Nilai Kurikulum 2013'!$E$4:$O$176,2,FALSE)</f>
        <v>3</v>
      </c>
      <c r="D96" s="4" t="str">
        <f>VLOOKUP(B96,'Nilai Kurikulum 2013'!$E$4:$O$176,5,FALSE)</f>
        <v>Metode Optimisasi</v>
      </c>
      <c r="E96" s="4" t="str">
        <f ca="1">VLOOKUP(B96,'Nilai Kurikulum 2013'!$E$4:$P$176,12,FALSE)</f>
        <v/>
      </c>
      <c r="F96" s="66" t="str">
        <f t="shared" ca="1" si="1"/>
        <v>Uncheck box ini</v>
      </c>
      <c r="H96" s="4"/>
    </row>
    <row r="97" spans="2:8" hidden="1" x14ac:dyDescent="0.2">
      <c r="B97" s="4" t="s">
        <v>177</v>
      </c>
      <c r="C97" s="240">
        <f>VLOOKUP(B97,'Nilai Kurikulum 2013'!$E$4:$O$176,2,FALSE)</f>
        <v>3</v>
      </c>
      <c r="D97" s="4" t="str">
        <f>VLOOKUP(B97,'Nilai Kurikulum 2013'!$E$4:$O$176,5,FALSE)</f>
        <v>Teknologi Mesin Pencari</v>
      </c>
      <c r="E97" s="4" t="str">
        <f ca="1">VLOOKUP(B97,'Nilai Kurikulum 2013'!$E$4:$P$176,12,FALSE)</f>
        <v/>
      </c>
      <c r="F97" s="66" t="str">
        <f t="shared" ca="1" si="1"/>
        <v>Uncheck box ini</v>
      </c>
      <c r="H97" s="4"/>
    </row>
    <row r="98" spans="2:8" hidden="1" x14ac:dyDescent="0.2">
      <c r="B98" s="4" t="s">
        <v>178</v>
      </c>
      <c r="C98" s="240">
        <f>VLOOKUP(B98,'Nilai Kurikulum 2013'!$E$4:$O$176,2,FALSE)</f>
        <v>3</v>
      </c>
      <c r="D98" s="4" t="str">
        <f>VLOOKUP(B98,'Nilai Kurikulum 2013'!$E$4:$O$176,5,FALSE)</f>
        <v>Audit Sistem Informasi</v>
      </c>
      <c r="E98" s="4" t="str">
        <f ca="1">VLOOKUP(B98,'Nilai Kurikulum 2013'!$E$4:$P$176,12,FALSE)</f>
        <v/>
      </c>
      <c r="F98" s="66" t="str">
        <f t="shared" ca="1" si="1"/>
        <v>Uncheck box ini</v>
      </c>
      <c r="H98" s="240"/>
    </row>
    <row r="99" spans="2:8" hidden="1" x14ac:dyDescent="0.2">
      <c r="B99" s="4" t="s">
        <v>179</v>
      </c>
      <c r="C99" s="240">
        <f>VLOOKUP(B99,'Nilai Kurikulum 2013'!$E$4:$O$176,2,FALSE)</f>
        <v>3</v>
      </c>
      <c r="D99" s="4" t="str">
        <f>VLOOKUP(B99,'Nilai Kurikulum 2013'!$E$4:$O$176,5,FALSE)</f>
        <v>Kecerdasan Bisnis</v>
      </c>
      <c r="E99" s="4" t="str">
        <f ca="1">VLOOKUP(B99,'Nilai Kurikulum 2013'!$E$4:$P$176,12,FALSE)</f>
        <v/>
      </c>
      <c r="F99" s="66" t="str">
        <f t="shared" ca="1" si="1"/>
        <v>Uncheck box ini</v>
      </c>
      <c r="H99" s="4"/>
    </row>
    <row r="100" spans="2:8" hidden="1" x14ac:dyDescent="0.2">
      <c r="B100" s="4" t="s">
        <v>180</v>
      </c>
      <c r="C100" s="240">
        <f>VLOOKUP(B100,'Nilai Kurikulum 2013'!$E$4:$O$176,2,FALSE)</f>
        <v>3</v>
      </c>
      <c r="D100" s="4" t="str">
        <f>VLOOKUP(B100,'Nilai Kurikulum 2013'!$E$4:$O$176,5,FALSE)</f>
        <v>Sistem Pendukung Keputusan</v>
      </c>
      <c r="E100" s="4" t="str">
        <f ca="1">VLOOKUP(B100,'Nilai Kurikulum 2013'!$E$4:$P$176,12,FALSE)</f>
        <v/>
      </c>
      <c r="F100" s="66" t="str">
        <f t="shared" ca="1" si="1"/>
        <v>Uncheck box ini</v>
      </c>
      <c r="H100" s="4"/>
    </row>
    <row r="101" spans="2:8" x14ac:dyDescent="0.2">
      <c r="B101" s="4" t="s">
        <v>181</v>
      </c>
      <c r="C101" s="240">
        <f>VLOOKUP(B101,'Nilai Kurikulum 2013'!$E$4:$O$176,2,FALSE)</f>
        <v>3</v>
      </c>
      <c r="D101" s="4" t="str">
        <f>VLOOKUP(B101,'Nilai Kurikulum 2013'!$E$4:$O$176,5,FALSE)</f>
        <v>Kewirausahaan Berbasis Teknologi</v>
      </c>
      <c r="E101" s="4" t="str">
        <f ca="1">VLOOKUP(B101,'Nilai Kurikulum 2013'!$E$4:$P$176,12,FALSE)</f>
        <v>C</v>
      </c>
      <c r="F101" s="66" t="str">
        <f t="shared" ca="1" si="1"/>
        <v>OK</v>
      </c>
      <c r="H101" s="4"/>
    </row>
    <row r="102" spans="2:8" hidden="1" x14ac:dyDescent="0.2">
      <c r="B102" s="4" t="s">
        <v>182</v>
      </c>
      <c r="C102" s="240">
        <f>VLOOKUP(B102,'Nilai Kurikulum 2013'!$E$4:$O$176,2,FALSE)</f>
        <v>3</v>
      </c>
      <c r="D102" s="4" t="str">
        <f>VLOOKUP(B102,'Nilai Kurikulum 2013'!$E$4:$O$176,5,FALSE)</f>
        <v>Administrasi Basisdata</v>
      </c>
      <c r="E102" s="4" t="str">
        <f ca="1">VLOOKUP(B102,'Nilai Kurikulum 2013'!$E$4:$P$176,12,FALSE)</f>
        <v/>
      </c>
      <c r="F102" s="66" t="str">
        <f t="shared" ca="1" si="1"/>
        <v>Uncheck box ini</v>
      </c>
      <c r="H102" s="240"/>
    </row>
    <row r="103" spans="2:8" hidden="1" x14ac:dyDescent="0.2">
      <c r="B103" s="4" t="s">
        <v>183</v>
      </c>
      <c r="C103" s="240">
        <f>VLOOKUP(B103,'Nilai Kurikulum 2013'!$E$4:$O$176,2,FALSE)</f>
        <v>2</v>
      </c>
      <c r="D103" s="4" t="str">
        <f>VLOOKUP(B103,'Nilai Kurikulum 2013'!$E$4:$O$176,5,FALSE)</f>
        <v>Pencarian dan Temu Kembali Informasi</v>
      </c>
      <c r="E103" s="4" t="str">
        <f ca="1">VLOOKUP(B103,'Nilai Kurikulum 2013'!$E$4:$P$176,12,FALSE)</f>
        <v/>
      </c>
      <c r="F103" s="66" t="str">
        <f t="shared" ca="1" si="1"/>
        <v>Uncheck box ini</v>
      </c>
      <c r="H103" s="4"/>
    </row>
    <row r="104" spans="2:8" hidden="1" x14ac:dyDescent="0.2">
      <c r="B104" s="4" t="s">
        <v>184</v>
      </c>
      <c r="C104" s="240">
        <f>VLOOKUP(B104,'Nilai Kurikulum 2013'!$E$4:$O$176,2,FALSE)</f>
        <v>3</v>
      </c>
      <c r="D104" s="4" t="str">
        <f>VLOOKUP(B104,'Nilai Kurikulum 2013'!$E$4:$O$176,5,FALSE)</f>
        <v>Jaringan Nirkabel</v>
      </c>
      <c r="E104" s="4" t="str">
        <f ca="1">VLOOKUP(B104,'Nilai Kurikulum 2013'!$E$4:$P$176,12,FALSE)</f>
        <v/>
      </c>
      <c r="F104" s="66" t="str">
        <f t="shared" ca="1" si="1"/>
        <v>Uncheck box ini</v>
      </c>
      <c r="H104" s="4"/>
    </row>
    <row r="105" spans="2:8" hidden="1" x14ac:dyDescent="0.2">
      <c r="B105" s="4" t="s">
        <v>185</v>
      </c>
      <c r="C105" s="240">
        <f>VLOOKUP(B105,'Nilai Kurikulum 2013'!$E$4:$O$176,2,FALSE)</f>
        <v>3</v>
      </c>
      <c r="D105" s="4" t="str">
        <f>VLOOKUP(B105,'Nilai Kurikulum 2013'!$E$4:$O$176,5,FALSE)</f>
        <v>Teknologi Middleware</v>
      </c>
      <c r="E105" s="4" t="str">
        <f ca="1">VLOOKUP(B105,'Nilai Kurikulum 2013'!$E$4:$P$176,12,FALSE)</f>
        <v/>
      </c>
      <c r="F105" s="66" t="str">
        <f t="shared" ca="1" si="1"/>
        <v>Uncheck box ini</v>
      </c>
      <c r="H105" s="4"/>
    </row>
    <row r="106" spans="2:8" x14ac:dyDescent="0.2">
      <c r="B106" s="4" t="s">
        <v>186</v>
      </c>
      <c r="C106" s="240">
        <f>VLOOKUP(B106,'Nilai Kurikulum 2013'!$E$4:$O$176,2,FALSE)</f>
        <v>3</v>
      </c>
      <c r="D106" s="4" t="str">
        <f>VLOOKUP(B106,'Nilai Kurikulum 2013'!$E$4:$O$176,5,FALSE)</f>
        <v>Layanan Berbasis Web</v>
      </c>
      <c r="E106" s="4" t="str">
        <f ca="1">VLOOKUP(B106,'Nilai Kurikulum 2013'!$E$4:$P$176,12,FALSE)</f>
        <v>B</v>
      </c>
      <c r="F106" s="66" t="str">
        <f t="shared" ca="1" si="1"/>
        <v>OK</v>
      </c>
      <c r="H106" s="4"/>
    </row>
    <row r="107" spans="2:8" hidden="1" x14ac:dyDescent="0.2">
      <c r="B107" s="4" t="s">
        <v>187</v>
      </c>
      <c r="C107" s="240">
        <f>VLOOKUP(B107,'Nilai Kurikulum 2013'!$E$4:$O$176,2,FALSE)</f>
        <v>3</v>
      </c>
      <c r="D107" s="4" t="str">
        <f>VLOOKUP(B107,'Nilai Kurikulum 2013'!$E$4:$O$176,5,FALSE)</f>
        <v>Sistem Pakar</v>
      </c>
      <c r="E107" s="4" t="str">
        <f ca="1">VLOOKUP(B107,'Nilai Kurikulum 2013'!$E$4:$P$176,12,FALSE)</f>
        <v/>
      </c>
      <c r="F107" s="66" t="str">
        <f t="shared" ca="1" si="1"/>
        <v>Uncheck box ini</v>
      </c>
      <c r="H107" s="4"/>
    </row>
    <row r="108" spans="2:8" hidden="1" x14ac:dyDescent="0.2">
      <c r="B108" s="4" t="s">
        <v>188</v>
      </c>
      <c r="C108" s="240">
        <f>VLOOKUP(B108,'Nilai Kurikulum 2013'!$E$4:$O$176,2,FALSE)</f>
        <v>2</v>
      </c>
      <c r="D108" s="4" t="str">
        <f>VLOOKUP(B108,'Nilai Kurikulum 2013'!$E$4:$O$176,5,FALSE)</f>
        <v>Teknik Kompilasi</v>
      </c>
      <c r="E108" s="4" t="str">
        <f ca="1">VLOOKUP(B108,'Nilai Kurikulum 2013'!$E$4:$P$176,12,FALSE)</f>
        <v/>
      </c>
      <c r="F108" s="66" t="str">
        <f t="shared" ca="1" si="1"/>
        <v>Uncheck box ini</v>
      </c>
      <c r="H108" s="4"/>
    </row>
    <row r="109" spans="2:8" hidden="1" x14ac:dyDescent="0.2">
      <c r="B109" s="4" t="s">
        <v>189</v>
      </c>
      <c r="C109" s="240">
        <f>VLOOKUP(B109,'Nilai Kurikulum 2013'!$E$4:$O$176,2,FALSE)</f>
        <v>2</v>
      </c>
      <c r="D109" s="4" t="str">
        <f>VLOOKUP(B109,'Nilai Kurikulum 2013'!$E$4:$O$176,5,FALSE)</f>
        <v>Metode Formal</v>
      </c>
      <c r="E109" s="4" t="str">
        <f ca="1">VLOOKUP(B109,'Nilai Kurikulum 2013'!$E$4:$P$176,12,FALSE)</f>
        <v/>
      </c>
      <c r="F109" s="66" t="str">
        <f t="shared" ca="1" si="1"/>
        <v>Uncheck box ini</v>
      </c>
      <c r="H109" s="4"/>
    </row>
    <row r="110" spans="2:8" hidden="1" x14ac:dyDescent="0.2">
      <c r="B110" s="4" t="s">
        <v>190</v>
      </c>
      <c r="C110" s="240">
        <f>VLOOKUP(B110,'Nilai Kurikulum 2013'!$E$4:$O$176,2,FALSE)</f>
        <v>2</v>
      </c>
      <c r="D110" s="4" t="str">
        <f>VLOOKUP(B110,'Nilai Kurikulum 2013'!$E$4:$O$176,5,FALSE)</f>
        <v>Perencanaan Sistem Informasi</v>
      </c>
      <c r="E110" s="4" t="str">
        <f ca="1">VLOOKUP(B110,'Nilai Kurikulum 2013'!$E$4:$P$176,12,FALSE)</f>
        <v/>
      </c>
      <c r="F110" s="66" t="str">
        <f t="shared" ca="1" si="1"/>
        <v>Uncheck box ini</v>
      </c>
      <c r="H110" s="4"/>
    </row>
    <row r="111" spans="2:8" hidden="1" x14ac:dyDescent="0.2">
      <c r="B111" s="4" t="s">
        <v>191</v>
      </c>
      <c r="C111" s="240">
        <f>VLOOKUP(B111,'Nilai Kurikulum 2013'!$E$4:$O$176,2,FALSE)</f>
        <v>2</v>
      </c>
      <c r="D111" s="4" t="str">
        <f>VLOOKUP(B111,'Nilai Kurikulum 2013'!$E$4:$O$176,5,FALSE)</f>
        <v>Keamanan Informasi Dijital</v>
      </c>
      <c r="E111" s="4" t="str">
        <f ca="1">VLOOKUP(B111,'Nilai Kurikulum 2013'!$E$4:$P$176,12,FALSE)</f>
        <v/>
      </c>
      <c r="F111" s="66" t="str">
        <f t="shared" ca="1" si="1"/>
        <v>Uncheck box ini</v>
      </c>
      <c r="H111" s="4"/>
    </row>
    <row r="112" spans="2:8" hidden="1" x14ac:dyDescent="0.2">
      <c r="B112" s="4" t="s">
        <v>192</v>
      </c>
      <c r="C112" s="240">
        <f>VLOOKUP(B112,'Nilai Kurikulum 2013'!$E$4:$O$176,2,FALSE)</f>
        <v>2</v>
      </c>
      <c r="D112" s="4" t="str">
        <f>VLOOKUP(B112,'Nilai Kurikulum 2013'!$E$4:$O$176,5,FALSE)</f>
        <v>Topik Khusus Informatika 4</v>
      </c>
      <c r="E112" s="4" t="str">
        <f ca="1">VLOOKUP(B112,'Nilai Kurikulum 2013'!$E$4:$P$176,12,FALSE)</f>
        <v/>
      </c>
      <c r="F112" s="66" t="str">
        <f t="shared" ca="1" si="1"/>
        <v>Uncheck box ini</v>
      </c>
      <c r="H112" s="4"/>
    </row>
    <row r="113" spans="2:8" hidden="1" x14ac:dyDescent="0.2">
      <c r="B113" s="4" t="s">
        <v>193</v>
      </c>
      <c r="C113" s="240">
        <f>VLOOKUP(B113,'Nilai Kurikulum 2013'!$E$4:$O$176,2,FALSE)</f>
        <v>2</v>
      </c>
      <c r="D113" s="4" t="str">
        <f>VLOOKUP(B113,'Nilai Kurikulum 2013'!$E$4:$O$176,5,FALSE)</f>
        <v>Topik Khusus Sistem Informasi 4</v>
      </c>
      <c r="E113" s="4" t="str">
        <f ca="1">VLOOKUP(B113,'Nilai Kurikulum 2013'!$E$4:$P$176,12,FALSE)</f>
        <v/>
      </c>
      <c r="F113" s="66" t="str">
        <f t="shared" ca="1" si="1"/>
        <v>Uncheck box ini</v>
      </c>
      <c r="H113" s="4"/>
    </row>
    <row r="114" spans="2:8" hidden="1" x14ac:dyDescent="0.2">
      <c r="B114" s="4" t="s">
        <v>194</v>
      </c>
      <c r="C114" s="240">
        <f>VLOOKUP(B114,'Nilai Kurikulum 2013'!$E$4:$O$176,2,FALSE)</f>
        <v>3</v>
      </c>
      <c r="D114" s="4" t="str">
        <f>VLOOKUP(B114,'Nilai Kurikulum 2013'!$E$4:$O$176,5,FALSE)</f>
        <v>Bio-Inspired Computing</v>
      </c>
      <c r="E114" s="4" t="str">
        <f ca="1">VLOOKUP(B114,'Nilai Kurikulum 2013'!$E$4:$P$176,12,FALSE)</f>
        <v/>
      </c>
      <c r="F114" s="66" t="str">
        <f t="shared" ca="1" si="1"/>
        <v>Uncheck box ini</v>
      </c>
      <c r="H114" s="4"/>
    </row>
    <row r="115" spans="2:8" hidden="1" x14ac:dyDescent="0.2">
      <c r="B115" s="4" t="s">
        <v>195</v>
      </c>
      <c r="C115" s="240">
        <f>VLOOKUP(B115,'Nilai Kurikulum 2013'!$E$4:$O$176,2,FALSE)</f>
        <v>3</v>
      </c>
      <c r="D115" s="4" t="str">
        <f>VLOOKUP(B115,'Nilai Kurikulum 2013'!$E$4:$O$176,5,FALSE)</f>
        <v>Penambangan Data</v>
      </c>
      <c r="E115" s="4" t="str">
        <f ca="1">VLOOKUP(B115,'Nilai Kurikulum 2013'!$E$4:$P$176,12,FALSE)</f>
        <v/>
      </c>
      <c r="F115" s="66" t="str">
        <f t="shared" ca="1" si="1"/>
        <v>Uncheck box ini</v>
      </c>
      <c r="H115" s="4"/>
    </row>
    <row r="116" spans="2:8" hidden="1" x14ac:dyDescent="0.2">
      <c r="B116" s="4" t="s">
        <v>196</v>
      </c>
      <c r="C116" s="240">
        <f>VLOOKUP(B116,'Nilai Kurikulum 2013'!$E$4:$O$176,2,FALSE)</f>
        <v>4</v>
      </c>
      <c r="D116" s="4" t="str">
        <f>VLOOKUP(B116,'Nilai Kurikulum 2013'!$E$4:$O$176,5,FALSE)</f>
        <v>Kerja Praktek 3</v>
      </c>
      <c r="E116" s="4" t="str">
        <f ca="1">VLOOKUP(B116,'Nilai Kurikulum 2013'!$E$4:$P$176,12,FALSE)</f>
        <v/>
      </c>
      <c r="F116" s="66" t="str">
        <f t="shared" ca="1" si="1"/>
        <v>Uncheck box ini</v>
      </c>
      <c r="H116" s="4"/>
    </row>
    <row r="117" spans="2:8" hidden="1" x14ac:dyDescent="0.2">
      <c r="B117" s="4" t="s">
        <v>197</v>
      </c>
      <c r="C117" s="240">
        <f>VLOOKUP(B117,'Nilai Kurikulum 2013'!$E$4:$O$176,2,FALSE)</f>
        <v>3</v>
      </c>
      <c r="D117" s="4" t="str">
        <f>VLOOKUP(B117,'Nilai Kurikulum 2013'!$E$4:$O$176,5,FALSE)</f>
        <v>Administrasi Jaringan Komputer 4</v>
      </c>
      <c r="E117" s="4" t="str">
        <f ca="1">VLOOKUP(B117,'Nilai Kurikulum 2013'!$E$4:$P$176,12,FALSE)</f>
        <v/>
      </c>
      <c r="F117" s="66" t="str">
        <f t="shared" ca="1" si="1"/>
        <v>Uncheck box ini</v>
      </c>
      <c r="H117" s="4"/>
    </row>
    <row r="118" spans="2:8" hidden="1" x14ac:dyDescent="0.2">
      <c r="B118" s="4" t="s">
        <v>198</v>
      </c>
      <c r="C118" s="240">
        <f>VLOOKUP(B118,'Nilai Kurikulum 2013'!$E$4:$O$176,2,FALSE)</f>
        <v>3</v>
      </c>
      <c r="D118" s="4" t="str">
        <f>VLOOKUP(B118,'Nilai Kurikulum 2013'!$E$4:$O$176,5,FALSE)</f>
        <v>Pemrograman Permainan Komputer</v>
      </c>
      <c r="E118" s="4" t="str">
        <f ca="1">VLOOKUP(B118,'Nilai Kurikulum 2013'!$E$4:$P$176,12,FALSE)</f>
        <v/>
      </c>
      <c r="F118" s="66" t="str">
        <f t="shared" ca="1" si="1"/>
        <v>Uncheck box ini</v>
      </c>
      <c r="H118" s="4"/>
    </row>
    <row r="119" spans="2:8" hidden="1" x14ac:dyDescent="0.2">
      <c r="B119" s="4" t="s">
        <v>199</v>
      </c>
      <c r="C119" s="240">
        <f>VLOOKUP(B119,'Nilai Kurikulum 2013'!$E$4:$O$176,2,FALSE)</f>
        <v>3</v>
      </c>
      <c r="D119" s="4" t="str">
        <f>VLOOKUP(B119,'Nilai Kurikulum 2013'!$E$4:$O$176,5,FALSE)</f>
        <v>Kompresi Data</v>
      </c>
      <c r="E119" s="4" t="str">
        <f ca="1">VLOOKUP(B119,'Nilai Kurikulum 2013'!$E$4:$P$176,12,FALSE)</f>
        <v/>
      </c>
      <c r="F119" s="66" t="str">
        <f t="shared" ca="1" si="1"/>
        <v>Uncheck box ini</v>
      </c>
      <c r="H119" s="4"/>
    </row>
    <row r="120" spans="2:8" hidden="1" x14ac:dyDescent="0.2">
      <c r="B120" s="4" t="s">
        <v>200</v>
      </c>
      <c r="C120" s="240">
        <f>VLOOKUP(B120,'Nilai Kurikulum 2013'!$E$4:$O$176,2,FALSE)</f>
        <v>3</v>
      </c>
      <c r="D120" s="4" t="str">
        <f>VLOOKUP(B120,'Nilai Kurikulum 2013'!$E$4:$O$176,5,FALSE)</f>
        <v>Pemrosesan Data Geografis</v>
      </c>
      <c r="E120" s="4" t="str">
        <f ca="1">VLOOKUP(B120,'Nilai Kurikulum 2013'!$E$4:$P$176,12,FALSE)</f>
        <v/>
      </c>
      <c r="F120" s="66" t="str">
        <f t="shared" ca="1" si="1"/>
        <v>Uncheck box ini</v>
      </c>
      <c r="H120" s="4"/>
    </row>
    <row r="121" spans="2:8" x14ac:dyDescent="0.2">
      <c r="B121" s="4" t="s">
        <v>201</v>
      </c>
      <c r="C121" s="240">
        <f>VLOOKUP(B121,'Nilai Kurikulum 2013'!$E$4:$O$176,2,FALSE)</f>
        <v>3</v>
      </c>
      <c r="D121" s="4" t="str">
        <f>VLOOKUP(B121,'Nilai Kurikulum 2013'!$E$4:$O$176,5,FALSE)</f>
        <v>Pengolahan Citra</v>
      </c>
      <c r="E121" s="4" t="str">
        <f ca="1">VLOOKUP(B121,'Nilai Kurikulum 2013'!$E$4:$P$176,12,FALSE)</f>
        <v>A</v>
      </c>
      <c r="F121" s="66" t="str">
        <f t="shared" ca="1" si="1"/>
        <v>OK</v>
      </c>
      <c r="H121" s="4"/>
    </row>
    <row r="122" spans="2:8" hidden="1" x14ac:dyDescent="0.2">
      <c r="B122" s="4" t="s">
        <v>202</v>
      </c>
      <c r="C122" s="240">
        <f>VLOOKUP(B122,'Nilai Kurikulum 2013'!$E$4:$O$176,2,FALSE)</f>
        <v>2</v>
      </c>
      <c r="D122" s="4" t="str">
        <f>VLOOKUP(B122,'Nilai Kurikulum 2013'!$E$4:$O$176,5,FALSE)</f>
        <v>Pemrograman Lojik</v>
      </c>
      <c r="E122" s="4" t="str">
        <f ca="1">VLOOKUP(B122,'Nilai Kurikulum 2013'!$E$4:$P$176,12,FALSE)</f>
        <v/>
      </c>
      <c r="F122" s="66" t="str">
        <f t="shared" ca="1" si="1"/>
        <v>Uncheck box ini</v>
      </c>
      <c r="H122" s="4"/>
    </row>
    <row r="123" spans="2:8" hidden="1" x14ac:dyDescent="0.2">
      <c r="B123" s="4" t="s">
        <v>203</v>
      </c>
      <c r="C123" s="240">
        <f>VLOOKUP(B123,'Nilai Kurikulum 2013'!$E$4:$O$176,2,FALSE)</f>
        <v>2</v>
      </c>
      <c r="D123" s="4" t="str">
        <f>VLOOKUP(B123,'Nilai Kurikulum 2013'!$E$4:$O$176,5,FALSE)</f>
        <v>Sistem Multi Agen</v>
      </c>
      <c r="E123" s="4" t="str">
        <f ca="1">VLOOKUP(B123,'Nilai Kurikulum 2013'!$E$4:$P$176,12,FALSE)</f>
        <v/>
      </c>
      <c r="F123" s="66" t="str">
        <f t="shared" ca="1" si="1"/>
        <v>Uncheck box ini</v>
      </c>
      <c r="H123" s="4"/>
    </row>
    <row r="124" spans="2:8" hidden="1" x14ac:dyDescent="0.2">
      <c r="B124" s="4" t="s">
        <v>204</v>
      </c>
      <c r="C124" s="240">
        <f>VLOOKUP(B124,'Nilai Kurikulum 2013'!$E$4:$O$176,2,FALSE)</f>
        <v>3</v>
      </c>
      <c r="D124" s="4" t="str">
        <f>VLOOKUP(B124,'Nilai Kurikulum 2013'!$E$4:$O$176,5,FALSE)</f>
        <v>Strategi Sistem Informasi &amp; Arsitektur Perusahaan Berskala Besar</v>
      </c>
      <c r="E124" s="4" t="str">
        <f ca="1">VLOOKUP(B124,'Nilai Kurikulum 2013'!$E$4:$P$176,12,FALSE)</f>
        <v/>
      </c>
      <c r="F124" s="66" t="str">
        <f t="shared" ca="1" si="1"/>
        <v>Uncheck box ini</v>
      </c>
      <c r="H124" s="4"/>
    </row>
    <row r="125" spans="2:8" hidden="1" x14ac:dyDescent="0.2">
      <c r="B125" s="4" t="s">
        <v>205</v>
      </c>
      <c r="C125" s="240">
        <f>VLOOKUP(B125,'Nilai Kurikulum 2013'!$E$4:$O$176,2,FALSE)</f>
        <v>3</v>
      </c>
      <c r="D125" s="4" t="str">
        <f>VLOOKUP(B125,'Nilai Kurikulum 2013'!$E$4:$O$176,5,FALSE)</f>
        <v>Pengendalian &amp; Audit Teknologi Informasi</v>
      </c>
      <c r="E125" s="4" t="str">
        <f ca="1">VLOOKUP(B125,'Nilai Kurikulum 2013'!$E$4:$P$176,12,FALSE)</f>
        <v/>
      </c>
      <c r="F125" s="66" t="str">
        <f t="shared" ca="1" si="1"/>
        <v>Uncheck box ini</v>
      </c>
      <c r="H125" s="4"/>
    </row>
    <row r="126" spans="2:8" x14ac:dyDescent="0.2">
      <c r="B126" s="4" t="s">
        <v>206</v>
      </c>
      <c r="C126" s="240">
        <f>VLOOKUP(B126,'Nilai Kurikulum 2013'!$E$4:$O$176,2,FALSE)</f>
        <v>3</v>
      </c>
      <c r="D126" s="4" t="str">
        <f>VLOOKUP(B126,'Nilai Kurikulum 2013'!$E$4:$O$176,5,FALSE)</f>
        <v>Manajemen Pengetahuan</v>
      </c>
      <c r="E126" s="4" t="str">
        <f ca="1">VLOOKUP(B126,'Nilai Kurikulum 2013'!$E$4:$P$176,12,FALSE)</f>
        <v>A</v>
      </c>
      <c r="F126" s="66" t="str">
        <f t="shared" ca="1" si="1"/>
        <v>OK</v>
      </c>
      <c r="H126" s="4"/>
    </row>
    <row r="127" spans="2:8" x14ac:dyDescent="0.2">
      <c r="B127" s="4" t="s">
        <v>207</v>
      </c>
      <c r="C127" s="240">
        <f>VLOOKUP(B127,'Nilai Kurikulum 2013'!$E$4:$O$176,2,FALSE)</f>
        <v>3</v>
      </c>
      <c r="D127" s="4" t="str">
        <f>VLOOKUP(B127,'Nilai Kurikulum 2013'!$E$4:$O$176,5,FALSE)</f>
        <v>Manajemen Proses Bisnis</v>
      </c>
      <c r="E127" s="4" t="str">
        <f ca="1">VLOOKUP(B127,'Nilai Kurikulum 2013'!$E$4:$P$176,12,FALSE)</f>
        <v>A</v>
      </c>
      <c r="F127" s="66" t="str">
        <f t="shared" ca="1" si="1"/>
        <v>OK</v>
      </c>
      <c r="H127" s="4"/>
    </row>
    <row r="128" spans="2:8" hidden="1" x14ac:dyDescent="0.2">
      <c r="B128" s="4" t="s">
        <v>208</v>
      </c>
      <c r="C128" s="240">
        <f>VLOOKUP(B128,'Nilai Kurikulum 2013'!$E$4:$O$176,2,FALSE)</f>
        <v>2</v>
      </c>
      <c r="D128" s="4" t="str">
        <f>VLOOKUP(B128,'Nilai Kurikulum 2013'!$E$4:$O$176,5,FALSE)</f>
        <v>Sistem Perusahaan Skala Besar</v>
      </c>
      <c r="E128" s="4" t="str">
        <f ca="1">VLOOKUP(B128,'Nilai Kurikulum 2013'!$E$4:$P$176,12,FALSE)</f>
        <v/>
      </c>
      <c r="F128" s="66" t="str">
        <f t="shared" ca="1" si="1"/>
        <v>Uncheck box ini</v>
      </c>
      <c r="H128" s="4"/>
    </row>
    <row r="129" spans="2:8" hidden="1" x14ac:dyDescent="0.2">
      <c r="B129" s="4" t="s">
        <v>209</v>
      </c>
      <c r="C129" s="240">
        <f>VLOOKUP(B129,'Nilai Kurikulum 2013'!$E$4:$O$176,2,FALSE)</f>
        <v>3</v>
      </c>
      <c r="D129" s="4" t="str">
        <f>VLOOKUP(B129,'Nilai Kurikulum 2013'!$E$4:$O$176,5,FALSE)</f>
        <v>Sistem Terdistribusi</v>
      </c>
      <c r="E129" s="4" t="str">
        <f ca="1">VLOOKUP(B129,'Nilai Kurikulum 2013'!$E$4:$P$176,12,FALSE)</f>
        <v/>
      </c>
      <c r="F129" s="66" t="str">
        <f t="shared" ca="1" si="1"/>
        <v>Uncheck box ini</v>
      </c>
      <c r="H129" s="4"/>
    </row>
    <row r="130" spans="2:8" hidden="1" x14ac:dyDescent="0.2">
      <c r="B130" s="4" t="s">
        <v>210</v>
      </c>
      <c r="C130" s="240">
        <f>VLOOKUP(B130,'Nilai Kurikulum 2013'!$E$4:$O$176,2,FALSE)</f>
        <v>3</v>
      </c>
      <c r="D130" s="4" t="str">
        <f>VLOOKUP(B130,'Nilai Kurikulum 2013'!$E$4:$O$176,5,FALSE)</f>
        <v>Teknologi Multimedia</v>
      </c>
      <c r="E130" s="4" t="str">
        <f ca="1">VLOOKUP(B130,'Nilai Kurikulum 2013'!$E$4:$P$176,12,FALSE)</f>
        <v/>
      </c>
      <c r="F130" s="66" t="str">
        <f t="shared" ca="1" si="1"/>
        <v>Uncheck box ini</v>
      </c>
      <c r="H130" s="4"/>
    </row>
    <row r="131" spans="2:8" hidden="1" x14ac:dyDescent="0.2">
      <c r="B131" s="4" t="s">
        <v>606</v>
      </c>
      <c r="C131" s="280">
        <f>VLOOKUP(B131,'Nilai Kurikulum 2013'!$E$4:$O$176,2,FALSE)</f>
        <v>3</v>
      </c>
      <c r="D131" s="4" t="str">
        <f>VLOOKUP(B131,'Nilai Kurikulum 2013'!$E$4:$O$176,5,FALSE)</f>
        <v>Pengolahan Bahasa Alami</v>
      </c>
      <c r="E131" s="4" t="str">
        <f ca="1">VLOOKUP(B131,'Nilai Kurikulum 2013'!$E$4:$P$176,12,FALSE)</f>
        <v/>
      </c>
      <c r="F131" s="66"/>
      <c r="H131" s="4"/>
    </row>
    <row r="132" spans="2:8" hidden="1" x14ac:dyDescent="0.2">
      <c r="B132" s="4" t="s">
        <v>211</v>
      </c>
      <c r="C132" s="240">
        <f>VLOOKUP(B132,'Nilai Kurikulum 2013'!$E$4:$O$176,2,FALSE)</f>
        <v>2</v>
      </c>
      <c r="D132" s="4" t="str">
        <f>VLOOKUP(B132,'Nilai Kurikulum 2013'!$E$4:$O$176,5,FALSE)</f>
        <v>Pemrograman Jaringan</v>
      </c>
      <c r="E132" s="4" t="str">
        <f ca="1">VLOOKUP(B132,'Nilai Kurikulum 2013'!$E$4:$P$176,12,FALSE)</f>
        <v/>
      </c>
      <c r="F132" s="66" t="str">
        <f t="shared" ca="1" si="1"/>
        <v>Uncheck box ini</v>
      </c>
      <c r="H132" s="4"/>
    </row>
    <row r="133" spans="2:8" hidden="1" x14ac:dyDescent="0.2">
      <c r="B133" s="4" t="s">
        <v>212</v>
      </c>
      <c r="C133" s="240">
        <f>VLOOKUP(B133,'Nilai Kurikulum 2013'!$E$4:$O$176,2,FALSE)</f>
        <v>2</v>
      </c>
      <c r="D133" s="4" t="str">
        <f>VLOOKUP(B133,'Nilai Kurikulum 2013'!$E$4:$O$176,5,FALSE)</f>
        <v>Pemrograman Sistem</v>
      </c>
      <c r="E133" s="4" t="str">
        <f ca="1">VLOOKUP(B133,'Nilai Kurikulum 2013'!$E$4:$P$176,12,FALSE)</f>
        <v/>
      </c>
      <c r="F133" s="66" t="str">
        <f t="shared" ca="1" si="1"/>
        <v>Uncheck box ini</v>
      </c>
      <c r="H133" s="4"/>
    </row>
    <row r="134" spans="2:8" hidden="1" x14ac:dyDescent="0.2">
      <c r="B134" s="4" t="s">
        <v>213</v>
      </c>
      <c r="C134" s="240">
        <f>VLOOKUP(B134,'Nilai Kurikulum 2013'!$E$4:$O$176,2,FALSE)</f>
        <v>2</v>
      </c>
      <c r="D134" s="4" t="str">
        <f>VLOOKUP(B134,'Nilai Kurikulum 2013'!$E$4:$O$176,5,FALSE)</f>
        <v>Pemerintahan Berbasis Elektronik</v>
      </c>
      <c r="E134" s="4" t="str">
        <f ca="1">VLOOKUP(B134,'Nilai Kurikulum 2013'!$E$4:$P$176,12,FALSE)</f>
        <v/>
      </c>
      <c r="F134" s="66" t="str">
        <f t="shared" ca="1" si="1"/>
        <v>Uncheck box ini</v>
      </c>
      <c r="H134" s="4"/>
    </row>
    <row r="135" spans="2:8" hidden="1" x14ac:dyDescent="0.2">
      <c r="B135" s="4" t="s">
        <v>214</v>
      </c>
      <c r="C135" s="240">
        <f>VLOOKUP(B135,'Nilai Kurikulum 2013'!$E$4:$O$176,2,FALSE)</f>
        <v>3</v>
      </c>
      <c r="D135" s="4" t="str">
        <f>VLOOKUP(B135,'Nilai Kurikulum 2013'!$E$4:$O$176,5,FALSE)</f>
        <v>Kewirausahaan</v>
      </c>
      <c r="E135" s="4" t="str">
        <f ca="1">VLOOKUP(B135,'Nilai Kurikulum 2013'!$E$4:$P$176,12,FALSE)</f>
        <v/>
      </c>
      <c r="F135" s="66" t="str">
        <f t="shared" ca="1" si="1"/>
        <v>Uncheck box ini</v>
      </c>
      <c r="H135" s="240"/>
    </row>
    <row r="136" spans="2:8" hidden="1" x14ac:dyDescent="0.2">
      <c r="B136" s="4" t="s">
        <v>215</v>
      </c>
      <c r="C136" s="240">
        <f>VLOOKUP(B136,'Nilai Kurikulum 2013'!$E$4:$O$176,2,FALSE)</f>
        <v>3</v>
      </c>
      <c r="D136" s="4" t="str">
        <f>VLOOKUP(B136,'Nilai Kurikulum 2013'!$E$4:$O$176,5,FALSE)</f>
        <v>Keamanan Jaringan</v>
      </c>
      <c r="E136" s="4" t="str">
        <f ca="1">VLOOKUP(B136,'Nilai Kurikulum 2013'!$E$4:$P$176,12,FALSE)</f>
        <v/>
      </c>
      <c r="F136" s="66" t="str">
        <f t="shared" ca="1" si="1"/>
        <v>Uncheck box ini</v>
      </c>
      <c r="H136" s="4"/>
    </row>
    <row r="137" spans="2:8" hidden="1" x14ac:dyDescent="0.2">
      <c r="B137" s="4" t="s">
        <v>610</v>
      </c>
      <c r="C137" s="283">
        <f>VLOOKUP(B137,'Nilai Kurikulum 2013'!$E$4:$O$176,2,FALSE)</f>
        <v>2</v>
      </c>
      <c r="D137" s="4" t="str">
        <f>VLOOKUP(B137,'Nilai Kurikulum 2013'!$E$4:$O$176,5,FALSE)</f>
        <v>Dasar - Dasar Pemrograman Java</v>
      </c>
      <c r="E137" s="4" t="str">
        <f ca="1">VLOOKUP(B137,'Nilai Kurikulum 2013'!$E$4:$P$176,12,FALSE)</f>
        <v/>
      </c>
      <c r="F137" s="66"/>
      <c r="H137" s="4"/>
    </row>
    <row r="138" spans="2:8" x14ac:dyDescent="0.2">
      <c r="C138" s="240"/>
      <c r="E138" s="66" t="s">
        <v>95</v>
      </c>
      <c r="F138" s="66" t="str">
        <f t="shared" si="1"/>
        <v>OK</v>
      </c>
      <c r="H138" s="240"/>
    </row>
    <row r="139" spans="2:8" ht="12" x14ac:dyDescent="0.2">
      <c r="B139" s="64" t="s">
        <v>216</v>
      </c>
      <c r="C139" s="240"/>
      <c r="E139" s="66" t="s">
        <v>95</v>
      </c>
      <c r="F139" s="66" t="str">
        <f t="shared" ref="F139:F168" si="2">IF(OR(E139&lt;&gt;"",P139&lt;&gt;""),"OK","Uncheck box ini")</f>
        <v>OK</v>
      </c>
      <c r="H139" s="240"/>
    </row>
    <row r="140" spans="2:8" hidden="1" x14ac:dyDescent="0.2">
      <c r="B140" s="4" t="s">
        <v>217</v>
      </c>
      <c r="C140" s="240">
        <f>VLOOKUP(B140,'Nilai Kurikulum 2013'!$E$4:$O$176,2,FALSE)</f>
        <v>3</v>
      </c>
      <c r="D140" s="4" t="str">
        <f>VLOOKUP(B140,'Nilai Kurikulum 2013'!$E$4:$O$176,5,FALSE)</f>
        <v>Pemrograman Linear</v>
      </c>
      <c r="E140" s="4" t="str">
        <f ca="1">VLOOKUP(B140,'Nilai Kurikulum 2013'!$E$4:$P$176,12,FALSE)</f>
        <v/>
      </c>
      <c r="F140" s="66" t="str">
        <f t="shared" ca="1" si="2"/>
        <v>Uncheck box ini</v>
      </c>
      <c r="H140" s="4"/>
    </row>
    <row r="141" spans="2:8" hidden="1" x14ac:dyDescent="0.2">
      <c r="B141" s="4" t="s">
        <v>218</v>
      </c>
      <c r="C141" s="240">
        <f>VLOOKUP(B141,'Nilai Kurikulum 2013'!$E$4:$O$176,2,FALSE)</f>
        <v>3</v>
      </c>
      <c r="D141" s="4" t="str">
        <f>VLOOKUP(B141,'Nilai Kurikulum 2013'!$E$4:$O$176,5,FALSE)</f>
        <v>Teori Bilangan</v>
      </c>
      <c r="E141" s="4" t="str">
        <f ca="1">VLOOKUP(B141,'Nilai Kurikulum 2013'!$E$4:$P$176,12,FALSE)</f>
        <v/>
      </c>
      <c r="F141" s="66" t="str">
        <f t="shared" ca="1" si="2"/>
        <v>Uncheck box ini</v>
      </c>
      <c r="H141" s="4"/>
    </row>
    <row r="142" spans="2:8" hidden="1" x14ac:dyDescent="0.2">
      <c r="B142" s="4" t="s">
        <v>594</v>
      </c>
      <c r="C142" s="240">
        <f>VLOOKUP(B142,'Nilai Kurikulum 2013'!$E$4:$O$176,2,FALSE)</f>
        <v>2</v>
      </c>
      <c r="D142" s="4" t="str">
        <f>VLOOKUP(B142,'Nilai Kurikulum 2013'!$E$4:$O$176,5,FALSE)</f>
        <v>Dunia Digital dan Sains : Suatu Pengantar</v>
      </c>
      <c r="E142" s="4" t="str">
        <f ca="1">VLOOKUP(B142,'Nilai Kurikulum 2013'!$E$4:$P$176,12,FALSE)</f>
        <v/>
      </c>
      <c r="F142" s="66" t="str">
        <f t="shared" ca="1" si="2"/>
        <v>Uncheck box ini</v>
      </c>
      <c r="H142" s="4"/>
    </row>
    <row r="143" spans="2:8" hidden="1" x14ac:dyDescent="0.2">
      <c r="B143" s="4" t="s">
        <v>219</v>
      </c>
      <c r="C143" s="240">
        <f>VLOOKUP(B143,'Nilai Kurikulum 2013'!$E$4:$O$176,2,FALSE)</f>
        <v>2</v>
      </c>
      <c r="D143" s="4" t="str">
        <f>VLOOKUP(B143,'Nilai Kurikulum 2013'!$E$4:$O$176,5,FALSE)</f>
        <v>Akuntansi Keuangan Dasar I</v>
      </c>
      <c r="E143" s="4" t="str">
        <f ca="1">VLOOKUP(B143,'Nilai Kurikulum 2013'!$E$4:$P$176,12,FALSE)</f>
        <v/>
      </c>
      <c r="F143" s="66" t="str">
        <f t="shared" ca="1" si="2"/>
        <v>Uncheck box ini</v>
      </c>
      <c r="H143" s="4"/>
    </row>
    <row r="144" spans="2:8" hidden="1" x14ac:dyDescent="0.2">
      <c r="B144" s="4" t="s">
        <v>220</v>
      </c>
      <c r="C144" s="240">
        <f>VLOOKUP(B144,'Nilai Kurikulum 2013'!$E$4:$O$176,2,FALSE)</f>
        <v>2</v>
      </c>
      <c r="D144" s="4" t="str">
        <f>VLOOKUP(B144,'Nilai Kurikulum 2013'!$E$4:$O$176,5,FALSE)</f>
        <v>Akuntansi Keuangan Dasar II</v>
      </c>
      <c r="E144" s="4" t="str">
        <f ca="1">VLOOKUP(B144,'Nilai Kurikulum 2013'!$E$4:$P$176,12,FALSE)</f>
        <v/>
      </c>
      <c r="F144" s="66" t="str">
        <f t="shared" ca="1" si="2"/>
        <v>Uncheck box ini</v>
      </c>
      <c r="H144" s="4"/>
    </row>
    <row r="145" spans="2:8" hidden="1" x14ac:dyDescent="0.2">
      <c r="B145" s="4" t="s">
        <v>221</v>
      </c>
      <c r="C145" s="240">
        <f>VLOOKUP(B145,'Nilai Kurikulum 2013'!$E$4:$O$176,2,FALSE)</f>
        <v>3</v>
      </c>
      <c r="D145" s="4" t="str">
        <f>VLOOKUP(B145,'Nilai Kurikulum 2013'!$E$4:$O$176,5,FALSE)</f>
        <v>Pengantar Bisnis</v>
      </c>
      <c r="E145" s="4" t="str">
        <f ca="1">VLOOKUP(B145,'Nilai Kurikulum 2013'!$E$4:$P$176,12,FALSE)</f>
        <v/>
      </c>
      <c r="F145" s="66" t="str">
        <f t="shared" ca="1" si="2"/>
        <v>Uncheck box ini</v>
      </c>
      <c r="H145" s="4"/>
    </row>
    <row r="146" spans="2:8" hidden="1" x14ac:dyDescent="0.2">
      <c r="B146" s="4" t="s">
        <v>222</v>
      </c>
      <c r="C146" s="240">
        <f>VLOOKUP(B146,'Nilai Kurikulum 2013'!$E$4:$O$176,2,FALSE)</f>
        <v>3</v>
      </c>
      <c r="D146" s="4" t="str">
        <f>VLOOKUP(B146,'Nilai Kurikulum 2013'!$E$4:$O$176,5,FALSE)</f>
        <v>Manajemen</v>
      </c>
      <c r="E146" s="4" t="str">
        <f ca="1">VLOOKUP(B146,'Nilai Kurikulum 2013'!$E$4:$P$176,12,FALSE)</f>
        <v/>
      </c>
      <c r="F146" s="66" t="str">
        <f t="shared" ca="1" si="2"/>
        <v>Uncheck box ini</v>
      </c>
      <c r="H146" s="4"/>
    </row>
    <row r="147" spans="2:8" hidden="1" x14ac:dyDescent="0.2">
      <c r="B147" s="4" t="s">
        <v>223</v>
      </c>
      <c r="C147" s="240">
        <f>VLOOKUP(B147,'Nilai Kurikulum 2013'!$E$4:$O$176,2,FALSE)</f>
        <v>3</v>
      </c>
      <c r="D147" s="4" t="str">
        <f>VLOOKUP(B147,'Nilai Kurikulum 2013'!$E$4:$O$176,5,FALSE)</f>
        <v>Pengantar Manajemen Sumber Daya Manusia</v>
      </c>
      <c r="E147" s="4" t="str">
        <f ca="1">VLOOKUP(B147,'Nilai Kurikulum 2013'!$E$4:$P$176,12,FALSE)</f>
        <v/>
      </c>
      <c r="F147" s="66" t="str">
        <f t="shared" ca="1" si="2"/>
        <v>Uncheck box ini</v>
      </c>
      <c r="H147" s="4"/>
    </row>
    <row r="148" spans="2:8" hidden="1" x14ac:dyDescent="0.2">
      <c r="B148" s="4" t="s">
        <v>224</v>
      </c>
      <c r="C148" s="240">
        <f>VLOOKUP(B148,'Nilai Kurikulum 2013'!$E$4:$O$176,2,FALSE)</f>
        <v>2</v>
      </c>
      <c r="D148" s="4" t="str">
        <f>VLOOKUP(B148,'Nilai Kurikulum 2013'!$E$4:$O$176,5,FALSE)</f>
        <v>Bahasa Inggris Bisnis</v>
      </c>
      <c r="E148" s="4" t="str">
        <f ca="1">VLOOKUP(B148,'Nilai Kurikulum 2013'!$E$4:$P$176,12,FALSE)</f>
        <v/>
      </c>
      <c r="F148" s="66" t="str">
        <f t="shared" ca="1" si="2"/>
        <v>Uncheck box ini</v>
      </c>
      <c r="H148" s="4"/>
    </row>
    <row r="149" spans="2:8" hidden="1" x14ac:dyDescent="0.2">
      <c r="B149" s="4" t="s">
        <v>225</v>
      </c>
      <c r="C149" s="240">
        <f>VLOOKUP(B149,'Nilai Kurikulum 2013'!$E$4:$O$176,2,FALSE)</f>
        <v>2</v>
      </c>
      <c r="D149" s="4" t="str">
        <f>VLOOKUP(B149,'Nilai Kurikulum 2013'!$E$4:$O$176,5,FALSE)</f>
        <v>Komunikasi Bisnis</v>
      </c>
      <c r="E149" s="4" t="str">
        <f ca="1">VLOOKUP(B149,'Nilai Kurikulum 2013'!$E$4:$P$176,12,FALSE)</f>
        <v/>
      </c>
      <c r="F149" s="66" t="str">
        <f t="shared" ca="1" si="2"/>
        <v>Uncheck box ini</v>
      </c>
      <c r="H149" s="4"/>
    </row>
    <row r="150" spans="2:8" hidden="1" x14ac:dyDescent="0.2">
      <c r="B150" s="4" t="s">
        <v>226</v>
      </c>
      <c r="C150" s="240">
        <f>VLOOKUP(B150,'Nilai Kurikulum 2013'!$E$4:$O$176,2,FALSE)</f>
        <v>4</v>
      </c>
      <c r="D150" s="4" t="str">
        <f>VLOOKUP(B150,'Nilai Kurikulum 2013'!$E$4:$O$176,5,FALSE)</f>
        <v>Akuntansi Keuangan Dasar</v>
      </c>
      <c r="E150" s="4" t="str">
        <f ca="1">VLOOKUP(B150,'Nilai Kurikulum 2013'!$E$4:$P$176,12,FALSE)</f>
        <v/>
      </c>
      <c r="F150" s="66" t="str">
        <f t="shared" ca="1" si="2"/>
        <v>Uncheck box ini</v>
      </c>
      <c r="H150" s="4"/>
    </row>
    <row r="151" spans="2:8" hidden="1" x14ac:dyDescent="0.2">
      <c r="B151" s="4" t="s">
        <v>227</v>
      </c>
      <c r="C151" s="240">
        <f>VLOOKUP(B151,'Nilai Kurikulum 2013'!$E$4:$O$176,2,FALSE)</f>
        <v>3</v>
      </c>
      <c r="D151" s="4" t="str">
        <f>VLOOKUP(B151,'Nilai Kurikulum 2013'!$E$4:$O$176,5,FALSE)</f>
        <v>Kepemimpinan Dasar</v>
      </c>
      <c r="E151" s="4" t="str">
        <f ca="1">VLOOKUP(B151,'Nilai Kurikulum 2013'!$E$4:$P$176,12,FALSE)</f>
        <v/>
      </c>
      <c r="F151" s="66" t="str">
        <f t="shared" ca="1" si="2"/>
        <v>Uncheck box ini</v>
      </c>
      <c r="H151" s="4"/>
    </row>
    <row r="152" spans="2:8" hidden="1" x14ac:dyDescent="0.2">
      <c r="B152" s="4" t="s">
        <v>228</v>
      </c>
      <c r="C152" s="240">
        <f>VLOOKUP(B152,'Nilai Kurikulum 2013'!$E$4:$O$176,2,FALSE)</f>
        <v>3</v>
      </c>
      <c r="D152" s="4" t="str">
        <f>VLOOKUP(B152,'Nilai Kurikulum 2013'!$E$4:$O$176,5,FALSE)</f>
        <v>Perilaku Keorganisasian</v>
      </c>
      <c r="E152" s="4" t="str">
        <f ca="1">VLOOKUP(B152,'Nilai Kurikulum 2013'!$E$4:$P$176,12,FALSE)</f>
        <v/>
      </c>
      <c r="F152" s="66" t="str">
        <f t="shared" ca="1" si="2"/>
        <v>Uncheck box ini</v>
      </c>
      <c r="H152" s="4"/>
    </row>
    <row r="153" spans="2:8" hidden="1" x14ac:dyDescent="0.2">
      <c r="B153" s="4" t="s">
        <v>229</v>
      </c>
      <c r="C153" s="240">
        <f>VLOOKUP(B153,'Nilai Kurikulum 2013'!$E$4:$O$176,2,FALSE)</f>
        <v>3</v>
      </c>
      <c r="D153" s="4" t="str">
        <f>VLOOKUP(B153,'Nilai Kurikulum 2013'!$E$4:$O$176,5,FALSE)</f>
        <v>Pengantar Manajemen Operasi</v>
      </c>
      <c r="E153" s="4" t="str">
        <f ca="1">VLOOKUP(B153,'Nilai Kurikulum 2013'!$E$4:$P$176,12,FALSE)</f>
        <v/>
      </c>
      <c r="F153" s="66" t="str">
        <f t="shared" ca="1" si="2"/>
        <v>Uncheck box ini</v>
      </c>
      <c r="H153" s="4"/>
    </row>
    <row r="154" spans="2:8" hidden="1" x14ac:dyDescent="0.2">
      <c r="B154" s="4" t="s">
        <v>230</v>
      </c>
      <c r="C154" s="240">
        <f>VLOOKUP(B154,'Nilai Kurikulum 2013'!$E$4:$O$176,2,FALSE)</f>
        <v>3</v>
      </c>
      <c r="D154" s="4" t="str">
        <f>VLOOKUP(B154,'Nilai Kurikulum 2013'!$E$4:$O$176,5,FALSE)</f>
        <v>Pengantar Manajemen Pemasaran</v>
      </c>
      <c r="E154" s="4" t="str">
        <f ca="1">VLOOKUP(B154,'Nilai Kurikulum 2013'!$E$4:$P$176,12,FALSE)</f>
        <v/>
      </c>
      <c r="F154" s="66" t="str">
        <f t="shared" ca="1" si="2"/>
        <v>Uncheck box ini</v>
      </c>
      <c r="H154" s="4"/>
    </row>
    <row r="155" spans="2:8" hidden="1" x14ac:dyDescent="0.2">
      <c r="B155" s="4" t="s">
        <v>231</v>
      </c>
      <c r="C155" s="240">
        <f>VLOOKUP(B155,'Nilai Kurikulum 2013'!$E$4:$O$176,2,FALSE)</f>
        <v>3</v>
      </c>
      <c r="D155" s="4" t="str">
        <f>VLOOKUP(B155,'Nilai Kurikulum 2013'!$E$4:$O$176,5,FALSE)</f>
        <v>Manajemen Keuangan I</v>
      </c>
      <c r="E155" s="4" t="str">
        <f ca="1">VLOOKUP(B155,'Nilai Kurikulum 2013'!$E$4:$P$176,12,FALSE)</f>
        <v/>
      </c>
      <c r="F155" s="66" t="str">
        <f t="shared" ca="1" si="2"/>
        <v>Uncheck box ini</v>
      </c>
      <c r="H155" s="4"/>
    </row>
    <row r="156" spans="2:8" hidden="1" x14ac:dyDescent="0.2">
      <c r="B156" s="4" t="s">
        <v>232</v>
      </c>
      <c r="C156" s="240">
        <f>VLOOKUP(B156,'Nilai Kurikulum 2013'!$E$4:$O$176,2,FALSE)</f>
        <v>3</v>
      </c>
      <c r="D156" s="4" t="str">
        <f>VLOOKUP(B156,'Nilai Kurikulum 2013'!$E$4:$O$176,5,FALSE)</f>
        <v>Manajemen Insani</v>
      </c>
      <c r="E156" s="4" t="str">
        <f ca="1">VLOOKUP(B156,'Nilai Kurikulum 2013'!$E$4:$P$176,12,FALSE)</f>
        <v/>
      </c>
      <c r="F156" s="66" t="str">
        <f t="shared" ca="1" si="2"/>
        <v>Uncheck box ini</v>
      </c>
      <c r="H156" s="4"/>
    </row>
    <row r="157" spans="2:8" hidden="1" x14ac:dyDescent="0.2">
      <c r="B157" s="4" t="s">
        <v>233</v>
      </c>
      <c r="C157" s="240">
        <f>VLOOKUP(B157,'Nilai Kurikulum 2013'!$E$4:$O$176,2,FALSE)</f>
        <v>3</v>
      </c>
      <c r="D157" s="4" t="str">
        <f>VLOOKUP(B157,'Nilai Kurikulum 2013'!$E$4:$O$176,5,FALSE)</f>
        <v>Manajemen Keuangan II</v>
      </c>
      <c r="E157" s="4" t="str">
        <f ca="1">VLOOKUP(B157,'Nilai Kurikulum 2013'!$E$4:$P$176,12,FALSE)</f>
        <v/>
      </c>
      <c r="F157" s="66" t="str">
        <f t="shared" ca="1" si="2"/>
        <v>Uncheck box ini</v>
      </c>
      <c r="H157" s="4"/>
    </row>
    <row r="158" spans="2:8" hidden="1" x14ac:dyDescent="0.2">
      <c r="B158" s="4" t="s">
        <v>234</v>
      </c>
      <c r="C158" s="240">
        <f>VLOOKUP(B158,'Nilai Kurikulum 2013'!$E$4:$O$176,2,FALSE)</f>
        <v>2</v>
      </c>
      <c r="D158" s="4" t="str">
        <f>VLOOKUP(B158,'Nilai Kurikulum 2013'!$E$4:$O$176,5,FALSE)</f>
        <v>Studi Kelayakan Bisnis</v>
      </c>
      <c r="E158" s="4" t="str">
        <f ca="1">VLOOKUP(B158,'Nilai Kurikulum 2013'!$E$4:$P$176,12,FALSE)</f>
        <v/>
      </c>
      <c r="F158" s="66" t="str">
        <f t="shared" ca="1" si="2"/>
        <v>Uncheck box ini</v>
      </c>
      <c r="H158" s="4"/>
    </row>
    <row r="159" spans="2:8" hidden="1" x14ac:dyDescent="0.2">
      <c r="B159" s="4" t="s">
        <v>235</v>
      </c>
      <c r="C159" s="240">
        <f>VLOOKUP(B159,'Nilai Kurikulum 2013'!$E$4:$O$176,2,FALSE)</f>
        <v>3</v>
      </c>
      <c r="D159" s="4" t="str">
        <f>VLOOKUP(B159,'Nilai Kurikulum 2013'!$E$4:$O$176,5,FALSE)</f>
        <v>Komunikasi Profesional</v>
      </c>
      <c r="E159" s="4" t="str">
        <f ca="1">VLOOKUP(B159,'Nilai Kurikulum 2013'!$E$4:$P$176,12,FALSE)</f>
        <v/>
      </c>
      <c r="F159" s="66" t="str">
        <f t="shared" ca="1" si="2"/>
        <v>Uncheck box ini</v>
      </c>
      <c r="H159" s="4"/>
    </row>
    <row r="160" spans="2:8" hidden="1" x14ac:dyDescent="0.2">
      <c r="B160" s="4" t="s">
        <v>236</v>
      </c>
      <c r="C160" s="240">
        <f>VLOOKUP(B160,'Nilai Kurikulum 2013'!$E$4:$O$176,2,FALSE)</f>
        <v>3</v>
      </c>
      <c r="D160" s="4" t="str">
        <f>VLOOKUP(B160,'Nilai Kurikulum 2013'!$E$4:$O$176,5,FALSE)</f>
        <v>Bahasa Mandarin</v>
      </c>
      <c r="E160" s="4" t="str">
        <f ca="1">VLOOKUP(B160,'Nilai Kurikulum 2013'!$E$4:$P$176,12,FALSE)</f>
        <v/>
      </c>
      <c r="F160" s="66" t="str">
        <f t="shared" ca="1" si="2"/>
        <v>Uncheck box ini</v>
      </c>
      <c r="H160" s="240"/>
    </row>
    <row r="161" spans="2:15" hidden="1" x14ac:dyDescent="0.2">
      <c r="B161" s="4" t="s">
        <v>237</v>
      </c>
      <c r="C161" s="240">
        <f>VLOOKUP(B161,'Nilai Kurikulum 2013'!$E$4:$O$176,2,FALSE)</f>
        <v>3</v>
      </c>
      <c r="D161" s="4" t="str">
        <f>VLOOKUP(B161,'Nilai Kurikulum 2013'!$E$4:$O$176,5,FALSE)</f>
        <v>Bahasa Jepang</v>
      </c>
      <c r="E161" s="4" t="str">
        <f ca="1">VLOOKUP(B161,'Nilai Kurikulum 2013'!$E$4:$P$176,12,FALSE)</f>
        <v/>
      </c>
      <c r="F161" s="66" t="str">
        <f t="shared" ca="1" si="2"/>
        <v>Uncheck box ini</v>
      </c>
      <c r="H161" s="240"/>
    </row>
    <row r="162" spans="2:15" hidden="1" x14ac:dyDescent="0.2">
      <c r="B162" s="4" t="s">
        <v>238</v>
      </c>
      <c r="C162" s="240">
        <f>VLOOKUP(B162,'Nilai Kurikulum 2013'!$E$4:$O$176,2,FALSE)</f>
        <v>3</v>
      </c>
      <c r="D162" s="4" t="str">
        <f>VLOOKUP(B162,'Nilai Kurikulum 2013'!$E$4:$O$176,5,FALSE)</f>
        <v>Bahasa Perancis</v>
      </c>
      <c r="E162" s="4" t="str">
        <f ca="1">VLOOKUP(B162,'Nilai Kurikulum 2013'!$E$4:$P$176,12,FALSE)</f>
        <v/>
      </c>
      <c r="F162" s="66" t="str">
        <f t="shared" ca="1" si="2"/>
        <v>Uncheck box ini</v>
      </c>
      <c r="H162" s="4"/>
    </row>
    <row r="163" spans="2:15" hidden="1" x14ac:dyDescent="0.2">
      <c r="B163" s="4" t="s">
        <v>239</v>
      </c>
      <c r="C163" s="240">
        <f>VLOOKUP(B163,'Nilai Kurikulum 2013'!$E$4:$O$176,2,FALSE)</f>
        <v>2</v>
      </c>
      <c r="D163" s="4" t="str">
        <f>VLOOKUP(B163,'Nilai Kurikulum 2013'!$E$4:$O$176,5,FALSE)</f>
        <v>Perekonomian Indonesia</v>
      </c>
      <c r="E163" s="4" t="str">
        <f ca="1">VLOOKUP(B163,'Nilai Kurikulum 2013'!$E$4:$P$176,12,FALSE)</f>
        <v/>
      </c>
      <c r="F163" s="66" t="str">
        <f t="shared" ca="1" si="2"/>
        <v>Uncheck box ini</v>
      </c>
      <c r="H163" s="4"/>
    </row>
    <row r="164" spans="2:15" x14ac:dyDescent="0.2">
      <c r="C164" s="240"/>
      <c r="E164" s="66" t="s">
        <v>95</v>
      </c>
      <c r="F164" s="66" t="str">
        <f t="shared" si="2"/>
        <v>OK</v>
      </c>
      <c r="G164" s="340"/>
      <c r="H164" s="341"/>
      <c r="I164" s="340"/>
      <c r="J164" s="241" t="s">
        <v>57</v>
      </c>
      <c r="K164" s="241" t="s">
        <v>58</v>
      </c>
      <c r="L164" s="241" t="s">
        <v>59</v>
      </c>
      <c r="M164" s="241" t="s">
        <v>60</v>
      </c>
      <c r="N164" s="241" t="s">
        <v>61</v>
      </c>
      <c r="O164" s="241" t="s">
        <v>56</v>
      </c>
    </row>
    <row r="165" spans="2:15" x14ac:dyDescent="0.2">
      <c r="C165" s="240"/>
      <c r="E165" s="66" t="s">
        <v>95</v>
      </c>
      <c r="F165" s="66" t="str">
        <f t="shared" si="2"/>
        <v>OK</v>
      </c>
      <c r="G165" s="338" t="s">
        <v>240</v>
      </c>
      <c r="H165" s="338"/>
      <c r="I165" s="338"/>
      <c r="J165" s="47">
        <f t="shared" ref="J165" ca="1" si="3">COUNTIF($E$8:$E$163,J$164)+COUNTIF($P$8:$P$40,J$164)</f>
        <v>19</v>
      </c>
      <c r="K165" s="47">
        <f ca="1">COUNTIF($E$8:$E$163,K$164)+COUNTIF($P$8:$P$40,K$164)</f>
        <v>20</v>
      </c>
      <c r="L165" s="47">
        <f t="shared" ref="L165:N165" ca="1" si="4">COUNTIF($E$8:$E$163,L$164)+COUNTIF($P$8:$P$40,L$164)</f>
        <v>7</v>
      </c>
      <c r="M165" s="47">
        <f t="shared" ca="1" si="4"/>
        <v>2</v>
      </c>
      <c r="N165" s="47">
        <f t="shared" ca="1" si="4"/>
        <v>0</v>
      </c>
      <c r="O165" s="47">
        <f ca="1">SUM(J165:N165)</f>
        <v>48</v>
      </c>
    </row>
    <row r="166" spans="2:15" x14ac:dyDescent="0.2">
      <c r="C166" s="240"/>
      <c r="E166" s="66" t="s">
        <v>95</v>
      </c>
      <c r="F166" s="66" t="str">
        <f t="shared" si="2"/>
        <v>OK</v>
      </c>
      <c r="G166" s="338" t="s">
        <v>241</v>
      </c>
      <c r="H166" s="338"/>
      <c r="I166" s="338"/>
      <c r="J166" s="47">
        <f ca="1">SUMIF($E$8:E163,J$164,$C$8:C163)+SUMIF($P$8:$P$40,J$164,$H$8:$H$40)</f>
        <v>61</v>
      </c>
      <c r="K166" s="47">
        <f ca="1">SUMIF($E$8:F163,K$164,$C$8:D163)+SUMIF($P$8:$P$40,K$164,$H$8:$H$40)</f>
        <v>56</v>
      </c>
      <c r="L166" s="47">
        <f ca="1">SUMIF($E$8:G163,L$164,$C$8:E163)+SUMIF($P$8:$P$40,L$164,$H$8:$H$40)</f>
        <v>20</v>
      </c>
      <c r="M166" s="47">
        <f ca="1">SUMIF($E$8:H163,M$164,$C$8:F163)+SUMIF($P$8:$P$40,M$164,$H$8:$H$40)</f>
        <v>7</v>
      </c>
      <c r="N166" s="47">
        <f ca="1">SUMIF($E$8:I163,N$164,$C$8:G163)+SUMIF($P$8:$P$40,N$164,$H$8:$H$40)</f>
        <v>0</v>
      </c>
      <c r="O166" s="47">
        <f ca="1">SUM(J166:N166)</f>
        <v>144</v>
      </c>
    </row>
    <row r="167" spans="2:15" x14ac:dyDescent="0.2">
      <c r="C167" s="240"/>
      <c r="E167" s="66" t="s">
        <v>95</v>
      </c>
      <c r="F167" s="66" t="str">
        <f t="shared" si="2"/>
        <v>OK</v>
      </c>
      <c r="H167" s="240"/>
    </row>
    <row r="168" spans="2:15" ht="12.75" x14ac:dyDescent="0.2">
      <c r="C168" s="240"/>
      <c r="E168" s="66" t="s">
        <v>95</v>
      </c>
      <c r="F168" s="66" t="str">
        <f t="shared" si="2"/>
        <v>OK</v>
      </c>
      <c r="G168" s="339" t="s">
        <v>242</v>
      </c>
      <c r="H168" s="339"/>
      <c r="I168" s="65">
        <f ca="1">ROUND(((J166*4)+(K166*3)+(L166*2)+M166)/O166,2)</f>
        <v>3.19</v>
      </c>
    </row>
  </sheetData>
  <sheetProtection password="882B" sheet="1" objects="1" scenarios="1" selectLockedCells="1" autoFilter="0" selectUnlockedCells="1"/>
  <autoFilter ref="F7:F168">
    <filterColumn colId="0">
      <filters>
        <filter val="OK"/>
      </filters>
    </filterColumn>
  </autoFilter>
  <mergeCells count="27">
    <mergeCell ref="A1:P1"/>
    <mergeCell ref="A2:P2"/>
    <mergeCell ref="M4:P4"/>
    <mergeCell ref="D4:J4"/>
    <mergeCell ref="G165:I165"/>
    <mergeCell ref="I13:O13"/>
    <mergeCell ref="I16:O16"/>
    <mergeCell ref="I17:O17"/>
    <mergeCell ref="I18:O18"/>
    <mergeCell ref="I19:O19"/>
    <mergeCell ref="I20:O20"/>
    <mergeCell ref="G166:I166"/>
    <mergeCell ref="G168:H168"/>
    <mergeCell ref="G164:I164"/>
    <mergeCell ref="I8:O8"/>
    <mergeCell ref="I9:O9"/>
    <mergeCell ref="I10:O10"/>
    <mergeCell ref="I11:O11"/>
    <mergeCell ref="I12:O12"/>
    <mergeCell ref="I38:O38"/>
    <mergeCell ref="I39:O39"/>
    <mergeCell ref="I24:O24"/>
    <mergeCell ref="I25:O25"/>
    <mergeCell ref="I30:O30"/>
    <mergeCell ref="I31:O31"/>
    <mergeCell ref="I36:O36"/>
    <mergeCell ref="I37:O37"/>
  </mergeCells>
  <pageMargins left="0.25" right="0.25" top="0.25" bottom="0.25" header="0.05" footer="0.05"/>
  <pageSetup paperSize="9" orientation="portrait" r:id="rId1"/>
  <ignoredErrors>
    <ignoredError sqref="H19:O19 C20 D20:E20 H18 H11:P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F186"/>
  <sheetViews>
    <sheetView workbookViewId="0">
      <selection activeCell="Q1" sqref="Q1:AF1048576"/>
    </sheetView>
  </sheetViews>
  <sheetFormatPr defaultColWidth="9.140625" defaultRowHeight="15" x14ac:dyDescent="0.25"/>
  <cols>
    <col min="1" max="1" width="2.7109375" style="109" customWidth="1"/>
    <col min="2" max="2" width="4" style="105" hidden="1" customWidth="1"/>
    <col min="3" max="3" width="5" style="105" bestFit="1" customWidth="1"/>
    <col min="4" max="4" width="9.28515625" style="80" bestFit="1" customWidth="1"/>
    <col min="5" max="5" width="10" style="110" bestFit="1" customWidth="1"/>
    <col min="6" max="6" width="7.5703125" style="80" customWidth="1"/>
    <col min="7" max="7" width="10.42578125" style="105" hidden="1" customWidth="1"/>
    <col min="8" max="8" width="7.85546875" style="105" hidden="1" customWidth="1"/>
    <col min="9" max="9" width="59.85546875" style="110" bestFit="1" customWidth="1"/>
    <col min="10" max="11" width="5.5703125" style="105" hidden="1" customWidth="1"/>
    <col min="12" max="14" width="3.7109375" style="105" hidden="1" customWidth="1"/>
    <col min="15" max="15" width="7.5703125" style="80" bestFit="1" customWidth="1"/>
    <col min="16" max="16" width="8.7109375" style="80" customWidth="1"/>
    <col min="17" max="17" width="5" style="105" hidden="1" customWidth="1"/>
    <col min="18" max="18" width="2" style="105" hidden="1" customWidth="1"/>
    <col min="19" max="19" width="3.28515625" style="105" hidden="1" customWidth="1"/>
    <col min="20" max="20" width="3.140625" style="105" hidden="1" customWidth="1"/>
    <col min="21" max="21" width="3.28515625" style="105" hidden="1" customWidth="1"/>
    <col min="22" max="22" width="3.140625" style="105" hidden="1" customWidth="1"/>
    <col min="23" max="23" width="4.7109375" style="105" hidden="1" customWidth="1"/>
    <col min="24" max="24" width="8.140625" style="105" hidden="1" customWidth="1"/>
    <col min="25" max="25" width="7" style="105" hidden="1" customWidth="1"/>
    <col min="26" max="26" width="4.140625" style="105" hidden="1" customWidth="1"/>
    <col min="27" max="27" width="9.42578125" style="109" hidden="1" customWidth="1"/>
    <col min="28" max="28" width="10.5703125" style="109" hidden="1" customWidth="1"/>
    <col min="29" max="30" width="5.5703125" style="109" hidden="1" customWidth="1"/>
    <col min="31" max="31" width="6.42578125" style="109" hidden="1" customWidth="1"/>
    <col min="32" max="32" width="4" style="80" hidden="1" customWidth="1"/>
    <col min="33" max="33" width="9.140625" style="109" customWidth="1"/>
    <col min="34" max="16384" width="9.140625" style="109"/>
  </cols>
  <sheetData>
    <row r="1" spans="2:32" ht="15.75" x14ac:dyDescent="0.25">
      <c r="B1" s="242"/>
      <c r="C1" s="242"/>
      <c r="E1" s="106" t="s">
        <v>35</v>
      </c>
      <c r="F1" s="104"/>
      <c r="G1" s="107"/>
      <c r="H1" s="107"/>
      <c r="I1" s="108">
        <f>'Data Diri'!C9</f>
        <v>2012730009</v>
      </c>
      <c r="J1" s="107"/>
      <c r="K1" s="107"/>
      <c r="L1" s="107"/>
      <c r="M1" s="107"/>
      <c r="N1" s="107"/>
      <c r="O1" s="104">
        <f>FLOOR(I1/1000000,1)</f>
        <v>2012</v>
      </c>
      <c r="P1" s="104"/>
      <c r="Q1" s="242"/>
      <c r="R1" s="242"/>
      <c r="S1" s="242"/>
      <c r="T1" s="242"/>
      <c r="U1" s="242"/>
      <c r="V1" s="242"/>
      <c r="W1" s="242"/>
      <c r="X1" s="242"/>
      <c r="Y1" s="242"/>
      <c r="Z1" s="242"/>
    </row>
    <row r="2" spans="2:32" ht="15.75" thickBot="1" x14ac:dyDescent="0.3">
      <c r="B2" s="242"/>
      <c r="C2" s="242"/>
      <c r="G2" s="242"/>
      <c r="H2" s="242"/>
      <c r="J2" s="242"/>
      <c r="K2" s="242"/>
      <c r="L2" s="242"/>
      <c r="M2" s="242"/>
      <c r="N2" s="242"/>
      <c r="Q2" s="242"/>
      <c r="R2" s="242"/>
      <c r="S2" s="242"/>
      <c r="T2" s="242"/>
      <c r="U2" s="242"/>
      <c r="V2" s="242"/>
      <c r="W2" s="242"/>
      <c r="X2" s="242"/>
      <c r="Y2" s="242"/>
      <c r="Z2" s="242"/>
    </row>
    <row r="3" spans="2:32" ht="16.5" thickTop="1" thickBot="1" x14ac:dyDescent="0.3">
      <c r="B3" s="206" t="s">
        <v>243</v>
      </c>
      <c r="C3" s="216" t="s">
        <v>244</v>
      </c>
      <c r="D3" s="9" t="s">
        <v>243</v>
      </c>
      <c r="E3" s="10" t="s">
        <v>37</v>
      </c>
      <c r="F3" s="9" t="s">
        <v>38</v>
      </c>
      <c r="G3" s="111" t="s">
        <v>245</v>
      </c>
      <c r="H3" s="111" t="s">
        <v>246</v>
      </c>
      <c r="I3" s="10" t="s">
        <v>39</v>
      </c>
      <c r="J3" s="111" t="s">
        <v>245</v>
      </c>
      <c r="K3" s="111" t="s">
        <v>245</v>
      </c>
      <c r="L3" s="111" t="s">
        <v>245</v>
      </c>
      <c r="M3" s="111" t="s">
        <v>245</v>
      </c>
      <c r="N3" s="111" t="s">
        <v>245</v>
      </c>
      <c r="O3" s="9" t="s">
        <v>247</v>
      </c>
      <c r="P3" s="112" t="s">
        <v>248</v>
      </c>
      <c r="Q3" s="242"/>
      <c r="R3" s="242"/>
      <c r="S3" s="242" t="s">
        <v>249</v>
      </c>
      <c r="T3" s="242" t="s">
        <v>250</v>
      </c>
      <c r="U3" s="242" t="s">
        <v>249</v>
      </c>
      <c r="V3" s="242" t="s">
        <v>250</v>
      </c>
      <c r="W3" s="242"/>
      <c r="X3" s="242"/>
      <c r="Y3" s="242" t="s">
        <v>251</v>
      </c>
      <c r="Z3" s="242"/>
      <c r="AB3" s="109" t="s">
        <v>62</v>
      </c>
      <c r="AD3" s="109" t="s">
        <v>38</v>
      </c>
    </row>
    <row r="4" spans="2:32" ht="16.5" thickTop="1" x14ac:dyDescent="0.25">
      <c r="B4" s="207">
        <v>1</v>
      </c>
      <c r="C4" s="347">
        <v>1</v>
      </c>
      <c r="D4" s="11">
        <v>1</v>
      </c>
      <c r="E4" s="12" t="s">
        <v>252</v>
      </c>
      <c r="F4" s="11">
        <v>6</v>
      </c>
      <c r="G4" s="113" t="str">
        <f t="shared" ref="G4:G35" si="0">E4&amp;"-"&amp;F4</f>
        <v>AIF101-6</v>
      </c>
      <c r="H4" s="11" t="s">
        <v>253</v>
      </c>
      <c r="I4" s="13" t="s">
        <v>254</v>
      </c>
      <c r="J4" s="11" t="e">
        <f>VLOOKUP(G4,'Data Akademik'!$A$14:$D$315,3,FALSE)</f>
        <v>#N/A</v>
      </c>
      <c r="K4" s="11" t="e">
        <f>VLOOKUP(G4,'Data Akademik'!$E$14:$H$315,3,FALSE)</f>
        <v>#N/A</v>
      </c>
      <c r="L4" s="11">
        <f>VLOOKUP(G4,'Data Akademik'!$O$15:$Q$315,3,FALSE)</f>
        <v>0</v>
      </c>
      <c r="M4" s="11" t="str">
        <f>IF(L4&lt;&gt;0,L4,IF(ISNA(J4),IF(ISNA(K4),"",K4),J4))</f>
        <v/>
      </c>
      <c r="N4" s="11" t="str">
        <f>IF(ISERR(FIND("A",M4)),IF(ISERR(FIND("B",M4)),IF(ISERR(FIND("C",M4)),IF(ISERR(FIND("D",M4)),IF(ISERR(FIND("E",M4)),"","E"),"D"),"C"),"B"),"A")</f>
        <v/>
      </c>
      <c r="O4" s="215" t="str">
        <f t="shared" ref="O4:O35" si="1">N4</f>
        <v/>
      </c>
      <c r="P4" s="114" t="str">
        <f t="shared" ref="P4:P35" ca="1" si="2">IF(T4&gt;0,VLOOKUP(T4,$C$178:$D$183,2,),"")</f>
        <v/>
      </c>
      <c r="Q4" s="346">
        <v>2006</v>
      </c>
      <c r="R4" s="346">
        <f>IF($O$1&gt;=Q4,MIN(F4:F5),0)</f>
        <v>3</v>
      </c>
      <c r="S4" s="242">
        <f>IF(ISBLANK(O4),-1,VLOOKUP(O4,'Nilai Kurikulum 2013'!$B$178:$C$183,2,FALSE))</f>
        <v>-1</v>
      </c>
      <c r="T4" s="242">
        <f ca="1">IF(AND(ISNA(MATCH(E4,'Hapus MK'!$N$13:$N$32,0)),ISNA(MATCH(E4,'Hapus MK'!$Q$13:$Q$30,0)))=TRUE,S4,-1)</f>
        <v>-1</v>
      </c>
      <c r="U4" s="242">
        <f>IF(S4&gt;0,F4,0)</f>
        <v>0</v>
      </c>
      <c r="V4" s="242">
        <f ca="1">IF(T4&gt;0,F4,0)</f>
        <v>0</v>
      </c>
      <c r="W4" s="242">
        <f t="shared" ref="W4:W35" ca="1" si="3">IF(AND(Q4&lt;=$O$1,T4&gt;0),1,0)</f>
        <v>0</v>
      </c>
      <c r="X4" s="242" t="str">
        <f ca="1">IF($T5&lt;1,$E4,$E5)</f>
        <v>AIF191</v>
      </c>
      <c r="Y4" s="115"/>
      <c r="Z4" s="242"/>
      <c r="AB4" s="80" t="s">
        <v>255</v>
      </c>
      <c r="AC4" s="80" t="s">
        <v>50</v>
      </c>
      <c r="AD4" s="80" t="s">
        <v>50</v>
      </c>
      <c r="AE4" s="80" t="s">
        <v>255</v>
      </c>
    </row>
    <row r="5" spans="2:32" ht="15.75" x14ac:dyDescent="0.25">
      <c r="B5" s="208">
        <v>2</v>
      </c>
      <c r="C5" s="348"/>
      <c r="D5" s="14">
        <v>4</v>
      </c>
      <c r="E5" s="15" t="s">
        <v>256</v>
      </c>
      <c r="F5" s="14">
        <v>3</v>
      </c>
      <c r="G5" s="116" t="str">
        <f t="shared" si="0"/>
        <v>AIF191-3</v>
      </c>
      <c r="H5" s="14" t="s">
        <v>253</v>
      </c>
      <c r="I5" s="16" t="s">
        <v>254</v>
      </c>
      <c r="J5" s="14" t="str">
        <f>VLOOKUP(G5,'Data Akademik'!$A$14:$D$315,3,FALSE)</f>
        <v>B</v>
      </c>
      <c r="K5" s="14" t="e">
        <f>VLOOKUP(G5,'Data Akademik'!$E$14:$H$315,3,FALSE)</f>
        <v>#N/A</v>
      </c>
      <c r="L5" s="14">
        <f>VLOOKUP(G5,'Data Akademik'!$O$15:$Q$315,3,FALSE)</f>
        <v>0</v>
      </c>
      <c r="M5" s="14" t="str">
        <f t="shared" ref="M5:M68" si="4">IF(L5&lt;&gt;0,L5,IF(ISNA(J5),IF(ISNA(K5),"",K5),J5))</f>
        <v>B</v>
      </c>
      <c r="N5" s="14" t="str">
        <f>IF(ISERR(FIND("A",M5)),IF(ISERR(FIND("B",M5)),IF(ISERR(FIND("C",M5)),IF(ISERR(FIND("D",M5)),IF(ISERR(FIND("E",M5)),"","E"),"D"),"C"),"B"),"A")</f>
        <v>B</v>
      </c>
      <c r="O5" s="204" t="str">
        <f t="shared" si="1"/>
        <v>B</v>
      </c>
      <c r="P5" s="117" t="str">
        <f t="shared" ca="1" si="2"/>
        <v>B</v>
      </c>
      <c r="Q5" s="346"/>
      <c r="R5" s="346"/>
      <c r="S5" s="242">
        <f>IF(ISBLANK(O5),-1,VLOOKUP(O5,'Nilai Kurikulum 2013'!$B$178:$C$183,2,FALSE))</f>
        <v>3</v>
      </c>
      <c r="T5" s="242">
        <f ca="1">IF(AND(ISNA(MATCH(E5,'Hapus MK'!$N$13:$N$32,0)),ISNA(MATCH(E5,'Hapus MK'!$Q$13:$Q$30,0)))=TRUE,S5,-1)</f>
        <v>3</v>
      </c>
      <c r="U5" s="242">
        <f t="shared" ref="U5:U68" si="5">IF(S5&gt;0,F5,0)</f>
        <v>3</v>
      </c>
      <c r="V5" s="242">
        <f t="shared" ref="V5:V68" ca="1" si="6">IF(T5&gt;0,F5,0)</f>
        <v>3</v>
      </c>
      <c r="W5" s="242">
        <f t="shared" ca="1" si="3"/>
        <v>1</v>
      </c>
      <c r="X5" s="242"/>
      <c r="Y5" s="115"/>
      <c r="Z5" s="242"/>
      <c r="AA5" s="109" t="s">
        <v>51</v>
      </c>
      <c r="AB5" s="242">
        <f>COUNTIF(Q4:Q47,"&lt;="&amp;O1)-2</f>
        <v>32</v>
      </c>
      <c r="AC5" s="80">
        <f ca="1">COUNTIF(V4:V47,"&lt;&gt;0")-AC6</f>
        <v>32</v>
      </c>
      <c r="AD5" s="80">
        <f ca="1">SUM(V4:V47)-AD6</f>
        <v>97</v>
      </c>
      <c r="AE5" s="80">
        <f>SUM(R4:R47)-AE6</f>
        <v>89</v>
      </c>
    </row>
    <row r="6" spans="2:32" ht="15.75" x14ac:dyDescent="0.25">
      <c r="B6" s="208">
        <v>3</v>
      </c>
      <c r="C6" s="348"/>
      <c r="D6" s="14">
        <v>2</v>
      </c>
      <c r="E6" s="15" t="s">
        <v>97</v>
      </c>
      <c r="F6" s="14">
        <v>3</v>
      </c>
      <c r="G6" s="116" t="str">
        <f t="shared" si="0"/>
        <v>AIF103-3</v>
      </c>
      <c r="H6" s="14" t="s">
        <v>253</v>
      </c>
      <c r="I6" s="16" t="s">
        <v>257</v>
      </c>
      <c r="J6" s="14" t="str">
        <f>VLOOKUP(G6,'Data Akademik'!$A$14:$D$315,3,FALSE)</f>
        <v>B</v>
      </c>
      <c r="K6" s="14" t="e">
        <f>VLOOKUP(G6,'Data Akademik'!$E$14:$H$315,3,FALSE)</f>
        <v>#N/A</v>
      </c>
      <c r="L6" s="14">
        <f>VLOOKUP(G6,'Data Akademik'!$O$15:$Q$315,3,FALSE)</f>
        <v>0</v>
      </c>
      <c r="M6" s="14" t="str">
        <f t="shared" si="4"/>
        <v>B</v>
      </c>
      <c r="N6" s="14" t="str">
        <f t="shared" ref="N6:N68" si="7">IF(ISERR(FIND("A",M6)),IF(ISERR(FIND("B",M6)),IF(ISERR(FIND("C",M6)),IF(ISERR(FIND("D",M6)),IF(ISERR(FIND("E",M6)),"","E"),"D"),"C"),"B"),"A")</f>
        <v>B</v>
      </c>
      <c r="O6" s="204" t="str">
        <f t="shared" si="1"/>
        <v>B</v>
      </c>
      <c r="P6" s="117" t="str">
        <f t="shared" ca="1" si="2"/>
        <v>B</v>
      </c>
      <c r="Q6" s="242">
        <v>2006</v>
      </c>
      <c r="R6" s="242">
        <f>IF($O$1&gt;=Q6,F6,0)</f>
        <v>3</v>
      </c>
      <c r="S6" s="242">
        <f>IF(ISBLANK(O6),-1,VLOOKUP(O6,'Nilai Kurikulum 2013'!$B$178:$C$183,2,FALSE))</f>
        <v>3</v>
      </c>
      <c r="T6" s="242">
        <f ca="1">IF(AND(ISNA(MATCH(E6,'Hapus MK'!$N$13:$N$32,0)),ISNA(MATCH(E6,'Hapus MK'!$Q$13:$Q$30,0)))=TRUE,S6,-1)</f>
        <v>3</v>
      </c>
      <c r="U6" s="242">
        <f t="shared" si="5"/>
        <v>3</v>
      </c>
      <c r="V6" s="242">
        <f t="shared" ca="1" si="6"/>
        <v>3</v>
      </c>
      <c r="W6" s="242">
        <f t="shared" ca="1" si="3"/>
        <v>1</v>
      </c>
      <c r="X6" s="242"/>
      <c r="Y6" s="242"/>
      <c r="Z6" s="242"/>
      <c r="AA6" s="109" t="s">
        <v>52</v>
      </c>
      <c r="AB6" s="242">
        <v>1</v>
      </c>
      <c r="AC6" s="80">
        <f ca="1">COUNTIF(V38:V41,"&lt;&gt;0")</f>
        <v>1</v>
      </c>
      <c r="AD6" s="80">
        <f ca="1">SUM(V38:V41)</f>
        <v>6</v>
      </c>
      <c r="AE6" s="80">
        <f>R39</f>
        <v>3</v>
      </c>
    </row>
    <row r="7" spans="2:32" ht="15.75" x14ac:dyDescent="0.25">
      <c r="B7" s="208">
        <v>4</v>
      </c>
      <c r="C7" s="348"/>
      <c r="D7" s="14">
        <v>3</v>
      </c>
      <c r="E7" s="15" t="s">
        <v>99</v>
      </c>
      <c r="F7" s="14">
        <v>3</v>
      </c>
      <c r="G7" s="116" t="str">
        <f t="shared" si="0"/>
        <v>AIF105-3</v>
      </c>
      <c r="H7" s="14" t="s">
        <v>253</v>
      </c>
      <c r="I7" s="16" t="s">
        <v>258</v>
      </c>
      <c r="J7" s="14" t="str">
        <f>VLOOKUP(G7,'Data Akademik'!$A$14:$D$315,3,FALSE)</f>
        <v>B</v>
      </c>
      <c r="K7" s="14" t="e">
        <f>VLOOKUP(G7,'Data Akademik'!$E$14:$H$315,3,FALSE)</f>
        <v>#N/A</v>
      </c>
      <c r="L7" s="14">
        <f>VLOOKUP(G7,'Data Akademik'!$O$15:$Q$315,3,FALSE)</f>
        <v>0</v>
      </c>
      <c r="M7" s="14" t="str">
        <f t="shared" si="4"/>
        <v>B</v>
      </c>
      <c r="N7" s="14" t="str">
        <f t="shared" si="7"/>
        <v>B</v>
      </c>
      <c r="O7" s="204" t="str">
        <f t="shared" si="1"/>
        <v>B</v>
      </c>
      <c r="P7" s="117" t="str">
        <f t="shared" ca="1" si="2"/>
        <v>B</v>
      </c>
      <c r="Q7" s="242">
        <v>2006</v>
      </c>
      <c r="R7" s="242">
        <f>IF($O$1&gt;=Q7,F7,0)</f>
        <v>3</v>
      </c>
      <c r="S7" s="242">
        <f>IF(ISBLANK(O7),-1,VLOOKUP(O7,'Nilai Kurikulum 2013'!$B$178:$C$183,2,FALSE))</f>
        <v>3</v>
      </c>
      <c r="T7" s="242">
        <f ca="1">IF(AND(ISNA(MATCH(E7,'Hapus MK'!$N$13:$N$32,0)),ISNA(MATCH(E7,'Hapus MK'!$Q$13:$Q$30,0)))=TRUE,S7,-1)</f>
        <v>3</v>
      </c>
      <c r="U7" s="242">
        <f t="shared" si="5"/>
        <v>3</v>
      </c>
      <c r="V7" s="242">
        <f t="shared" ca="1" si="6"/>
        <v>3</v>
      </c>
      <c r="W7" s="242">
        <f t="shared" ca="1" si="3"/>
        <v>1</v>
      </c>
      <c r="X7" s="242"/>
      <c r="Y7" s="242"/>
      <c r="Z7" s="242"/>
      <c r="AA7" s="109" t="s">
        <v>259</v>
      </c>
      <c r="AB7" s="242">
        <f>IF($O$1&lt;=2010,0,4)</f>
        <v>4</v>
      </c>
      <c r="AC7" s="80">
        <f ca="1">COUNTIF(V48:V55,"&lt;&gt;0")</f>
        <v>4</v>
      </c>
      <c r="AD7" s="80">
        <f ca="1">SUM(V48:V55)</f>
        <v>8</v>
      </c>
      <c r="AE7" s="80">
        <f>IF($O$1&lt;=2010,0,8)</f>
        <v>8</v>
      </c>
    </row>
    <row r="8" spans="2:32" ht="15.75" x14ac:dyDescent="0.25">
      <c r="B8" s="208">
        <v>5</v>
      </c>
      <c r="C8" s="348"/>
      <c r="D8" s="14">
        <v>5</v>
      </c>
      <c r="E8" s="15" t="s">
        <v>101</v>
      </c>
      <c r="F8" s="14">
        <v>2</v>
      </c>
      <c r="G8" s="116" t="str">
        <f t="shared" si="0"/>
        <v>MKU001-2</v>
      </c>
      <c r="H8" s="14" t="s">
        <v>253</v>
      </c>
      <c r="I8" s="17" t="s">
        <v>260</v>
      </c>
      <c r="J8" s="14" t="str">
        <f>VLOOKUP(G8,'Data Akademik'!$A$14:$D$315,3,FALSE)</f>
        <v>A</v>
      </c>
      <c r="K8" s="14" t="e">
        <f>VLOOKUP(G8,'Data Akademik'!$E$14:$H$315,3,FALSE)</f>
        <v>#N/A</v>
      </c>
      <c r="L8" s="14">
        <f>VLOOKUP(G8,'Data Akademik'!$O$15:$Q$315,3,FALSE)</f>
        <v>0</v>
      </c>
      <c r="M8" s="14" t="str">
        <f t="shared" si="4"/>
        <v>A</v>
      </c>
      <c r="N8" s="14" t="str">
        <f t="shared" si="7"/>
        <v>A</v>
      </c>
      <c r="O8" s="204" t="str">
        <f t="shared" si="1"/>
        <v>A</v>
      </c>
      <c r="P8" s="117" t="str">
        <f t="shared" ca="1" si="2"/>
        <v>A</v>
      </c>
      <c r="Q8" s="242">
        <v>2006</v>
      </c>
      <c r="R8" s="242">
        <f>IF($O$1&gt;=Q8,F8,0)</f>
        <v>2</v>
      </c>
      <c r="S8" s="242">
        <f>IF(ISBLANK(O8),-1,VLOOKUP(O8,'Nilai Kurikulum 2013'!$B$178:$C$183,2,FALSE))</f>
        <v>4</v>
      </c>
      <c r="T8" s="242">
        <f ca="1">IF(AND(ISNA(MATCH(E8,'Hapus MK'!$N$13:$N$32,0)),ISNA(MATCH(E8,'Hapus MK'!$Q$13:$Q$30,0)))=TRUE,S8,-1)</f>
        <v>4</v>
      </c>
      <c r="U8" s="242">
        <f t="shared" si="5"/>
        <v>2</v>
      </c>
      <c r="V8" s="242">
        <f t="shared" ca="1" si="6"/>
        <v>2</v>
      </c>
      <c r="W8" s="242">
        <f t="shared" ca="1" si="3"/>
        <v>1</v>
      </c>
      <c r="X8" s="242"/>
      <c r="Y8" s="242"/>
      <c r="Z8" s="242"/>
      <c r="AA8" s="109" t="s">
        <v>54</v>
      </c>
      <c r="AB8" s="242">
        <v>0</v>
      </c>
      <c r="AC8" s="80">
        <f ca="1">COUNTIF(V56:V151,"&lt;&gt;0")</f>
        <v>11</v>
      </c>
      <c r="AD8" s="242">
        <f ca="1">SUM(V56:V151)</f>
        <v>33</v>
      </c>
      <c r="AE8" s="242">
        <v>0</v>
      </c>
    </row>
    <row r="9" spans="2:32" ht="15.75" x14ac:dyDescent="0.25">
      <c r="B9" s="208">
        <v>6</v>
      </c>
      <c r="C9" s="348"/>
      <c r="D9" s="14">
        <v>6</v>
      </c>
      <c r="E9" s="15" t="s">
        <v>102</v>
      </c>
      <c r="F9" s="14">
        <v>2</v>
      </c>
      <c r="G9" s="116" t="str">
        <f t="shared" si="0"/>
        <v>MKU008-2</v>
      </c>
      <c r="H9" s="14" t="s">
        <v>253</v>
      </c>
      <c r="I9" s="17" t="s">
        <v>261</v>
      </c>
      <c r="J9" s="14" t="str">
        <f>VLOOKUP(G9,'Data Akademik'!$A$14:$D$315,3,FALSE)</f>
        <v>B</v>
      </c>
      <c r="K9" s="14" t="e">
        <f>VLOOKUP(G9,'Data Akademik'!$E$14:$H$315,3,FALSE)</f>
        <v>#N/A</v>
      </c>
      <c r="L9" s="14">
        <f>VLOOKUP(G9,'Data Akademik'!$O$15:$Q$315,3,FALSE)</f>
        <v>0</v>
      </c>
      <c r="M9" s="14" t="str">
        <f t="shared" si="4"/>
        <v>B</v>
      </c>
      <c r="N9" s="14" t="str">
        <f t="shared" si="7"/>
        <v>B</v>
      </c>
      <c r="O9" s="204" t="str">
        <f t="shared" si="1"/>
        <v>B</v>
      </c>
      <c r="P9" s="117" t="str">
        <f t="shared" ca="1" si="2"/>
        <v>B</v>
      </c>
      <c r="Q9" s="242">
        <v>2006</v>
      </c>
      <c r="R9" s="242">
        <f>IF($O$1&gt;=Q9,F9,0)</f>
        <v>2</v>
      </c>
      <c r="S9" s="242">
        <f>IF(ISBLANK(O9),-1,VLOOKUP(O9,'Nilai Kurikulum 2013'!$B$178:$C$183,2,FALSE))</f>
        <v>3</v>
      </c>
      <c r="T9" s="242">
        <f ca="1">IF(AND(ISNA(MATCH(E9,'Hapus MK'!$N$13:$N$32,0)),ISNA(MATCH(E9,'Hapus MK'!$Q$13:$Q$30,0)))=TRUE,S9,-1)</f>
        <v>3</v>
      </c>
      <c r="U9" s="242">
        <f t="shared" si="5"/>
        <v>2</v>
      </c>
      <c r="V9" s="242">
        <f t="shared" ca="1" si="6"/>
        <v>2</v>
      </c>
      <c r="W9" s="242">
        <f t="shared" ca="1" si="3"/>
        <v>1</v>
      </c>
      <c r="X9" s="242"/>
      <c r="Y9" s="242"/>
      <c r="Z9" s="242"/>
      <c r="AA9" s="118" t="s">
        <v>262</v>
      </c>
      <c r="AB9" s="242" t="s">
        <v>263</v>
      </c>
      <c r="AC9" s="80">
        <f ca="1">COUNTIF(V152:V176,"&lt;&gt;0")</f>
        <v>0</v>
      </c>
      <c r="AD9" s="80">
        <f ca="1">SUM(V152:V175)</f>
        <v>0</v>
      </c>
      <c r="AE9" s="80">
        <v>0</v>
      </c>
    </row>
    <row r="10" spans="2:32" ht="16.5" thickBot="1" x14ac:dyDescent="0.3">
      <c r="B10" s="209">
        <v>7</v>
      </c>
      <c r="C10" s="348"/>
      <c r="D10" s="14">
        <v>7</v>
      </c>
      <c r="E10" s="15" t="s">
        <v>104</v>
      </c>
      <c r="F10" s="14">
        <v>2</v>
      </c>
      <c r="G10" s="116" t="str">
        <f t="shared" si="0"/>
        <v>MKU010-2</v>
      </c>
      <c r="H10" s="14" t="s">
        <v>253</v>
      </c>
      <c r="I10" s="17" t="s">
        <v>84</v>
      </c>
      <c r="J10" s="14" t="str">
        <f>VLOOKUP(G10,'Data Akademik'!$A$14:$D$315,3,FALSE)</f>
        <v>A</v>
      </c>
      <c r="K10" s="14" t="e">
        <f>VLOOKUP(G10,'Data Akademik'!$E$14:$H$315,3,FALSE)</f>
        <v>#N/A</v>
      </c>
      <c r="L10" s="14">
        <f>VLOOKUP(G10,'Data Akademik'!$O$15:$Q$315,3,FALSE)</f>
        <v>0</v>
      </c>
      <c r="M10" s="14" t="str">
        <f t="shared" si="4"/>
        <v>A</v>
      </c>
      <c r="N10" s="14" t="str">
        <f t="shared" si="7"/>
        <v>A</v>
      </c>
      <c r="O10" s="204" t="str">
        <f t="shared" si="1"/>
        <v>A</v>
      </c>
      <c r="P10" s="117" t="str">
        <f t="shared" ca="1" si="2"/>
        <v>A</v>
      </c>
      <c r="Q10" s="242">
        <v>2006</v>
      </c>
      <c r="R10" s="242">
        <f>IF($O$1&gt;=Q10,F10,0)</f>
        <v>2</v>
      </c>
      <c r="S10" s="242">
        <f>IF(ISBLANK(O10),-1,VLOOKUP(O10,'Nilai Kurikulum 2013'!$B$178:$C$183,2,FALSE))</f>
        <v>4</v>
      </c>
      <c r="T10" s="242">
        <f ca="1">IF(AND(ISNA(MATCH(E10,'Hapus MK'!$N$13:$N$32,0)),ISNA(MATCH(E10,'Hapus MK'!$Q$13:$Q$30,0)))=TRUE,S10,-1)</f>
        <v>4</v>
      </c>
      <c r="U10" s="242">
        <f t="shared" si="5"/>
        <v>2</v>
      </c>
      <c r="V10" s="242">
        <f t="shared" ca="1" si="6"/>
        <v>2</v>
      </c>
      <c r="W10" s="242">
        <f t="shared" ca="1" si="3"/>
        <v>1</v>
      </c>
      <c r="X10" s="242"/>
      <c r="Y10" s="242"/>
      <c r="Z10" s="242"/>
      <c r="AC10" s="80">
        <f ca="1">SUM(AC5:AC9)</f>
        <v>48</v>
      </c>
      <c r="AD10" s="80">
        <f ca="1">SUM(AD5:AD9)</f>
        <v>144</v>
      </c>
      <c r="AE10" s="80"/>
    </row>
    <row r="11" spans="2:32" ht="16.5" thickTop="1" x14ac:dyDescent="0.25">
      <c r="B11" s="207">
        <v>8</v>
      </c>
      <c r="C11" s="348">
        <v>2</v>
      </c>
      <c r="D11" s="14">
        <v>1</v>
      </c>
      <c r="E11" s="15" t="s">
        <v>264</v>
      </c>
      <c r="F11" s="14">
        <v>4</v>
      </c>
      <c r="G11" s="116" t="str">
        <f t="shared" si="0"/>
        <v>AIF102-4</v>
      </c>
      <c r="H11" s="14" t="s">
        <v>253</v>
      </c>
      <c r="I11" s="16" t="s">
        <v>265</v>
      </c>
      <c r="J11" s="14" t="e">
        <f>VLOOKUP(G11,'Data Akademik'!$A$14:$D$315,3,FALSE)</f>
        <v>#N/A</v>
      </c>
      <c r="K11" s="14" t="str">
        <f>VLOOKUP(G11,'Data Akademik'!$E$14:$H$315,3,FALSE)</f>
        <v>A</v>
      </c>
      <c r="L11" s="14">
        <f>VLOOKUP(G11,'Data Akademik'!$O$15:$Q$315,3,FALSE)</f>
        <v>0</v>
      </c>
      <c r="M11" s="14" t="str">
        <f t="shared" si="4"/>
        <v>A</v>
      </c>
      <c r="N11" s="14" t="str">
        <f t="shared" si="7"/>
        <v>A</v>
      </c>
      <c r="O11" s="204" t="str">
        <f t="shared" si="1"/>
        <v>A</v>
      </c>
      <c r="P11" s="117" t="str">
        <f t="shared" ca="1" si="2"/>
        <v>A</v>
      </c>
      <c r="Q11" s="346">
        <v>2006</v>
      </c>
      <c r="R11" s="346">
        <f>IF($O$1&gt;=Q11,MIN(F11:F12),0)</f>
        <v>3</v>
      </c>
      <c r="S11" s="242">
        <f>IF(ISBLANK(O11),-1,VLOOKUP(O11,'Nilai Kurikulum 2013'!$B$178:$C$183,2,FALSE))</f>
        <v>4</v>
      </c>
      <c r="T11" s="242">
        <f ca="1">IF(AND(ISNA(MATCH(E11,'Hapus MK'!$N$13:$N$32,0)),ISNA(MATCH(E11,'Hapus MK'!$Q$13:$Q$30,0)))=TRUE,S11,-1)</f>
        <v>4</v>
      </c>
      <c r="U11" s="242">
        <f t="shared" si="5"/>
        <v>4</v>
      </c>
      <c r="V11" s="242">
        <f t="shared" ca="1" si="6"/>
        <v>4</v>
      </c>
      <c r="W11" s="242">
        <f t="shared" ca="1" si="3"/>
        <v>1</v>
      </c>
      <c r="X11" s="242" t="str">
        <f ca="1">IF($T12&lt;1,$E11,$E12)</f>
        <v>AIF102</v>
      </c>
      <c r="Y11" s="346"/>
      <c r="Z11" s="242"/>
      <c r="AA11" s="109" t="s">
        <v>266</v>
      </c>
    </row>
    <row r="12" spans="2:32" ht="15.75" x14ac:dyDescent="0.25">
      <c r="B12" s="208">
        <v>11</v>
      </c>
      <c r="C12" s="348"/>
      <c r="D12" s="14">
        <v>4</v>
      </c>
      <c r="E12" s="15" t="s">
        <v>267</v>
      </c>
      <c r="F12" s="14">
        <v>3</v>
      </c>
      <c r="G12" s="116" t="str">
        <f t="shared" si="0"/>
        <v>AIF192-3</v>
      </c>
      <c r="H12" s="14" t="s">
        <v>253</v>
      </c>
      <c r="I12" s="16" t="s">
        <v>265</v>
      </c>
      <c r="J12" s="14" t="e">
        <f>VLOOKUP(G12,'Data Akademik'!$A$14:$D$315,3,FALSE)</f>
        <v>#N/A</v>
      </c>
      <c r="K12" s="14" t="e">
        <f>VLOOKUP(G12,'Data Akademik'!$E$14:$H$315,3,FALSE)</f>
        <v>#N/A</v>
      </c>
      <c r="L12" s="14">
        <f>VLOOKUP(G12,'Data Akademik'!$O$15:$Q$315,3,FALSE)</f>
        <v>0</v>
      </c>
      <c r="M12" s="14" t="str">
        <f t="shared" si="4"/>
        <v/>
      </c>
      <c r="N12" s="14" t="str">
        <f>IF(ISERR(FIND("A",M12)),IF(ISERR(FIND("B",M12)),IF(ISERR(FIND("C",M12)),IF(ISERR(FIND("D",M12)),IF(ISERR(FIND("E",M12)),"","E"),"D"),"C"),"B"),"A")</f>
        <v/>
      </c>
      <c r="O12" s="204" t="str">
        <f t="shared" si="1"/>
        <v/>
      </c>
      <c r="P12" s="117" t="str">
        <f t="shared" ca="1" si="2"/>
        <v/>
      </c>
      <c r="Q12" s="346"/>
      <c r="R12" s="346"/>
      <c r="S12" s="242">
        <f>IF(ISBLANK(O12),-1,VLOOKUP(O12,'Nilai Kurikulum 2013'!$B$178:$C$183,2,FALSE))</f>
        <v>-1</v>
      </c>
      <c r="T12" s="242">
        <f ca="1">IF(AND(ISNA(MATCH(E12,'Hapus MK'!$N$13:$N$32,0)),ISNA(MATCH(E12,'Hapus MK'!$Q$13:$Q$30,0)))=TRUE,S12,-1)</f>
        <v>-1</v>
      </c>
      <c r="U12" s="242">
        <f t="shared" si="5"/>
        <v>0</v>
      </c>
      <c r="V12" s="242">
        <f t="shared" ca="1" si="6"/>
        <v>0</v>
      </c>
      <c r="W12" s="242">
        <f t="shared" ca="1" si="3"/>
        <v>0</v>
      </c>
      <c r="X12" s="242"/>
      <c r="Y12" s="346"/>
      <c r="Z12" s="242"/>
      <c r="AA12" s="118" t="s">
        <v>268</v>
      </c>
    </row>
    <row r="13" spans="2:32" ht="15.75" x14ac:dyDescent="0.25">
      <c r="B13" s="208">
        <v>9</v>
      </c>
      <c r="C13" s="348"/>
      <c r="D13" s="14">
        <v>2</v>
      </c>
      <c r="E13" s="15" t="s">
        <v>98</v>
      </c>
      <c r="F13" s="14">
        <v>3</v>
      </c>
      <c r="G13" s="116" t="str">
        <f t="shared" si="0"/>
        <v>AIF104-3</v>
      </c>
      <c r="H13" s="14" t="s">
        <v>253</v>
      </c>
      <c r="I13" s="16" t="s">
        <v>269</v>
      </c>
      <c r="J13" s="14" t="e">
        <f>VLOOKUP(G13,'Data Akademik'!$A$14:$D$315,3,FALSE)</f>
        <v>#N/A</v>
      </c>
      <c r="K13" s="14" t="str">
        <f>VLOOKUP(G13,'Data Akademik'!$E$14:$H$315,3,FALSE)</f>
        <v>B</v>
      </c>
      <c r="L13" s="14">
        <f>VLOOKUP(G13,'Data Akademik'!$O$15:$Q$315,3,FALSE)</f>
        <v>0</v>
      </c>
      <c r="M13" s="14" t="str">
        <f t="shared" si="4"/>
        <v>B</v>
      </c>
      <c r="N13" s="14" t="str">
        <f t="shared" si="7"/>
        <v>B</v>
      </c>
      <c r="O13" s="204" t="str">
        <f t="shared" si="1"/>
        <v>B</v>
      </c>
      <c r="P13" s="117" t="str">
        <f t="shared" ca="1" si="2"/>
        <v>B</v>
      </c>
      <c r="Q13" s="242">
        <v>2006</v>
      </c>
      <c r="R13" s="242">
        <f>IF($O$1&gt;=Q13,F13,0)</f>
        <v>3</v>
      </c>
      <c r="S13" s="242">
        <f>IF(ISBLANK(O13),-1,VLOOKUP(O13,'Nilai Kurikulum 2013'!$B$178:$C$183,2,FALSE))</f>
        <v>3</v>
      </c>
      <c r="T13" s="242">
        <f ca="1">IF(AND(ISNA(MATCH(E13,'Hapus MK'!$N$13:$N$32,0)),ISNA(MATCH(E13,'Hapus MK'!$Q$13:$Q$30,0)))=TRUE,S13,-1)</f>
        <v>3</v>
      </c>
      <c r="U13" s="242">
        <f t="shared" si="5"/>
        <v>3</v>
      </c>
      <c r="V13" s="242">
        <f t="shared" ca="1" si="6"/>
        <v>3</v>
      </c>
      <c r="W13" s="242">
        <f t="shared" ca="1" si="3"/>
        <v>1</v>
      </c>
      <c r="X13" s="242"/>
      <c r="Y13" s="242"/>
      <c r="Z13" s="242"/>
      <c r="AA13" s="119">
        <v>4</v>
      </c>
      <c r="AB13" s="80">
        <v>3</v>
      </c>
      <c r="AC13" s="80">
        <v>2</v>
      </c>
      <c r="AD13" s="119">
        <v>1</v>
      </c>
      <c r="AE13" s="119">
        <v>0</v>
      </c>
    </row>
    <row r="14" spans="2:32" ht="15.75" x14ac:dyDescent="0.25">
      <c r="B14" s="208">
        <v>10</v>
      </c>
      <c r="C14" s="348"/>
      <c r="D14" s="14">
        <v>3</v>
      </c>
      <c r="E14" s="15" t="s">
        <v>100</v>
      </c>
      <c r="F14" s="14">
        <v>3</v>
      </c>
      <c r="G14" s="116" t="str">
        <f t="shared" si="0"/>
        <v>AIF106-3</v>
      </c>
      <c r="H14" s="14" t="s">
        <v>253</v>
      </c>
      <c r="I14" s="16" t="s">
        <v>270</v>
      </c>
      <c r="J14" s="14" t="e">
        <f>VLOOKUP(G14,'Data Akademik'!$A$14:$D$315,3,FALSE)</f>
        <v>#N/A</v>
      </c>
      <c r="K14" s="14" t="str">
        <f>VLOOKUP(G14,'Data Akademik'!$E$14:$H$315,3,FALSE)</f>
        <v>C</v>
      </c>
      <c r="L14" s="14">
        <f>VLOOKUP(G14,'Data Akademik'!$O$15:$Q$315,3,FALSE)</f>
        <v>0</v>
      </c>
      <c r="M14" s="14" t="str">
        <f t="shared" si="4"/>
        <v>C</v>
      </c>
      <c r="N14" s="14" t="str">
        <f t="shared" si="7"/>
        <v>C</v>
      </c>
      <c r="O14" s="204" t="str">
        <f t="shared" si="1"/>
        <v>C</v>
      </c>
      <c r="P14" s="117" t="str">
        <f t="shared" ca="1" si="2"/>
        <v>C</v>
      </c>
      <c r="Q14" s="242">
        <v>2006</v>
      </c>
      <c r="R14" s="242">
        <f>IF($O$1&gt;=Q14,F14,0)</f>
        <v>3</v>
      </c>
      <c r="S14" s="242">
        <f>IF(ISBLANK(O14),-1,VLOOKUP(O14,'Nilai Kurikulum 2013'!$B$178:$C$183,2,FALSE))</f>
        <v>2</v>
      </c>
      <c r="T14" s="242">
        <f ca="1">IF(AND(ISNA(MATCH(E14,'Hapus MK'!$N$13:$N$32,0)),ISNA(MATCH(E14,'Hapus MK'!$Q$13:$Q$30,0)))=TRUE,S14,-1)</f>
        <v>2</v>
      </c>
      <c r="U14" s="242">
        <f t="shared" si="5"/>
        <v>3</v>
      </c>
      <c r="V14" s="242">
        <f t="shared" ca="1" si="6"/>
        <v>3</v>
      </c>
      <c r="W14" s="242">
        <f t="shared" ca="1" si="3"/>
        <v>1</v>
      </c>
      <c r="X14" s="242"/>
      <c r="Y14" s="242"/>
      <c r="Z14" s="242"/>
      <c r="AA14" s="119" t="s">
        <v>57</v>
      </c>
      <c r="AB14" s="80" t="s">
        <v>58</v>
      </c>
      <c r="AC14" s="80" t="s">
        <v>59</v>
      </c>
      <c r="AD14" s="119" t="s">
        <v>60</v>
      </c>
      <c r="AE14" s="119" t="s">
        <v>61</v>
      </c>
    </row>
    <row r="15" spans="2:32" ht="15.75" x14ac:dyDescent="0.25">
      <c r="B15" s="208">
        <v>12</v>
      </c>
      <c r="C15" s="348"/>
      <c r="D15" s="14">
        <v>5</v>
      </c>
      <c r="E15" s="15" t="s">
        <v>271</v>
      </c>
      <c r="F15" s="14">
        <v>4</v>
      </c>
      <c r="G15" s="116" t="str">
        <f t="shared" si="0"/>
        <v>AMS100-4</v>
      </c>
      <c r="H15" s="14" t="s">
        <v>253</v>
      </c>
      <c r="I15" s="16" t="s">
        <v>272</v>
      </c>
      <c r="J15" s="14" t="e">
        <f>VLOOKUP(G15,'Data Akademik'!$A$14:$D$315,3,FALSE)</f>
        <v>#N/A</v>
      </c>
      <c r="K15" s="14" t="str">
        <f>VLOOKUP(G15,'Data Akademik'!$E$14:$H$315,3,FALSE)</f>
        <v>A</v>
      </c>
      <c r="L15" s="14">
        <f>VLOOKUP(G15,'Data Akademik'!$O$15:$Q$315,3,FALSE)</f>
        <v>0</v>
      </c>
      <c r="M15" s="14" t="str">
        <f t="shared" si="4"/>
        <v>A</v>
      </c>
      <c r="N15" s="14" t="str">
        <f t="shared" si="7"/>
        <v>A</v>
      </c>
      <c r="O15" s="204" t="str">
        <f t="shared" si="1"/>
        <v>A</v>
      </c>
      <c r="P15" s="117" t="str">
        <f t="shared" ca="1" si="2"/>
        <v>A</v>
      </c>
      <c r="Q15" s="346">
        <v>2006</v>
      </c>
      <c r="R15" s="346">
        <f>IF($O$1&gt;=Q15,MIN(F15:F16),0)</f>
        <v>3</v>
      </c>
      <c r="S15" s="242">
        <f>IF(ISBLANK(O15),-1,VLOOKUP(O15,'Nilai Kurikulum 2013'!$B$178:$C$183,2,FALSE))</f>
        <v>4</v>
      </c>
      <c r="T15" s="242">
        <f ca="1">IF(AND(ISNA(MATCH(E15,'Hapus MK'!$N$13:$N$32,0)),ISNA(MATCH(E15,'Hapus MK'!$Q$13:$Q$30,0)))=TRUE,S15,-1)</f>
        <v>4</v>
      </c>
      <c r="U15" s="242">
        <f t="shared" si="5"/>
        <v>4</v>
      </c>
      <c r="V15" s="242">
        <f t="shared" ca="1" si="6"/>
        <v>4</v>
      </c>
      <c r="W15" s="242">
        <f t="shared" ca="1" si="3"/>
        <v>1</v>
      </c>
      <c r="X15" s="242" t="str">
        <f ca="1">IF($T16&lt;1,$E15,$E16)</f>
        <v>AMS100</v>
      </c>
      <c r="Y15" s="115"/>
      <c r="Z15" s="242" t="s">
        <v>48</v>
      </c>
      <c r="AA15" s="119">
        <f ca="1">COUNTIF($T$4:$T$176,AA13)</f>
        <v>19</v>
      </c>
      <c r="AB15" s="119">
        <f ca="1">COUNTIF($T$4:$T$176,AB13)</f>
        <v>20</v>
      </c>
      <c r="AC15" s="119">
        <f ca="1">COUNTIF($T$4:$T$176,AC13)</f>
        <v>7</v>
      </c>
      <c r="AD15" s="119">
        <f ca="1">COUNTIF($T$4:$T$176,AD13)</f>
        <v>2</v>
      </c>
      <c r="AE15" s="119">
        <f ca="1">COUNTIF($T$4:$T$176,AE13)</f>
        <v>0</v>
      </c>
      <c r="AF15" s="80">
        <f ca="1">SUM(AA15:AD15)</f>
        <v>48</v>
      </c>
    </row>
    <row r="16" spans="2:32" ht="15.75" x14ac:dyDescent="0.25">
      <c r="B16" s="208">
        <v>13</v>
      </c>
      <c r="C16" s="348"/>
      <c r="D16" s="14">
        <v>6</v>
      </c>
      <c r="E16" s="15" t="s">
        <v>273</v>
      </c>
      <c r="F16" s="14">
        <v>3</v>
      </c>
      <c r="G16" s="116" t="str">
        <f t="shared" si="0"/>
        <v>AMS190-3</v>
      </c>
      <c r="H16" s="14" t="s">
        <v>253</v>
      </c>
      <c r="I16" s="16" t="s">
        <v>272</v>
      </c>
      <c r="J16" s="14" t="e">
        <f>VLOOKUP(G16,'Data Akademik'!$A$14:$D$315,3,FALSE)</f>
        <v>#N/A</v>
      </c>
      <c r="K16" s="14" t="e">
        <f>VLOOKUP(G16,'Data Akademik'!$E$14:$H$315,3,FALSE)</f>
        <v>#N/A</v>
      </c>
      <c r="L16" s="14">
        <f>VLOOKUP(G16,'Data Akademik'!$O$15:$Q$315,3,FALSE)</f>
        <v>0</v>
      </c>
      <c r="M16" s="14" t="str">
        <f t="shared" si="4"/>
        <v/>
      </c>
      <c r="N16" s="14" t="str">
        <f t="shared" si="7"/>
        <v/>
      </c>
      <c r="O16" s="204" t="str">
        <f t="shared" si="1"/>
        <v/>
      </c>
      <c r="P16" s="117" t="str">
        <f t="shared" ca="1" si="2"/>
        <v/>
      </c>
      <c r="Q16" s="346"/>
      <c r="R16" s="346"/>
      <c r="S16" s="242">
        <f>IF(ISBLANK(O16),-1,VLOOKUP(O16,'Nilai Kurikulum 2013'!$B$178:$C$183,2,FALSE))</f>
        <v>-1</v>
      </c>
      <c r="T16" s="242">
        <f ca="1">IF(AND(ISNA(MATCH(E16,'Hapus MK'!$N$13:$N$32,0)),ISNA(MATCH(E16,'Hapus MK'!$Q$13:$Q$30,0)))=TRUE,S16,-1)</f>
        <v>-1</v>
      </c>
      <c r="U16" s="242">
        <f t="shared" si="5"/>
        <v>0</v>
      </c>
      <c r="V16" s="242">
        <f t="shared" ca="1" si="6"/>
        <v>0</v>
      </c>
      <c r="W16" s="242">
        <f t="shared" ca="1" si="3"/>
        <v>0</v>
      </c>
      <c r="X16" s="242"/>
      <c r="Y16" s="115"/>
      <c r="Z16" s="242" t="s">
        <v>38</v>
      </c>
      <c r="AA16" s="80">
        <f ca="1">SUMIF($T$4:$T$176,AA13,$V$4:$V$176)</f>
        <v>61</v>
      </c>
      <c r="AB16" s="80">
        <f ca="1">SUMIF($T$4:$T$176,AB13,$V$4:$V$176)</f>
        <v>56</v>
      </c>
      <c r="AC16" s="80">
        <f ca="1">SUMIF($T$4:$T$176,AC13,$V$4:$V$176)</f>
        <v>20</v>
      </c>
      <c r="AD16" s="80">
        <f ca="1">SUMIF($T$4:$T$176,AD13,$V$4:$V$176)</f>
        <v>7</v>
      </c>
      <c r="AE16" s="80">
        <f ca="1">SUMIF($T$4:$T$176,AE13,$V$4:$V$176)</f>
        <v>0</v>
      </c>
      <c r="AF16" s="80">
        <f ca="1">SUM(AA16:AD16)</f>
        <v>144</v>
      </c>
    </row>
    <row r="17" spans="2:32" ht="15.75" x14ac:dyDescent="0.25">
      <c r="B17" s="208">
        <v>14</v>
      </c>
      <c r="C17" s="348"/>
      <c r="D17" s="14">
        <v>7</v>
      </c>
      <c r="E17" s="15" t="s">
        <v>103</v>
      </c>
      <c r="F17" s="14">
        <v>2</v>
      </c>
      <c r="G17" s="116" t="str">
        <f t="shared" si="0"/>
        <v>MKU009-2</v>
      </c>
      <c r="H17" s="14" t="s">
        <v>253</v>
      </c>
      <c r="I17" s="16" t="s">
        <v>83</v>
      </c>
      <c r="J17" s="14" t="e">
        <f>VLOOKUP(G17,'Data Akademik'!$A$14:$D$315,3,FALSE)</f>
        <v>#N/A</v>
      </c>
      <c r="K17" s="14" t="str">
        <f>VLOOKUP(G17,'Data Akademik'!$E$14:$H$315,3,FALSE)</f>
        <v>B</v>
      </c>
      <c r="L17" s="14">
        <f>VLOOKUP(G17,'Data Akademik'!$O$15:$Q$315,3,FALSE)</f>
        <v>0</v>
      </c>
      <c r="M17" s="14" t="str">
        <f t="shared" si="4"/>
        <v>B</v>
      </c>
      <c r="N17" s="14" t="str">
        <f t="shared" si="7"/>
        <v>B</v>
      </c>
      <c r="O17" s="204" t="str">
        <f t="shared" si="1"/>
        <v>B</v>
      </c>
      <c r="P17" s="117" t="str">
        <f t="shared" ca="1" si="2"/>
        <v>B</v>
      </c>
      <c r="Q17" s="242">
        <v>2006</v>
      </c>
      <c r="R17" s="242">
        <f t="shared" ref="R17:R22" si="8">IF($O$1&gt;=Q17,F17,0)</f>
        <v>2</v>
      </c>
      <c r="S17" s="242">
        <f>IF(ISBLANK(O17),-1,VLOOKUP(O17,'Nilai Kurikulum 2013'!$B$178:$C$183,2,FALSE))</f>
        <v>3</v>
      </c>
      <c r="T17" s="242">
        <f ca="1">IF(AND(ISNA(MATCH(E17,'Hapus MK'!$N$13:$N$32,0)),ISNA(MATCH(E17,'Hapus MK'!$Q$13:$Q$30,0)))=TRUE,S17,-1)</f>
        <v>3</v>
      </c>
      <c r="U17" s="242">
        <f t="shared" si="5"/>
        <v>2</v>
      </c>
      <c r="V17" s="242">
        <f t="shared" ca="1" si="6"/>
        <v>2</v>
      </c>
      <c r="W17" s="242">
        <f t="shared" ca="1" si="3"/>
        <v>1</v>
      </c>
      <c r="X17" s="242"/>
      <c r="Y17" s="242"/>
      <c r="Z17" s="242"/>
      <c r="AA17" s="80">
        <f ca="1">AA16*AA13</f>
        <v>244</v>
      </c>
      <c r="AB17" s="80">
        <f ca="1">AB16*AB13</f>
        <v>168</v>
      </c>
      <c r="AC17" s="80">
        <f ca="1">AC16*AC13</f>
        <v>40</v>
      </c>
      <c r="AD17" s="80">
        <f ca="1">AD16*AD13</f>
        <v>7</v>
      </c>
      <c r="AE17" s="80">
        <f ca="1">AE16*AE13</f>
        <v>0</v>
      </c>
      <c r="AF17" s="80">
        <f t="shared" ref="AF17" ca="1" si="9">SUM(AA17:AE17)</f>
        <v>459</v>
      </c>
    </row>
    <row r="18" spans="2:32" ht="16.5" thickBot="1" x14ac:dyDescent="0.3">
      <c r="B18" s="209">
        <v>15</v>
      </c>
      <c r="C18" s="348"/>
      <c r="D18" s="14">
        <v>8</v>
      </c>
      <c r="E18" s="15" t="s">
        <v>105</v>
      </c>
      <c r="F18" s="14">
        <v>2</v>
      </c>
      <c r="G18" s="116" t="str">
        <f t="shared" si="0"/>
        <v>MKU011-2</v>
      </c>
      <c r="H18" s="14" t="s">
        <v>253</v>
      </c>
      <c r="I18" s="17" t="s">
        <v>274</v>
      </c>
      <c r="J18" s="14" t="e">
        <f>VLOOKUP(G18,'Data Akademik'!$A$14:$D$315,3,FALSE)</f>
        <v>#N/A</v>
      </c>
      <c r="K18" s="14" t="str">
        <f>VLOOKUP(G18,'Data Akademik'!$E$14:$H$315,3,FALSE)</f>
        <v>B</v>
      </c>
      <c r="L18" s="14">
        <f>VLOOKUP(G18,'Data Akademik'!$O$15:$Q$315,3,FALSE)</f>
        <v>0</v>
      </c>
      <c r="M18" s="14" t="str">
        <f t="shared" si="4"/>
        <v>B</v>
      </c>
      <c r="N18" s="14" t="str">
        <f t="shared" si="7"/>
        <v>B</v>
      </c>
      <c r="O18" s="204" t="str">
        <f t="shared" si="1"/>
        <v>B</v>
      </c>
      <c r="P18" s="117" t="str">
        <f t="shared" ca="1" si="2"/>
        <v>B</v>
      </c>
      <c r="Q18" s="242">
        <v>2006</v>
      </c>
      <c r="R18" s="242">
        <f t="shared" si="8"/>
        <v>2</v>
      </c>
      <c r="S18" s="242">
        <f>IF(ISBLANK(O18),-1,VLOOKUP(O18,'Nilai Kurikulum 2013'!$B$178:$C$183,2,FALSE))</f>
        <v>3</v>
      </c>
      <c r="T18" s="242">
        <f ca="1">IF(AND(ISNA(MATCH(E18,'Hapus MK'!$N$13:$N$32,0)),ISNA(MATCH(E18,'Hapus MK'!$Q$13:$Q$30,0)))=TRUE,S18,-1)</f>
        <v>3</v>
      </c>
      <c r="U18" s="242">
        <f t="shared" si="5"/>
        <v>2</v>
      </c>
      <c r="V18" s="242">
        <f t="shared" ca="1" si="6"/>
        <v>2</v>
      </c>
      <c r="W18" s="242">
        <f t="shared" ca="1" si="3"/>
        <v>1</v>
      </c>
      <c r="X18" s="242"/>
      <c r="Y18" s="242"/>
      <c r="Z18" s="242"/>
    </row>
    <row r="19" spans="2:32" ht="16.5" thickTop="1" x14ac:dyDescent="0.25">
      <c r="B19" s="207">
        <v>16</v>
      </c>
      <c r="C19" s="348">
        <v>3</v>
      </c>
      <c r="D19" s="14">
        <v>1</v>
      </c>
      <c r="E19" s="15" t="s">
        <v>275</v>
      </c>
      <c r="F19" s="14">
        <v>4</v>
      </c>
      <c r="G19" s="116" t="str">
        <f t="shared" si="0"/>
        <v>AIF201-4</v>
      </c>
      <c r="H19" s="14" t="s">
        <v>253</v>
      </c>
      <c r="I19" s="16" t="s">
        <v>276</v>
      </c>
      <c r="J19" s="14" t="str">
        <f>VLOOKUP(G19,'Data Akademik'!$A$14:$D$315,3,FALSE)</f>
        <v>B</v>
      </c>
      <c r="K19" s="14" t="e">
        <f>VLOOKUP(G19,'Data Akademik'!$E$14:$H$315,3,FALSE)</f>
        <v>#N/A</v>
      </c>
      <c r="L19" s="14">
        <f>VLOOKUP(G19,'Data Akademik'!$O$15:$Q$315,3,FALSE)</f>
        <v>0</v>
      </c>
      <c r="M19" s="14" t="str">
        <f t="shared" si="4"/>
        <v>B</v>
      </c>
      <c r="N19" s="14" t="str">
        <f t="shared" si="7"/>
        <v>B</v>
      </c>
      <c r="O19" s="204" t="str">
        <f t="shared" si="1"/>
        <v>B</v>
      </c>
      <c r="P19" s="117" t="str">
        <f t="shared" ca="1" si="2"/>
        <v>B</v>
      </c>
      <c r="Q19" s="242">
        <v>2007</v>
      </c>
      <c r="R19" s="242">
        <f t="shared" si="8"/>
        <v>4</v>
      </c>
      <c r="S19" s="242">
        <f>IF(ISBLANK(O19),-1,VLOOKUP(O19,'Nilai Kurikulum 2013'!$B$178:$C$183,2,FALSE))</f>
        <v>3</v>
      </c>
      <c r="T19" s="242">
        <f ca="1">IF(AND(ISNA(MATCH(E19,'Hapus MK'!$N$13:$N$32,0)),ISNA(MATCH(E19,'Hapus MK'!$Q$13:$Q$30,0)))=TRUE,S19,-1)</f>
        <v>3</v>
      </c>
      <c r="U19" s="242">
        <f t="shared" si="5"/>
        <v>4</v>
      </c>
      <c r="V19" s="242">
        <f t="shared" ca="1" si="6"/>
        <v>4</v>
      </c>
      <c r="W19" s="242">
        <f t="shared" ca="1" si="3"/>
        <v>1</v>
      </c>
      <c r="X19" s="242" t="str">
        <f ca="1">IF(V19&gt;0,E19,IF($O$1&gt;=Q19,E19,""))</f>
        <v>AIF201</v>
      </c>
      <c r="Y19" s="242"/>
      <c r="Z19" s="242"/>
      <c r="AF19" s="80">
        <f ca="1">ROUND(AF17/AD10,2)</f>
        <v>3.19</v>
      </c>
    </row>
    <row r="20" spans="2:32" ht="15.75" x14ac:dyDescent="0.25">
      <c r="B20" s="208">
        <v>17</v>
      </c>
      <c r="C20" s="348"/>
      <c r="D20" s="14">
        <v>2</v>
      </c>
      <c r="E20" s="15" t="s">
        <v>277</v>
      </c>
      <c r="F20" s="14">
        <v>4</v>
      </c>
      <c r="G20" s="116" t="str">
        <f t="shared" si="0"/>
        <v>AIF203-4</v>
      </c>
      <c r="H20" s="14" t="s">
        <v>253</v>
      </c>
      <c r="I20" s="16" t="s">
        <v>278</v>
      </c>
      <c r="J20" s="14" t="str">
        <f>VLOOKUP(G20,'Data Akademik'!$A$14:$D$315,3,FALSE)</f>
        <v>A</v>
      </c>
      <c r="K20" s="14" t="e">
        <f>VLOOKUP(G20,'Data Akademik'!$E$14:$H$315,3,FALSE)</f>
        <v>#N/A</v>
      </c>
      <c r="L20" s="14">
        <f>VLOOKUP(G20,'Data Akademik'!$O$15:$Q$315,3,FALSE)</f>
        <v>0</v>
      </c>
      <c r="M20" s="14" t="str">
        <f t="shared" si="4"/>
        <v>A</v>
      </c>
      <c r="N20" s="14" t="str">
        <f t="shared" si="7"/>
        <v>A</v>
      </c>
      <c r="O20" s="204" t="str">
        <f t="shared" si="1"/>
        <v>A</v>
      </c>
      <c r="P20" s="117" t="str">
        <f t="shared" ca="1" si="2"/>
        <v>A</v>
      </c>
      <c r="Q20" s="242">
        <v>2012</v>
      </c>
      <c r="R20" s="242">
        <f t="shared" si="8"/>
        <v>4</v>
      </c>
      <c r="S20" s="242">
        <f>IF(ISBLANK(O20),-1,VLOOKUP(O20,'Nilai Kurikulum 2013'!$B$178:$C$183,2,FALSE))</f>
        <v>4</v>
      </c>
      <c r="T20" s="242">
        <f ca="1">IF(AND(ISNA(MATCH(E20,'Hapus MK'!$N$13:$N$32,0)),ISNA(MATCH(E20,'Hapus MK'!$Q$13:$Q$30,0)))=TRUE,S20,-1)</f>
        <v>4</v>
      </c>
      <c r="U20" s="242">
        <f t="shared" si="5"/>
        <v>4</v>
      </c>
      <c r="V20" s="242">
        <f t="shared" ca="1" si="6"/>
        <v>4</v>
      </c>
      <c r="W20" s="242">
        <f t="shared" ca="1" si="3"/>
        <v>1</v>
      </c>
      <c r="X20" s="242" t="str">
        <f ca="1">IF(V20&gt;0,E20,IF($O$1&gt;=Q20,E20,""))</f>
        <v>AIF203</v>
      </c>
      <c r="Y20" s="242"/>
      <c r="Z20" s="242"/>
      <c r="AA20" s="109" t="s">
        <v>279</v>
      </c>
      <c r="AB20" s="109" t="s">
        <v>280</v>
      </c>
    </row>
    <row r="21" spans="2:32" ht="15.75" x14ac:dyDescent="0.25">
      <c r="B21" s="208">
        <v>18</v>
      </c>
      <c r="C21" s="348"/>
      <c r="D21" s="14">
        <v>3</v>
      </c>
      <c r="E21" s="15" t="s">
        <v>108</v>
      </c>
      <c r="F21" s="14">
        <v>3</v>
      </c>
      <c r="G21" s="116" t="str">
        <f t="shared" si="0"/>
        <v>AIF205-3</v>
      </c>
      <c r="H21" s="14" t="s">
        <v>253</v>
      </c>
      <c r="I21" s="16" t="s">
        <v>281</v>
      </c>
      <c r="J21" s="14" t="str">
        <f>VLOOKUP(G21,'Data Akademik'!$A$14:$D$315,3,FALSE)</f>
        <v>A</v>
      </c>
      <c r="K21" s="14" t="e">
        <f>VLOOKUP(G21,'Data Akademik'!$E$14:$H$315,3,FALSE)</f>
        <v>#N/A</v>
      </c>
      <c r="L21" s="14">
        <f>VLOOKUP(G21,'Data Akademik'!$O$15:$Q$315,3,FALSE)</f>
        <v>0</v>
      </c>
      <c r="M21" s="14" t="str">
        <f t="shared" si="4"/>
        <v>A</v>
      </c>
      <c r="N21" s="14" t="str">
        <f t="shared" si="7"/>
        <v>A</v>
      </c>
      <c r="O21" s="204" t="str">
        <f t="shared" si="1"/>
        <v>A</v>
      </c>
      <c r="P21" s="117" t="str">
        <f t="shared" ca="1" si="2"/>
        <v>A</v>
      </c>
      <c r="Q21" s="242">
        <v>2006</v>
      </c>
      <c r="R21" s="242">
        <f t="shared" si="8"/>
        <v>3</v>
      </c>
      <c r="S21" s="242">
        <f>IF(ISBLANK(O21),-1,VLOOKUP(O21,'Nilai Kurikulum 2013'!$B$178:$C$183,2,FALSE))</f>
        <v>4</v>
      </c>
      <c r="T21" s="242">
        <f ca="1">IF(AND(ISNA(MATCH(E21,'Hapus MK'!$N$13:$N$32,0)),ISNA(MATCH(E21,'Hapus MK'!$Q$13:$Q$30,0)))=TRUE,S21,-1)</f>
        <v>4</v>
      </c>
      <c r="U21" s="242">
        <f t="shared" si="5"/>
        <v>3</v>
      </c>
      <c r="V21" s="242">
        <f t="shared" ca="1" si="6"/>
        <v>3</v>
      </c>
      <c r="W21" s="242">
        <f t="shared" ca="1" si="3"/>
        <v>1</v>
      </c>
      <c r="X21" s="242"/>
      <c r="Y21" s="242"/>
      <c r="Z21" s="242" t="s">
        <v>282</v>
      </c>
      <c r="AA21" s="109">
        <f>SUMIF($S$56:$S$176,"&gt;0",$U$56:$U$176)</f>
        <v>33</v>
      </c>
      <c r="AB21" s="109">
        <f ca="1">SUMIF($T$56:$T$176,"&gt;0",$V$56:$V$176)</f>
        <v>33</v>
      </c>
    </row>
    <row r="22" spans="2:32" ht="15.75" x14ac:dyDescent="0.25">
      <c r="B22" s="208">
        <v>19</v>
      </c>
      <c r="C22" s="348"/>
      <c r="D22" s="14">
        <v>4</v>
      </c>
      <c r="E22" s="15" t="s">
        <v>110</v>
      </c>
      <c r="F22" s="14">
        <v>3</v>
      </c>
      <c r="G22" s="116" t="str">
        <f t="shared" si="0"/>
        <v>AMS200-3</v>
      </c>
      <c r="H22" s="14" t="s">
        <v>253</v>
      </c>
      <c r="I22" s="16" t="s">
        <v>283</v>
      </c>
      <c r="J22" s="14" t="str">
        <f>VLOOKUP(G22,'Data Akademik'!$A$14:$D$315,3,FALSE)</f>
        <v>A</v>
      </c>
      <c r="K22" s="14" t="e">
        <f>VLOOKUP(G22,'Data Akademik'!$E$14:$H$315,3,FALSE)</f>
        <v>#N/A</v>
      </c>
      <c r="L22" s="14">
        <f>VLOOKUP(G22,'Data Akademik'!$O$15:$Q$315,3,FALSE)</f>
        <v>0</v>
      </c>
      <c r="M22" s="14" t="str">
        <f t="shared" si="4"/>
        <v>A</v>
      </c>
      <c r="N22" s="14" t="str">
        <f t="shared" si="7"/>
        <v>A</v>
      </c>
      <c r="O22" s="204" t="str">
        <f t="shared" si="1"/>
        <v>A</v>
      </c>
      <c r="P22" s="117" t="str">
        <f t="shared" ca="1" si="2"/>
        <v>A</v>
      </c>
      <c r="Q22" s="242">
        <v>2006</v>
      </c>
      <c r="R22" s="242">
        <f t="shared" si="8"/>
        <v>3</v>
      </c>
      <c r="S22" s="242">
        <f>IF(ISBLANK(O22),-1,VLOOKUP(O22,'Nilai Kurikulum 2013'!$B$178:$C$183,2,FALSE))</f>
        <v>4</v>
      </c>
      <c r="T22" s="242">
        <f ca="1">IF(AND(ISNA(MATCH(E22,'Hapus MK'!$N$13:$N$32,0)),ISNA(MATCH(E22,'Hapus MK'!$Q$13:$Q$30,0)))=TRUE,S22,-1)</f>
        <v>4</v>
      </c>
      <c r="U22" s="242">
        <f t="shared" si="5"/>
        <v>3</v>
      </c>
      <c r="V22" s="242">
        <f t="shared" ca="1" si="6"/>
        <v>3</v>
      </c>
      <c r="W22" s="242">
        <f t="shared" ca="1" si="3"/>
        <v>1</v>
      </c>
      <c r="X22" s="242"/>
      <c r="Y22" s="242"/>
      <c r="Z22" s="242" t="s">
        <v>284</v>
      </c>
      <c r="AA22" s="109">
        <f>SUMIF($S$48:$S$55,"&gt;0",$U$48:$U$55)</f>
        <v>10</v>
      </c>
      <c r="AB22" s="109">
        <f ca="1">SUMIF($T$48:$T$55,"&gt;0",$V$48:$V$55)</f>
        <v>8</v>
      </c>
    </row>
    <row r="23" spans="2:32" ht="15.75" x14ac:dyDescent="0.25">
      <c r="B23" s="208">
        <v>20</v>
      </c>
      <c r="C23" s="348"/>
      <c r="D23" s="14">
        <v>5</v>
      </c>
      <c r="E23" s="15" t="s">
        <v>285</v>
      </c>
      <c r="F23" s="14">
        <v>2</v>
      </c>
      <c r="G23" s="116" t="str">
        <f t="shared" si="0"/>
        <v>MKU003-2</v>
      </c>
      <c r="H23" s="14" t="s">
        <v>253</v>
      </c>
      <c r="I23" s="17" t="s">
        <v>286</v>
      </c>
      <c r="J23" s="14" t="e">
        <f>VLOOKUP(G23,'Data Akademik'!$A$14:$D$315,3,FALSE)</f>
        <v>#N/A</v>
      </c>
      <c r="K23" s="14" t="e">
        <f>VLOOKUP(G23,'Data Akademik'!$E$14:$H$315,3,FALSE)</f>
        <v>#N/A</v>
      </c>
      <c r="L23" s="14">
        <f>VLOOKUP(G23,'Data Akademik'!$O$15:$Q$315,3,FALSE)</f>
        <v>0</v>
      </c>
      <c r="M23" s="14" t="str">
        <f t="shared" si="4"/>
        <v/>
      </c>
      <c r="N23" s="14" t="str">
        <f t="shared" si="7"/>
        <v/>
      </c>
      <c r="O23" s="204" t="str">
        <f t="shared" si="1"/>
        <v/>
      </c>
      <c r="P23" s="117" t="str">
        <f t="shared" ca="1" si="2"/>
        <v/>
      </c>
      <c r="Q23" s="346">
        <v>2006</v>
      </c>
      <c r="R23" s="346">
        <f>IF($O$1&gt;=Q23,MIN(F23:F24),0)</f>
        <v>2</v>
      </c>
      <c r="S23" s="242">
        <f>IF(ISBLANK(O23),-1,VLOOKUP(O23,'Nilai Kurikulum 2013'!$B$178:$C$183,2,FALSE))</f>
        <v>-1</v>
      </c>
      <c r="T23" s="242">
        <f ca="1">IF(AND(ISNA(MATCH(E23,'Hapus MK'!$N$13:$N$32,0)),ISNA(MATCH(E23,'Hapus MK'!$Q$13:$Q$30,0)))=TRUE,S23,-1)</f>
        <v>-1</v>
      </c>
      <c r="U23" s="242">
        <f t="shared" si="5"/>
        <v>0</v>
      </c>
      <c r="V23" s="242">
        <f t="shared" ca="1" si="6"/>
        <v>0</v>
      </c>
      <c r="W23" s="242">
        <f t="shared" ca="1" si="3"/>
        <v>0</v>
      </c>
      <c r="X23" s="242" t="str">
        <f ca="1">IF($T24&lt;1,$E23,$E24)</f>
        <v>MKU004</v>
      </c>
      <c r="Y23" s="115"/>
      <c r="Z23" s="242"/>
    </row>
    <row r="24" spans="2:32" ht="15.75" x14ac:dyDescent="0.25">
      <c r="B24" s="208">
        <v>21</v>
      </c>
      <c r="C24" s="348"/>
      <c r="D24" s="14">
        <v>6</v>
      </c>
      <c r="E24" s="15" t="s">
        <v>287</v>
      </c>
      <c r="F24" s="14">
        <v>2</v>
      </c>
      <c r="G24" s="116" t="str">
        <f t="shared" si="0"/>
        <v>MKU004-2</v>
      </c>
      <c r="H24" s="14" t="s">
        <v>253</v>
      </c>
      <c r="I24" s="17" t="s">
        <v>288</v>
      </c>
      <c r="J24" s="14" t="str">
        <f>VLOOKUP(G24,'Data Akademik'!$A$14:$D$315,3,FALSE)</f>
        <v>A</v>
      </c>
      <c r="K24" s="14" t="e">
        <f>VLOOKUP(G24,'Data Akademik'!$E$14:$H$315,3,FALSE)</f>
        <v>#N/A</v>
      </c>
      <c r="L24" s="14">
        <f>VLOOKUP(G24,'Data Akademik'!$O$15:$Q$315,3,FALSE)</f>
        <v>0</v>
      </c>
      <c r="M24" s="14" t="str">
        <f t="shared" si="4"/>
        <v>A</v>
      </c>
      <c r="N24" s="14" t="str">
        <f t="shared" si="7"/>
        <v>A</v>
      </c>
      <c r="O24" s="204" t="str">
        <f t="shared" si="1"/>
        <v>A</v>
      </c>
      <c r="P24" s="117" t="str">
        <f t="shared" ca="1" si="2"/>
        <v>A</v>
      </c>
      <c r="Q24" s="346"/>
      <c r="R24" s="346"/>
      <c r="S24" s="242">
        <f>IF(ISBLANK(O24),-1,VLOOKUP(O24,'Nilai Kurikulum 2013'!$B$178:$C$183,2,FALSE))</f>
        <v>4</v>
      </c>
      <c r="T24" s="242">
        <f ca="1">IF(AND(ISNA(MATCH(E24,'Hapus MK'!$N$13:$N$32,0)),ISNA(MATCH(E24,'Hapus MK'!$Q$13:$Q$30,0)))=TRUE,S24,-1)</f>
        <v>4</v>
      </c>
      <c r="U24" s="242">
        <f t="shared" si="5"/>
        <v>2</v>
      </c>
      <c r="V24" s="242">
        <f t="shared" ca="1" si="6"/>
        <v>2</v>
      </c>
      <c r="W24" s="242">
        <f t="shared" ca="1" si="3"/>
        <v>1</v>
      </c>
      <c r="X24" s="242"/>
      <c r="Y24" s="115"/>
      <c r="Z24" s="242"/>
      <c r="AB24" s="80" t="s">
        <v>62</v>
      </c>
      <c r="AC24" s="80"/>
      <c r="AD24" s="80" t="s">
        <v>38</v>
      </c>
    </row>
    <row r="25" spans="2:32" ht="16.5" thickBot="1" x14ac:dyDescent="0.3">
      <c r="B25" s="209">
        <v>22</v>
      </c>
      <c r="C25" s="348"/>
      <c r="D25" s="14">
        <v>7</v>
      </c>
      <c r="E25" s="15" t="s">
        <v>111</v>
      </c>
      <c r="F25" s="14">
        <v>2</v>
      </c>
      <c r="G25" s="116" t="str">
        <f t="shared" si="0"/>
        <v>MKU012-2</v>
      </c>
      <c r="H25" s="14" t="s">
        <v>253</v>
      </c>
      <c r="I25" s="17" t="s">
        <v>289</v>
      </c>
      <c r="J25" s="14" t="str">
        <f>VLOOKUP(G25,'Data Akademik'!$A$14:$D$315,3,FALSE)</f>
        <v>A</v>
      </c>
      <c r="K25" s="14" t="e">
        <f>VLOOKUP(G25,'Data Akademik'!$E$14:$H$315,3,FALSE)</f>
        <v>#N/A</v>
      </c>
      <c r="L25" s="14">
        <f>VLOOKUP(G25,'Data Akademik'!$O$15:$Q$315,3,FALSE)</f>
        <v>0</v>
      </c>
      <c r="M25" s="14" t="str">
        <f t="shared" si="4"/>
        <v>A</v>
      </c>
      <c r="N25" s="14" t="str">
        <f t="shared" si="7"/>
        <v>A</v>
      </c>
      <c r="O25" s="204" t="str">
        <f t="shared" si="1"/>
        <v>A</v>
      </c>
      <c r="P25" s="117" t="str">
        <f t="shared" ca="1" si="2"/>
        <v>A</v>
      </c>
      <c r="Q25" s="242">
        <v>2006</v>
      </c>
      <c r="R25" s="242">
        <f>IF($O$1&gt;=Q25,F25,0)</f>
        <v>2</v>
      </c>
      <c r="S25" s="242">
        <f>IF(ISBLANK(O25),-1,VLOOKUP(O25,'Nilai Kurikulum 2013'!$B$178:$C$183,2,FALSE))</f>
        <v>4</v>
      </c>
      <c r="T25" s="242">
        <f ca="1">IF(AND(ISNA(MATCH(E25,'Hapus MK'!$N$13:$N$32,0)),ISNA(MATCH(E25,'Hapus MK'!$Q$13:$Q$30,0)))=TRUE,S25,-1)</f>
        <v>4</v>
      </c>
      <c r="U25" s="242">
        <f t="shared" si="5"/>
        <v>2</v>
      </c>
      <c r="V25" s="242">
        <f t="shared" ca="1" si="6"/>
        <v>2</v>
      </c>
      <c r="W25" s="242">
        <f t="shared" ca="1" si="3"/>
        <v>1</v>
      </c>
      <c r="X25" s="242"/>
      <c r="Y25" s="242"/>
      <c r="Z25" s="242"/>
      <c r="AB25" s="80" t="s">
        <v>255</v>
      </c>
      <c r="AC25" s="80" t="s">
        <v>50</v>
      </c>
      <c r="AD25" s="80" t="s">
        <v>50</v>
      </c>
    </row>
    <row r="26" spans="2:32" ht="16.5" thickTop="1" x14ac:dyDescent="0.25">
      <c r="B26" s="207">
        <v>23</v>
      </c>
      <c r="C26" s="348">
        <v>4</v>
      </c>
      <c r="D26" s="14">
        <v>1</v>
      </c>
      <c r="E26" s="15" t="s">
        <v>290</v>
      </c>
      <c r="F26" s="14">
        <v>4</v>
      </c>
      <c r="G26" s="116" t="str">
        <f t="shared" si="0"/>
        <v>AIF202-4</v>
      </c>
      <c r="H26" s="14" t="s">
        <v>253</v>
      </c>
      <c r="I26" s="16" t="s">
        <v>291</v>
      </c>
      <c r="J26" s="14" t="e">
        <f>VLOOKUP(G26,'Data Akademik'!$A$14:$D$315,3,FALSE)</f>
        <v>#N/A</v>
      </c>
      <c r="K26" s="14" t="str">
        <f>VLOOKUP(G26,'Data Akademik'!$E$14:$H$315,3,FALSE)</f>
        <v>B</v>
      </c>
      <c r="L26" s="14">
        <f>VLOOKUP(G26,'Data Akademik'!$O$15:$Q$315,3,FALSE)</f>
        <v>0</v>
      </c>
      <c r="M26" s="14" t="str">
        <f t="shared" si="4"/>
        <v>B</v>
      </c>
      <c r="N26" s="14" t="str">
        <f t="shared" si="7"/>
        <v>B</v>
      </c>
      <c r="O26" s="204" t="str">
        <f t="shared" si="1"/>
        <v>B</v>
      </c>
      <c r="P26" s="117" t="str">
        <f t="shared" ca="1" si="2"/>
        <v>B</v>
      </c>
      <c r="Q26" s="346">
        <v>2006</v>
      </c>
      <c r="R26" s="346">
        <f>IF($O$1&gt;=Q26,MIN(F26:F27),0)</f>
        <v>3</v>
      </c>
      <c r="S26" s="242">
        <f>IF(ISBLANK(O26),-1,VLOOKUP(O26,'Nilai Kurikulum 2013'!$B$178:$C$183,2,FALSE))</f>
        <v>3</v>
      </c>
      <c r="T26" s="242">
        <f ca="1">IF(AND(ISNA(MATCH(E26,'Hapus MK'!$N$13:$N$32,0)),ISNA(MATCH(E26,'Hapus MK'!$Q$13:$Q$30,0)))=TRUE,S26,-1)</f>
        <v>3</v>
      </c>
      <c r="U26" s="242">
        <f t="shared" si="5"/>
        <v>4</v>
      </c>
      <c r="V26" s="242">
        <f t="shared" ca="1" si="6"/>
        <v>4</v>
      </c>
      <c r="W26" s="242">
        <f t="shared" ca="1" si="3"/>
        <v>1</v>
      </c>
      <c r="X26" s="242" t="str">
        <f ca="1">IF($T27&lt;1,$E26,$E27)</f>
        <v>AIF202</v>
      </c>
      <c r="Y26" s="115"/>
      <c r="Z26" s="242"/>
      <c r="AA26" s="109" t="s">
        <v>51</v>
      </c>
      <c r="AB26" s="80">
        <f>COUNTIF(Q4:Q47,"&lt;="&amp;O1)-1</f>
        <v>33</v>
      </c>
      <c r="AC26" s="80">
        <f>COUNTIF(U4:U47,"&lt;&gt;0")-AC27</f>
        <v>32</v>
      </c>
      <c r="AD26" s="80">
        <f ca="1">SUM(U4:U47)-AD6</f>
        <v>97</v>
      </c>
    </row>
    <row r="27" spans="2:32" ht="15.75" x14ac:dyDescent="0.25">
      <c r="B27" s="208">
        <v>28</v>
      </c>
      <c r="C27" s="348"/>
      <c r="D27" s="14">
        <v>2</v>
      </c>
      <c r="E27" s="15" t="s">
        <v>292</v>
      </c>
      <c r="F27" s="14">
        <v>3</v>
      </c>
      <c r="G27" s="116" t="str">
        <f>E27&amp;"-"&amp;F27</f>
        <v>AIF292-3</v>
      </c>
      <c r="H27" s="14" t="s">
        <v>253</v>
      </c>
      <c r="I27" s="16" t="s">
        <v>291</v>
      </c>
      <c r="J27" s="14" t="e">
        <f>VLOOKUP(G27,'Data Akademik'!$A$14:$D$315,3,FALSE)</f>
        <v>#N/A</v>
      </c>
      <c r="K27" s="14" t="e">
        <f>VLOOKUP(G27,'Data Akademik'!$E$14:$H$315,3,FALSE)</f>
        <v>#N/A</v>
      </c>
      <c r="L27" s="14">
        <f>VLOOKUP(G27,'Data Akademik'!$O$15:$Q$315,3,FALSE)</f>
        <v>0</v>
      </c>
      <c r="M27" s="14" t="str">
        <f>IF(L27&lt;&gt;0,L27,IF(ISNA(J27),IF(ISNA(K27),"",K27),J27))</f>
        <v/>
      </c>
      <c r="N27" s="14" t="str">
        <f>IF(ISERR(FIND("A",M27)),IF(ISERR(FIND("B",M27)),IF(ISERR(FIND("C",M27)),IF(ISERR(FIND("D",M27)),IF(ISERR(FIND("E",M27)),"","E"),"D"),"C"),"B"),"A")</f>
        <v/>
      </c>
      <c r="O27" s="204" t="str">
        <f>N27</f>
        <v/>
      </c>
      <c r="P27" s="117" t="str">
        <f t="shared" ca="1" si="2"/>
        <v/>
      </c>
      <c r="Q27" s="346"/>
      <c r="R27" s="346"/>
      <c r="S27" s="242">
        <f>IF(ISBLANK(O27),-1,VLOOKUP(O27,'Nilai Kurikulum 2013'!$B$178:$C$183,2,FALSE))</f>
        <v>-1</v>
      </c>
      <c r="T27" s="242">
        <f ca="1">IF(AND(ISNA(MATCH(E27,'Hapus MK'!$N$13:$N$32,0)),ISNA(MATCH(E27,'Hapus MK'!$Q$13:$Q$30,0)))=TRUE,S27,-1)</f>
        <v>-1</v>
      </c>
      <c r="U27" s="242">
        <f t="shared" si="5"/>
        <v>0</v>
      </c>
      <c r="V27" s="242">
        <f t="shared" ca="1" si="6"/>
        <v>0</v>
      </c>
      <c r="W27" s="242">
        <f t="shared" ca="1" si="3"/>
        <v>0</v>
      </c>
      <c r="X27" s="242"/>
      <c r="Y27" s="115"/>
      <c r="Z27" s="242"/>
      <c r="AA27" s="109" t="s">
        <v>52</v>
      </c>
      <c r="AB27" s="80">
        <v>1</v>
      </c>
      <c r="AC27" s="80">
        <f>COUNTIF(U38:U41,"&lt;&gt;0")</f>
        <v>1</v>
      </c>
      <c r="AD27" s="80">
        <f>SUM(U38:U41)</f>
        <v>6</v>
      </c>
    </row>
    <row r="28" spans="2:32" ht="15.75" x14ac:dyDescent="0.25">
      <c r="B28" s="208">
        <v>24</v>
      </c>
      <c r="C28" s="348"/>
      <c r="D28" s="14">
        <v>3</v>
      </c>
      <c r="E28" s="15" t="s">
        <v>293</v>
      </c>
      <c r="F28" s="14">
        <v>4</v>
      </c>
      <c r="G28" s="116" t="str">
        <f t="shared" si="0"/>
        <v>AIF204-4</v>
      </c>
      <c r="H28" s="14" t="s">
        <v>253</v>
      </c>
      <c r="I28" s="16" t="s">
        <v>294</v>
      </c>
      <c r="J28" s="14" t="e">
        <f>VLOOKUP(G28,'Data Akademik'!$A$14:$D$315,3,FALSE)</f>
        <v>#N/A</v>
      </c>
      <c r="K28" s="14" t="str">
        <f>VLOOKUP(G28,'Data Akademik'!$E$14:$H$315,3,FALSE)</f>
        <v>D</v>
      </c>
      <c r="L28" s="14">
        <f>VLOOKUP(G28,'Data Akademik'!$O$15:$Q$315,3,FALSE)</f>
        <v>0</v>
      </c>
      <c r="M28" s="14" t="str">
        <f t="shared" si="4"/>
        <v>D</v>
      </c>
      <c r="N28" s="14" t="str">
        <f t="shared" si="7"/>
        <v>D</v>
      </c>
      <c r="O28" s="204" t="str">
        <f t="shared" si="1"/>
        <v>D</v>
      </c>
      <c r="P28" s="117" t="str">
        <f t="shared" ca="1" si="2"/>
        <v>D</v>
      </c>
      <c r="Q28" s="346">
        <v>2006</v>
      </c>
      <c r="R28" s="346">
        <f>IF($O$1&gt;=Q28,MIN(F28:F29),0)</f>
        <v>3</v>
      </c>
      <c r="S28" s="242">
        <f>IF(ISBLANK(O28),-1,VLOOKUP(O28,'Nilai Kurikulum 2013'!$B$178:$C$183,2,FALSE))</f>
        <v>1</v>
      </c>
      <c r="T28" s="242">
        <f ca="1">IF(AND(ISNA(MATCH(E28,'Hapus MK'!$N$13:$N$32,0)),ISNA(MATCH(E28,'Hapus MK'!$Q$13:$Q$30,0)))=TRUE,S28,-1)</f>
        <v>1</v>
      </c>
      <c r="U28" s="242">
        <f t="shared" si="5"/>
        <v>4</v>
      </c>
      <c r="V28" s="242">
        <f t="shared" ca="1" si="6"/>
        <v>4</v>
      </c>
      <c r="W28" s="242">
        <f t="shared" ca="1" si="3"/>
        <v>1</v>
      </c>
      <c r="X28" s="242" t="str">
        <f ca="1">IF($T29&lt;1,$E28,$E29)</f>
        <v>AIF204</v>
      </c>
      <c r="Y28" s="115"/>
      <c r="Z28" s="242"/>
      <c r="AA28" s="109" t="s">
        <v>259</v>
      </c>
      <c r="AB28" s="80" t="str">
        <f>IF(O21&lt;=2010,0,4)&amp;" (min)"</f>
        <v>4 (min)</v>
      </c>
      <c r="AC28" s="80">
        <f>COUNTIF(U48:U55,"&lt;&gt;0")</f>
        <v>5</v>
      </c>
      <c r="AD28" s="80">
        <f>SUM(U48:U55)</f>
        <v>10</v>
      </c>
    </row>
    <row r="29" spans="2:32" ht="15.75" x14ac:dyDescent="0.25">
      <c r="B29" s="208"/>
      <c r="C29" s="348"/>
      <c r="D29" s="14">
        <v>4</v>
      </c>
      <c r="E29" s="15" t="s">
        <v>295</v>
      </c>
      <c r="F29" s="14">
        <v>3</v>
      </c>
      <c r="G29" s="116" t="str">
        <f t="shared" si="0"/>
        <v>AIF294-3</v>
      </c>
      <c r="H29" s="14" t="s">
        <v>253</v>
      </c>
      <c r="I29" s="16" t="s">
        <v>294</v>
      </c>
      <c r="J29" s="14" t="e">
        <f>VLOOKUP(G29,'Data Akademik'!$A$14:$D$315,3,FALSE)</f>
        <v>#N/A</v>
      </c>
      <c r="K29" s="14" t="e">
        <f>VLOOKUP(G29,'Data Akademik'!$E$14:$H$315,3,FALSE)</f>
        <v>#N/A</v>
      </c>
      <c r="L29" s="14">
        <f>VLOOKUP(G29,'Data Akademik'!$O$15:$Q$315,3,FALSE)</f>
        <v>0</v>
      </c>
      <c r="M29" s="14" t="str">
        <f t="shared" ref="M29" si="10">IF(L29&lt;&gt;0,L29,IF(ISNA(J29),IF(ISNA(K29),"",K29),J29))</f>
        <v/>
      </c>
      <c r="N29" s="14" t="str">
        <f t="shared" ref="N29" si="11">IF(ISERR(FIND("A",M29)),IF(ISERR(FIND("B",M29)),IF(ISERR(FIND("C",M29)),IF(ISERR(FIND("D",M29)),IF(ISERR(FIND("E",M29)),"","E"),"D"),"C"),"B"),"A")</f>
        <v/>
      </c>
      <c r="O29" s="204" t="str">
        <f t="shared" si="1"/>
        <v/>
      </c>
      <c r="P29" s="117" t="str">
        <f t="shared" ca="1" si="2"/>
        <v/>
      </c>
      <c r="Q29" s="346"/>
      <c r="R29" s="346"/>
      <c r="S29" s="242">
        <f>IF(ISBLANK(O29),-1,VLOOKUP(O29,'Nilai Kurikulum 2013'!$B$178:$C$183,2,FALSE))</f>
        <v>-1</v>
      </c>
      <c r="T29" s="242">
        <f ca="1">IF(AND(ISNA(MATCH(E29,'Hapus MK'!$N$13:$N$32,0)),ISNA(MATCH(E29,'Hapus MK'!$Q$13:$Q$30,0)))=TRUE,S29,-1)</f>
        <v>-1</v>
      </c>
      <c r="U29" s="242">
        <f t="shared" si="5"/>
        <v>0</v>
      </c>
      <c r="V29" s="242">
        <f t="shared" ca="1" si="6"/>
        <v>0</v>
      </c>
      <c r="W29" s="242">
        <f t="shared" ca="1" si="3"/>
        <v>0</v>
      </c>
      <c r="X29" s="242"/>
      <c r="Y29" s="115"/>
      <c r="Z29" s="242"/>
      <c r="AA29" s="109" t="s">
        <v>54</v>
      </c>
      <c r="AB29" s="80" t="s">
        <v>296</v>
      </c>
      <c r="AC29" s="80">
        <f>COUNTIF(U56:U151,"&lt;&gt;0")</f>
        <v>11</v>
      </c>
      <c r="AD29" s="80">
        <f>SUM(U56:U151)</f>
        <v>33</v>
      </c>
    </row>
    <row r="30" spans="2:32" ht="15.75" x14ac:dyDescent="0.25">
      <c r="B30" s="208">
        <v>25</v>
      </c>
      <c r="C30" s="348"/>
      <c r="D30" s="14">
        <v>5</v>
      </c>
      <c r="E30" s="15" t="s">
        <v>109</v>
      </c>
      <c r="F30" s="14">
        <v>4</v>
      </c>
      <c r="G30" s="116" t="str">
        <f t="shared" si="0"/>
        <v>AIF206-4</v>
      </c>
      <c r="H30" s="14" t="s">
        <v>253</v>
      </c>
      <c r="I30" s="16" t="s">
        <v>297</v>
      </c>
      <c r="J30" s="14" t="e">
        <f>VLOOKUP(G30,'Data Akademik'!$A$14:$D$315,3,FALSE)</f>
        <v>#N/A</v>
      </c>
      <c r="K30" s="14" t="str">
        <f>VLOOKUP(G30,'Data Akademik'!$E$14:$H$315,3,FALSE)</f>
        <v>A</v>
      </c>
      <c r="L30" s="14">
        <f>VLOOKUP(G30,'Data Akademik'!$O$15:$Q$315,3,FALSE)</f>
        <v>0</v>
      </c>
      <c r="M30" s="14" t="str">
        <f t="shared" si="4"/>
        <v>A</v>
      </c>
      <c r="N30" s="14" t="str">
        <f t="shared" si="7"/>
        <v>A</v>
      </c>
      <c r="O30" s="204" t="str">
        <f t="shared" si="1"/>
        <v>A</v>
      </c>
      <c r="P30" s="117" t="str">
        <f t="shared" ca="1" si="2"/>
        <v>A</v>
      </c>
      <c r="Q30" s="242">
        <v>2006</v>
      </c>
      <c r="R30" s="242">
        <f t="shared" ref="R30:R37" si="12">IF($O$1&gt;=Q30,F30,0)</f>
        <v>4</v>
      </c>
      <c r="S30" s="242">
        <f>IF(ISBLANK(O30),-1,VLOOKUP(O30,'Nilai Kurikulum 2013'!$B$178:$C$183,2,FALSE))</f>
        <v>4</v>
      </c>
      <c r="T30" s="242">
        <f ca="1">IF(AND(ISNA(MATCH(E30,'Hapus MK'!$N$13:$N$32,0)),ISNA(MATCH(E30,'Hapus MK'!$Q$13:$Q$30,0)))=TRUE,S30,-1)</f>
        <v>4</v>
      </c>
      <c r="U30" s="242">
        <f t="shared" si="5"/>
        <v>4</v>
      </c>
      <c r="V30" s="242">
        <f t="shared" ca="1" si="6"/>
        <v>4</v>
      </c>
      <c r="W30" s="242">
        <f t="shared" ca="1" si="3"/>
        <v>1</v>
      </c>
      <c r="X30" s="242"/>
      <c r="Y30" s="242"/>
      <c r="Z30" s="242"/>
      <c r="AA30" s="109" t="s">
        <v>262</v>
      </c>
      <c r="AB30" s="80" t="s">
        <v>263</v>
      </c>
      <c r="AC30" s="80">
        <f>COUNTIF(U152:U176,"&lt;&gt;0")</f>
        <v>0</v>
      </c>
      <c r="AD30" s="80">
        <f>SUM(U152:U175)</f>
        <v>0</v>
      </c>
    </row>
    <row r="31" spans="2:32" ht="15.75" x14ac:dyDescent="0.25">
      <c r="B31" s="208">
        <v>26</v>
      </c>
      <c r="C31" s="348"/>
      <c r="D31" s="14">
        <v>6</v>
      </c>
      <c r="E31" s="15" t="s">
        <v>298</v>
      </c>
      <c r="F31" s="14">
        <v>4</v>
      </c>
      <c r="G31" s="116" t="str">
        <f t="shared" si="0"/>
        <v>AIF208-4</v>
      </c>
      <c r="H31" s="14" t="s">
        <v>253</v>
      </c>
      <c r="I31" s="16" t="s">
        <v>299</v>
      </c>
      <c r="J31" s="14" t="e">
        <f>VLOOKUP(G31,'Data Akademik'!$A$14:$D$315,3,FALSE)</f>
        <v>#N/A</v>
      </c>
      <c r="K31" s="14" t="str">
        <f>VLOOKUP(G31,'Data Akademik'!$E$14:$H$315,3,FALSE)</f>
        <v>C</v>
      </c>
      <c r="L31" s="14">
        <f>VLOOKUP(G31,'Data Akademik'!$O$15:$Q$315,3,FALSE)</f>
        <v>0</v>
      </c>
      <c r="M31" s="14" t="str">
        <f t="shared" si="4"/>
        <v>C</v>
      </c>
      <c r="N31" s="14" t="str">
        <f t="shared" si="7"/>
        <v>C</v>
      </c>
      <c r="O31" s="204" t="str">
        <f t="shared" si="1"/>
        <v>C</v>
      </c>
      <c r="P31" s="117" t="str">
        <f t="shared" ca="1" si="2"/>
        <v>C</v>
      </c>
      <c r="Q31" s="242">
        <v>2011</v>
      </c>
      <c r="R31" s="242">
        <f t="shared" si="12"/>
        <v>4</v>
      </c>
      <c r="S31" s="242">
        <f>IF(ISBLANK(O31),-1,VLOOKUP(O31,'Nilai Kurikulum 2013'!$B$178:$C$183,2,FALSE))</f>
        <v>2</v>
      </c>
      <c r="T31" s="242">
        <f ca="1">IF(AND(ISNA(MATCH(E31,'Hapus MK'!$N$13:$N$32,0)),ISNA(MATCH(E31,'Hapus MK'!$Q$13:$Q$30,0)))=TRUE,S31,-1)</f>
        <v>2</v>
      </c>
      <c r="U31" s="242">
        <f t="shared" si="5"/>
        <v>4</v>
      </c>
      <c r="V31" s="242">
        <f t="shared" ca="1" si="6"/>
        <v>4</v>
      </c>
      <c r="W31" s="242">
        <f t="shared" ca="1" si="3"/>
        <v>1</v>
      </c>
      <c r="X31" s="242" t="str">
        <f ca="1">IF(V31&gt;0,E31,IF($O$1&gt;=Q31,E31,""))</f>
        <v>AIF208</v>
      </c>
      <c r="Y31" s="242"/>
      <c r="Z31" s="242"/>
      <c r="AB31" s="80"/>
      <c r="AC31" s="80">
        <f>SUM(AC26:AC30)</f>
        <v>49</v>
      </c>
      <c r="AD31" s="80">
        <f ca="1">SUM(AD26:AD30)</f>
        <v>146</v>
      </c>
    </row>
    <row r="32" spans="2:32" ht="15.75" x14ac:dyDescent="0.25">
      <c r="B32" s="208">
        <v>27</v>
      </c>
      <c r="C32" s="348"/>
      <c r="D32" s="14">
        <v>7</v>
      </c>
      <c r="E32" s="15" t="s">
        <v>300</v>
      </c>
      <c r="F32" s="14">
        <v>2</v>
      </c>
      <c r="G32" s="116" t="str">
        <f t="shared" si="0"/>
        <v>AIF210-2</v>
      </c>
      <c r="H32" s="14" t="s">
        <v>253</v>
      </c>
      <c r="I32" s="16" t="s">
        <v>301</v>
      </c>
      <c r="J32" s="14" t="e">
        <f>VLOOKUP(G32,'Data Akademik'!$A$14:$D$315,3,FALSE)</f>
        <v>#N/A</v>
      </c>
      <c r="K32" s="14" t="str">
        <f>VLOOKUP(G32,'Data Akademik'!$E$14:$H$315,3,FALSE)</f>
        <v>B</v>
      </c>
      <c r="L32" s="14">
        <f>VLOOKUP(G32,'Data Akademik'!$O$15:$Q$315,3,FALSE)</f>
        <v>0</v>
      </c>
      <c r="M32" s="14" t="str">
        <f t="shared" si="4"/>
        <v>B</v>
      </c>
      <c r="N32" s="14" t="str">
        <f t="shared" si="7"/>
        <v>B</v>
      </c>
      <c r="O32" s="204" t="str">
        <f t="shared" si="1"/>
        <v>B</v>
      </c>
      <c r="P32" s="117" t="str">
        <f t="shared" ca="1" si="2"/>
        <v>B</v>
      </c>
      <c r="Q32" s="242">
        <v>2006</v>
      </c>
      <c r="R32" s="242">
        <f t="shared" si="12"/>
        <v>2</v>
      </c>
      <c r="S32" s="242">
        <f>IF(ISBLANK(O32),-1,VLOOKUP(O32,'Nilai Kurikulum 2013'!$B$178:$C$183,2,FALSE))</f>
        <v>3</v>
      </c>
      <c r="T32" s="242">
        <f ca="1">IF(AND(ISNA(MATCH(E32,'Hapus MK'!$N$13:$N$32,0)),ISNA(MATCH(E32,'Hapus MK'!$Q$13:$Q$30,0)))=TRUE,S32,-1)</f>
        <v>3</v>
      </c>
      <c r="U32" s="242">
        <f t="shared" si="5"/>
        <v>2</v>
      </c>
      <c r="V32" s="242">
        <f t="shared" ca="1" si="6"/>
        <v>2</v>
      </c>
      <c r="W32" s="242">
        <f t="shared" ca="1" si="3"/>
        <v>1</v>
      </c>
      <c r="X32" s="242" t="str">
        <f ca="1">IF(V32&gt;0,E32,IF($O$1&gt;=Q32,E32,""))</f>
        <v>AIF210</v>
      </c>
      <c r="Y32" s="242"/>
      <c r="Z32" s="242"/>
      <c r="AA32" s="109" t="s">
        <v>302</v>
      </c>
    </row>
    <row r="33" spans="2:32" ht="15.75" x14ac:dyDescent="0.25">
      <c r="B33" s="207">
        <v>30</v>
      </c>
      <c r="C33" s="348">
        <v>5</v>
      </c>
      <c r="D33" s="14">
        <v>1</v>
      </c>
      <c r="E33" s="15" t="s">
        <v>303</v>
      </c>
      <c r="F33" s="14">
        <v>3</v>
      </c>
      <c r="G33" s="116" t="str">
        <f t="shared" si="0"/>
        <v>AIF301-3</v>
      </c>
      <c r="H33" s="14" t="s">
        <v>253</v>
      </c>
      <c r="I33" s="17" t="s">
        <v>304</v>
      </c>
      <c r="J33" s="14" t="str">
        <f>VLOOKUP(G33,'Data Akademik'!$A$14:$D$315,3,FALSE)</f>
        <v>E-D</v>
      </c>
      <c r="K33" s="14" t="e">
        <f>VLOOKUP(G33,'Data Akademik'!$E$14:$H$315,3,FALSE)</f>
        <v>#N/A</v>
      </c>
      <c r="L33" s="14">
        <f>VLOOKUP(G33,'Data Akademik'!$O$15:$Q$315,3,FALSE)</f>
        <v>0</v>
      </c>
      <c r="M33" s="14" t="str">
        <f t="shared" si="4"/>
        <v>E-D</v>
      </c>
      <c r="N33" s="14" t="str">
        <f t="shared" si="7"/>
        <v>D</v>
      </c>
      <c r="O33" s="204" t="str">
        <f t="shared" si="1"/>
        <v>D</v>
      </c>
      <c r="P33" s="117" t="str">
        <f t="shared" ca="1" si="2"/>
        <v>D</v>
      </c>
      <c r="Q33" s="242">
        <v>2011</v>
      </c>
      <c r="R33" s="242">
        <f t="shared" si="12"/>
        <v>3</v>
      </c>
      <c r="S33" s="242">
        <f>IF(ISBLANK(O33),-1,VLOOKUP(O33,'Nilai Kurikulum 2013'!$B$178:$C$183,2,FALSE))</f>
        <v>1</v>
      </c>
      <c r="T33" s="242">
        <f ca="1">IF(AND(ISNA(MATCH(E33,'Hapus MK'!$N$13:$N$32,0)),ISNA(MATCH(E33,'Hapus MK'!$Q$13:$Q$30,0)))=TRUE,S33,-1)</f>
        <v>1</v>
      </c>
      <c r="U33" s="242">
        <f t="shared" si="5"/>
        <v>3</v>
      </c>
      <c r="V33" s="242">
        <f t="shared" ca="1" si="6"/>
        <v>3</v>
      </c>
      <c r="W33" s="242">
        <f t="shared" ca="1" si="3"/>
        <v>1</v>
      </c>
      <c r="X33" s="242" t="str">
        <f ca="1">IF(V33&gt;0,E33,IF($O$1&gt;=Q33,E33,""))</f>
        <v>AIF301</v>
      </c>
      <c r="Y33" s="242"/>
      <c r="Z33" s="242"/>
      <c r="AA33" s="109" t="s">
        <v>268</v>
      </c>
    </row>
    <row r="34" spans="2:32" ht="15.75" x14ac:dyDescent="0.25">
      <c r="B34" s="208">
        <v>31</v>
      </c>
      <c r="C34" s="348"/>
      <c r="D34" s="14">
        <v>2</v>
      </c>
      <c r="E34" s="15" t="s">
        <v>115</v>
      </c>
      <c r="F34" s="14">
        <v>3</v>
      </c>
      <c r="G34" s="116" t="str">
        <f t="shared" si="0"/>
        <v>AIF303-3</v>
      </c>
      <c r="H34" s="14" t="s">
        <v>253</v>
      </c>
      <c r="I34" s="17" t="s">
        <v>305</v>
      </c>
      <c r="J34" s="14" t="str">
        <f>VLOOKUP(G34,'Data Akademik'!$A$14:$D$315,3,FALSE)</f>
        <v>A</v>
      </c>
      <c r="K34" s="14" t="e">
        <f>VLOOKUP(G34,'Data Akademik'!$E$14:$H$315,3,FALSE)</f>
        <v>#N/A</v>
      </c>
      <c r="L34" s="14">
        <f>VLOOKUP(G34,'Data Akademik'!$O$15:$Q$315,3,FALSE)</f>
        <v>0</v>
      </c>
      <c r="M34" s="14" t="str">
        <f t="shared" si="4"/>
        <v>A</v>
      </c>
      <c r="N34" s="14" t="str">
        <f t="shared" si="7"/>
        <v>A</v>
      </c>
      <c r="O34" s="204" t="str">
        <f t="shared" si="1"/>
        <v>A</v>
      </c>
      <c r="P34" s="117" t="str">
        <f t="shared" ca="1" si="2"/>
        <v>A</v>
      </c>
      <c r="Q34" s="242">
        <v>2006</v>
      </c>
      <c r="R34" s="242">
        <f t="shared" si="12"/>
        <v>3</v>
      </c>
      <c r="S34" s="242">
        <f>IF(ISBLANK(O34),-1,VLOOKUP(O34,'Nilai Kurikulum 2013'!$B$178:$C$183,2,FALSE))</f>
        <v>4</v>
      </c>
      <c r="T34" s="242">
        <f ca="1">IF(AND(ISNA(MATCH(E34,'Hapus MK'!$N$13:$N$32,0)),ISNA(MATCH(E34,'Hapus MK'!$Q$13:$Q$30,0)))=TRUE,S34,-1)</f>
        <v>4</v>
      </c>
      <c r="U34" s="242">
        <f t="shared" si="5"/>
        <v>3</v>
      </c>
      <c r="V34" s="242">
        <f t="shared" ca="1" si="6"/>
        <v>3</v>
      </c>
      <c r="W34" s="242">
        <f t="shared" ca="1" si="3"/>
        <v>1</v>
      </c>
      <c r="X34" s="242"/>
      <c r="Y34" s="242"/>
      <c r="Z34" s="242"/>
      <c r="AA34" s="80">
        <v>4</v>
      </c>
      <c r="AB34" s="80">
        <v>3</v>
      </c>
      <c r="AC34" s="80">
        <v>2</v>
      </c>
      <c r="AD34" s="80">
        <v>1</v>
      </c>
      <c r="AE34" s="80">
        <v>0</v>
      </c>
    </row>
    <row r="35" spans="2:32" ht="15.75" x14ac:dyDescent="0.25">
      <c r="B35" s="208">
        <v>32</v>
      </c>
      <c r="C35" s="348"/>
      <c r="D35" s="14">
        <v>3</v>
      </c>
      <c r="E35" s="15" t="s">
        <v>116</v>
      </c>
      <c r="F35" s="14">
        <v>4</v>
      </c>
      <c r="G35" s="116" t="str">
        <f t="shared" si="0"/>
        <v>AIF305-4</v>
      </c>
      <c r="H35" s="14" t="s">
        <v>253</v>
      </c>
      <c r="I35" s="17" t="s">
        <v>306</v>
      </c>
      <c r="J35" s="14" t="str">
        <f>VLOOKUP(G35,'Data Akademik'!$A$14:$D$315,3,FALSE)</f>
        <v>E-A</v>
      </c>
      <c r="K35" s="14" t="e">
        <f>VLOOKUP(G35,'Data Akademik'!$E$14:$H$315,3,FALSE)</f>
        <v>#N/A</v>
      </c>
      <c r="L35" s="14">
        <f>VLOOKUP(G35,'Data Akademik'!$O$15:$Q$315,3,FALSE)</f>
        <v>0</v>
      </c>
      <c r="M35" s="14" t="str">
        <f t="shared" si="4"/>
        <v>E-A</v>
      </c>
      <c r="N35" s="14" t="str">
        <f t="shared" si="7"/>
        <v>A</v>
      </c>
      <c r="O35" s="204" t="str">
        <f t="shared" si="1"/>
        <v>A</v>
      </c>
      <c r="P35" s="117" t="str">
        <f t="shared" ca="1" si="2"/>
        <v>A</v>
      </c>
      <c r="Q35" s="242">
        <v>2006</v>
      </c>
      <c r="R35" s="242">
        <f t="shared" si="12"/>
        <v>4</v>
      </c>
      <c r="S35" s="242">
        <f>IF(ISBLANK(O35),-1,VLOOKUP(O35,'Nilai Kurikulum 2013'!$B$178:$C$183,2,FALSE))</f>
        <v>4</v>
      </c>
      <c r="T35" s="242">
        <f ca="1">IF(AND(ISNA(MATCH(E35,'Hapus MK'!$N$13:$N$32,0)),ISNA(MATCH(E35,'Hapus MK'!$Q$13:$Q$30,0)))=TRUE,S35,-1)</f>
        <v>4</v>
      </c>
      <c r="U35" s="242">
        <f t="shared" si="5"/>
        <v>4</v>
      </c>
      <c r="V35" s="242">
        <f t="shared" ca="1" si="6"/>
        <v>4</v>
      </c>
      <c r="W35" s="242">
        <f t="shared" ca="1" si="3"/>
        <v>1</v>
      </c>
      <c r="X35" s="242"/>
      <c r="Y35" s="242"/>
      <c r="Z35" s="242"/>
      <c r="AA35" s="80" t="s">
        <v>57</v>
      </c>
      <c r="AB35" s="80" t="s">
        <v>58</v>
      </c>
      <c r="AC35" s="80" t="s">
        <v>59</v>
      </c>
      <c r="AD35" s="80" t="s">
        <v>60</v>
      </c>
      <c r="AE35" s="80" t="s">
        <v>61</v>
      </c>
    </row>
    <row r="36" spans="2:32" ht="16.5" thickBot="1" x14ac:dyDescent="0.3">
      <c r="B36" s="209">
        <v>33</v>
      </c>
      <c r="C36" s="348"/>
      <c r="D36" s="14">
        <v>4</v>
      </c>
      <c r="E36" s="15" t="s">
        <v>117</v>
      </c>
      <c r="F36" s="14">
        <v>2</v>
      </c>
      <c r="G36" s="116" t="str">
        <f t="shared" ref="G36:G67" si="13">E36&amp;"-"&amp;F36</f>
        <v>MKU002-2</v>
      </c>
      <c r="H36" s="14" t="s">
        <v>253</v>
      </c>
      <c r="I36" s="17" t="s">
        <v>307</v>
      </c>
      <c r="J36" s="14" t="str">
        <f>VLOOKUP(G36,'Data Akademik'!$A$14:$D$315,3,FALSE)</f>
        <v>B</v>
      </c>
      <c r="K36" s="14" t="e">
        <f>VLOOKUP(G36,'Data Akademik'!$E$14:$H$315,3,FALSE)</f>
        <v>#N/A</v>
      </c>
      <c r="L36" s="14">
        <f>VLOOKUP(G36,'Data Akademik'!$O$15:$Q$315,3,FALSE)</f>
        <v>0</v>
      </c>
      <c r="M36" s="14" t="str">
        <f t="shared" si="4"/>
        <v>B</v>
      </c>
      <c r="N36" s="14" t="str">
        <f t="shared" si="7"/>
        <v>B</v>
      </c>
      <c r="O36" s="204" t="str">
        <f t="shared" ref="O36:O67" si="14">N36</f>
        <v>B</v>
      </c>
      <c r="P36" s="117" t="str">
        <f t="shared" ref="P36:P67" ca="1" si="15">IF(T36&gt;0,VLOOKUP(T36,$C$178:$D$183,2,),"")</f>
        <v>B</v>
      </c>
      <c r="Q36" s="242">
        <v>2006</v>
      </c>
      <c r="R36" s="242">
        <f t="shared" si="12"/>
        <v>2</v>
      </c>
      <c r="S36" s="242">
        <f>IF(ISBLANK(O36),-1,VLOOKUP(O36,'Nilai Kurikulum 2013'!$B$178:$C$183,2,FALSE))</f>
        <v>3</v>
      </c>
      <c r="T36" s="242">
        <f ca="1">IF(AND(ISNA(MATCH(E36,'Hapus MK'!$N$13:$N$32,0)),ISNA(MATCH(E36,'Hapus MK'!$Q$13:$Q$30,0)))=TRUE,S36,-1)</f>
        <v>3</v>
      </c>
      <c r="U36" s="242">
        <f t="shared" si="5"/>
        <v>2</v>
      </c>
      <c r="V36" s="242">
        <f t="shared" ca="1" si="6"/>
        <v>2</v>
      </c>
      <c r="W36" s="242">
        <f t="shared" ref="W36:W67" ca="1" si="16">IF(AND(Q36&lt;=$O$1,T36&gt;0),1,0)</f>
        <v>1</v>
      </c>
      <c r="X36" s="242"/>
      <c r="Y36" s="242"/>
      <c r="Z36" s="242"/>
      <c r="AA36" s="80">
        <f>COUNTIF($S$4:$S$176,AA34)</f>
        <v>19</v>
      </c>
      <c r="AB36" s="80">
        <f>COUNTIF($S$4:$S$176,AB34)</f>
        <v>20</v>
      </c>
      <c r="AC36" s="80">
        <f>COUNTIF($S$4:$S$176,AC34)</f>
        <v>7</v>
      </c>
      <c r="AD36" s="80">
        <f>COUNTIF($S$4:$S$176,AD34)</f>
        <v>3</v>
      </c>
      <c r="AE36" s="80">
        <f>COUNTIF($S$4:$S$176,AE34)</f>
        <v>0</v>
      </c>
      <c r="AF36" s="80">
        <f>SUM(AA36:AD36)</f>
        <v>49</v>
      </c>
    </row>
    <row r="37" spans="2:32" ht="16.5" thickTop="1" x14ac:dyDescent="0.25">
      <c r="B37" s="207">
        <v>34</v>
      </c>
      <c r="C37" s="348">
        <v>6</v>
      </c>
      <c r="D37" s="14">
        <v>1</v>
      </c>
      <c r="E37" s="15" t="s">
        <v>114</v>
      </c>
      <c r="F37" s="14">
        <v>2</v>
      </c>
      <c r="G37" s="116" t="str">
        <f t="shared" si="13"/>
        <v>AIF302-2</v>
      </c>
      <c r="H37" s="14" t="s">
        <v>253</v>
      </c>
      <c r="I37" s="17" t="s">
        <v>308</v>
      </c>
      <c r="J37" s="14" t="e">
        <f>VLOOKUP(G37,'Data Akademik'!$A$14:$D$315,3,FALSE)</f>
        <v>#N/A</v>
      </c>
      <c r="K37" s="14" t="str">
        <f>VLOOKUP(G37,'Data Akademik'!$E$14:$H$315,3,FALSE)</f>
        <v>B</v>
      </c>
      <c r="L37" s="14">
        <f>VLOOKUP(G37,'Data Akademik'!$O$15:$Q$315,3,FALSE)</f>
        <v>0</v>
      </c>
      <c r="M37" s="14" t="str">
        <f t="shared" si="4"/>
        <v>B</v>
      </c>
      <c r="N37" s="14" t="str">
        <f t="shared" si="7"/>
        <v>B</v>
      </c>
      <c r="O37" s="204" t="str">
        <f t="shared" si="14"/>
        <v>B</v>
      </c>
      <c r="P37" s="117" t="str">
        <f t="shared" ca="1" si="15"/>
        <v>B</v>
      </c>
      <c r="Q37" s="242">
        <v>2006</v>
      </c>
      <c r="R37" s="242">
        <f t="shared" si="12"/>
        <v>2</v>
      </c>
      <c r="S37" s="242">
        <f>IF(ISBLANK(O37),-1,VLOOKUP(O37,'Nilai Kurikulum 2013'!$B$178:$C$183,2,FALSE))</f>
        <v>3</v>
      </c>
      <c r="T37" s="242">
        <f ca="1">IF(AND(ISNA(MATCH(E37,'Hapus MK'!$N$13:$N$32,0)),ISNA(MATCH(E37,'Hapus MK'!$Q$13:$Q$30,0)))=TRUE,S37,-1)</f>
        <v>3</v>
      </c>
      <c r="U37" s="242">
        <f t="shared" si="5"/>
        <v>2</v>
      </c>
      <c r="V37" s="242">
        <f t="shared" ca="1" si="6"/>
        <v>2</v>
      </c>
      <c r="W37" s="242">
        <f t="shared" ca="1" si="16"/>
        <v>1</v>
      </c>
      <c r="X37" s="242"/>
      <c r="Y37" s="242"/>
      <c r="Z37" s="242"/>
      <c r="AA37" s="80">
        <f>SUMIF($S$4:$S$176,AA34,$U$4:$U$176)</f>
        <v>61</v>
      </c>
      <c r="AB37" s="80">
        <f>SUMIF($S$4:$S$176,AB34,$U$4:$U$176)</f>
        <v>56</v>
      </c>
      <c r="AC37" s="80">
        <f>SUMIF($S$4:$S$176,AC34,$U$4:$U$176)</f>
        <v>20</v>
      </c>
      <c r="AD37" s="80">
        <f>SUMIF($S$4:$S$176,AD34,$U$4:$U$176)</f>
        <v>9</v>
      </c>
      <c r="AE37" s="80">
        <f>SUMIF($S$4:$S$176,AE34,$U$4:$U$176)</f>
        <v>0</v>
      </c>
      <c r="AF37" s="80">
        <f>SUM(AA37:AD37)</f>
        <v>146</v>
      </c>
    </row>
    <row r="38" spans="2:32" ht="15.75" x14ac:dyDescent="0.25">
      <c r="B38" s="208">
        <v>35</v>
      </c>
      <c r="C38" s="348"/>
      <c r="D38" s="14">
        <v>2</v>
      </c>
      <c r="E38" s="15" t="s">
        <v>309</v>
      </c>
      <c r="F38" s="14">
        <v>3</v>
      </c>
      <c r="G38" s="116" t="str">
        <f t="shared" si="13"/>
        <v>AIF304-3</v>
      </c>
      <c r="H38" s="14" t="s">
        <v>253</v>
      </c>
      <c r="I38" s="17" t="s">
        <v>310</v>
      </c>
      <c r="J38" s="14" t="e">
        <f>VLOOKUP(G38,'Data Akademik'!$A$14:$D$315,3,FALSE)</f>
        <v>#N/A</v>
      </c>
      <c r="K38" s="14" t="e">
        <f>VLOOKUP(G38,'Data Akademik'!$E$14:$H$315,3,FALSE)</f>
        <v>#N/A</v>
      </c>
      <c r="L38" s="14">
        <f>VLOOKUP(G38,'Data Akademik'!$O$15:$Q$315,3,FALSE)</f>
        <v>0</v>
      </c>
      <c r="M38" s="14" t="str">
        <f t="shared" si="4"/>
        <v/>
      </c>
      <c r="N38" s="14" t="str">
        <f t="shared" si="7"/>
        <v/>
      </c>
      <c r="O38" s="204" t="str">
        <f t="shared" si="14"/>
        <v/>
      </c>
      <c r="P38" s="117" t="str">
        <f t="shared" ca="1" si="15"/>
        <v/>
      </c>
      <c r="Q38" s="242">
        <v>2006</v>
      </c>
      <c r="R38" s="242"/>
      <c r="S38" s="242">
        <f>IF(ISBLANK(O38),-1,VLOOKUP(O38,'Nilai Kurikulum 2013'!$B$178:$C$183,2,FALSE))</f>
        <v>-1</v>
      </c>
      <c r="T38" s="242">
        <f ca="1">IF(AND(ISNA(MATCH(E38,'Hapus MK'!$N$13:$N$32,0)),ISNA(MATCH(E38,'Hapus MK'!$Q$13:$Q$30,0)))=TRUE,S38,-1)</f>
        <v>-1</v>
      </c>
      <c r="U38" s="242">
        <f t="shared" si="5"/>
        <v>0</v>
      </c>
      <c r="V38" s="242">
        <f t="shared" ca="1" si="6"/>
        <v>0</v>
      </c>
      <c r="W38" s="242">
        <f t="shared" ca="1" si="16"/>
        <v>0</v>
      </c>
      <c r="X38" s="242"/>
      <c r="Y38" s="242"/>
      <c r="Z38" s="242"/>
      <c r="AA38" s="80">
        <f>AA37*AA34</f>
        <v>244</v>
      </c>
      <c r="AB38" s="80">
        <f>AB37*AB34</f>
        <v>168</v>
      </c>
      <c r="AC38" s="80">
        <f>AC37*AC34</f>
        <v>40</v>
      </c>
      <c r="AD38" s="80">
        <f>AD37*AD34</f>
        <v>9</v>
      </c>
      <c r="AE38" s="80">
        <f>AE37*AE34</f>
        <v>0</v>
      </c>
      <c r="AF38" s="80">
        <f t="shared" ref="AF38" si="17">SUM(AA38:AE38)</f>
        <v>461</v>
      </c>
    </row>
    <row r="39" spans="2:32" ht="15.75" x14ac:dyDescent="0.25">
      <c r="B39" s="208">
        <v>36</v>
      </c>
      <c r="C39" s="348"/>
      <c r="D39" s="14">
        <v>3</v>
      </c>
      <c r="E39" s="15" t="s">
        <v>311</v>
      </c>
      <c r="F39" s="14">
        <v>3</v>
      </c>
      <c r="G39" s="116" t="str">
        <f t="shared" si="13"/>
        <v>AIF405-3</v>
      </c>
      <c r="H39" s="14" t="s">
        <v>253</v>
      </c>
      <c r="I39" s="17" t="s">
        <v>312</v>
      </c>
      <c r="J39" s="14" t="e">
        <f>VLOOKUP(G39,'Data Akademik'!$A$14:$D$315,3,FALSE)</f>
        <v>#N/A</v>
      </c>
      <c r="K39" s="14" t="e">
        <f>VLOOKUP(G39,'Data Akademik'!$E$14:$H$315,3,FALSE)</f>
        <v>#N/A</v>
      </c>
      <c r="L39" s="14">
        <f>VLOOKUP(G39,'Data Akademik'!$O$15:$Q$315,3,FALSE)</f>
        <v>0</v>
      </c>
      <c r="M39" s="14" t="str">
        <f t="shared" si="4"/>
        <v/>
      </c>
      <c r="N39" s="14" t="str">
        <f t="shared" si="7"/>
        <v/>
      </c>
      <c r="O39" s="204" t="str">
        <f t="shared" si="14"/>
        <v/>
      </c>
      <c r="P39" s="117" t="str">
        <f t="shared" ca="1" si="15"/>
        <v/>
      </c>
      <c r="Q39" s="346">
        <v>2006</v>
      </c>
      <c r="R39" s="346">
        <f>IF($O$1&gt;=Q39,MIN(F39:H41),0)</f>
        <v>3</v>
      </c>
      <c r="S39" s="242">
        <f>IF(ISBLANK(O39),-1,VLOOKUP(O39,'Nilai Kurikulum 2013'!$B$178:$C$183,2,FALSE))</f>
        <v>-1</v>
      </c>
      <c r="T39" s="242">
        <f ca="1">IF(AND(ISNA(MATCH(E39,'Hapus MK'!$N$13:$N$32,0)),ISNA(MATCH(E39,'Hapus MK'!$Q$13:$Q$30,0)))=TRUE,S39,-1)</f>
        <v>-1</v>
      </c>
      <c r="U39" s="242">
        <f t="shared" si="5"/>
        <v>0</v>
      </c>
      <c r="V39" s="242">
        <f t="shared" ca="1" si="6"/>
        <v>0</v>
      </c>
      <c r="W39" s="242">
        <f t="shared" ca="1" si="16"/>
        <v>0</v>
      </c>
      <c r="X39" s="242" t="str">
        <f ca="1">IF(X40="AIF304",E39,"")</f>
        <v/>
      </c>
      <c r="Y39" s="242"/>
      <c r="Z39" s="242"/>
    </row>
    <row r="40" spans="2:32" ht="15.75" x14ac:dyDescent="0.25">
      <c r="B40" s="208">
        <v>37</v>
      </c>
      <c r="C40" s="348"/>
      <c r="D40" s="14">
        <v>4</v>
      </c>
      <c r="E40" s="15" t="s">
        <v>313</v>
      </c>
      <c r="F40" s="14">
        <v>6</v>
      </c>
      <c r="G40" s="116" t="str">
        <f t="shared" si="13"/>
        <v>AIF306-6</v>
      </c>
      <c r="H40" s="14" t="s">
        <v>253</v>
      </c>
      <c r="I40" s="17" t="s">
        <v>314</v>
      </c>
      <c r="J40" s="14" t="e">
        <f>VLOOKUP(G40,'Data Akademik'!$A$14:$D$315,3,FALSE)</f>
        <v>#N/A</v>
      </c>
      <c r="K40" s="14" t="str">
        <f>VLOOKUP(G40,'Data Akademik'!$E$14:$H$315,3,FALSE)</f>
        <v>A</v>
      </c>
      <c r="L40" s="14">
        <f>VLOOKUP(G40,'Data Akademik'!$O$15:$Q$315,3,FALSE)</f>
        <v>0</v>
      </c>
      <c r="M40" s="14" t="str">
        <f t="shared" si="4"/>
        <v>A</v>
      </c>
      <c r="N40" s="14" t="str">
        <f t="shared" si="7"/>
        <v>A</v>
      </c>
      <c r="O40" s="204" t="str">
        <f t="shared" si="14"/>
        <v>A</v>
      </c>
      <c r="P40" s="117" t="str">
        <f t="shared" ca="1" si="15"/>
        <v>A</v>
      </c>
      <c r="Q40" s="346"/>
      <c r="R40" s="346"/>
      <c r="S40" s="242">
        <f>IF(ISBLANK(O40),-1,VLOOKUP(O40,'Nilai Kurikulum 2013'!$B$178:$C$183,2,FALSE))</f>
        <v>4</v>
      </c>
      <c r="T40" s="242">
        <f ca="1">IF(AND(ISNA(MATCH(E40,'Hapus MK'!$N$13:$N$32,0)),ISNA(MATCH(E40,'Hapus MK'!$Q$13:$Q$30,0)))=TRUE,S40,-1)</f>
        <v>4</v>
      </c>
      <c r="U40" s="242">
        <f t="shared" si="5"/>
        <v>6</v>
      </c>
      <c r="V40" s="242">
        <f t="shared" ca="1" si="6"/>
        <v>6</v>
      </c>
      <c r="W40" s="242">
        <f t="shared" ca="1" si="16"/>
        <v>1</v>
      </c>
      <c r="X40" s="242" t="str">
        <f ca="1">IF(AND(T39&lt;1,T41&lt;1),E40,IF(T41&lt;1,E38,E41))</f>
        <v>AIF306</v>
      </c>
      <c r="Y40" s="242"/>
      <c r="Z40" s="242"/>
      <c r="AF40" s="80">
        <f ca="1">ROUND(AF38/AD31,2)</f>
        <v>3.16</v>
      </c>
    </row>
    <row r="41" spans="2:32" ht="16.5" thickBot="1" x14ac:dyDescent="0.3">
      <c r="B41" s="209">
        <v>38</v>
      </c>
      <c r="C41" s="348"/>
      <c r="D41" s="14">
        <v>5</v>
      </c>
      <c r="E41" s="15" t="s">
        <v>315</v>
      </c>
      <c r="F41" s="14">
        <v>3</v>
      </c>
      <c r="G41" s="116" t="str">
        <f t="shared" si="13"/>
        <v>AIF396-3</v>
      </c>
      <c r="H41" s="14" t="s">
        <v>253</v>
      </c>
      <c r="I41" s="16" t="s">
        <v>314</v>
      </c>
      <c r="J41" s="14" t="e">
        <f>VLOOKUP(G41,'Data Akademik'!$A$14:$D$315,3,FALSE)</f>
        <v>#N/A</v>
      </c>
      <c r="K41" s="14" t="e">
        <f>VLOOKUP(G41,'Data Akademik'!$E$14:$H$315,3,FALSE)</f>
        <v>#N/A</v>
      </c>
      <c r="L41" s="14">
        <f>VLOOKUP(G41,'Data Akademik'!$O$15:$Q$315,3,FALSE)</f>
        <v>0</v>
      </c>
      <c r="M41" s="14" t="str">
        <f t="shared" si="4"/>
        <v/>
      </c>
      <c r="N41" s="14" t="str">
        <f t="shared" si="7"/>
        <v/>
      </c>
      <c r="O41" s="204" t="str">
        <f t="shared" si="14"/>
        <v/>
      </c>
      <c r="P41" s="117" t="str">
        <f t="shared" ca="1" si="15"/>
        <v/>
      </c>
      <c r="Q41" s="346"/>
      <c r="R41" s="346"/>
      <c r="S41" s="242">
        <f>IF(ISBLANK(O41),-1,VLOOKUP(O41,'Nilai Kurikulum 2013'!$B$178:$C$183,2,FALSE))</f>
        <v>-1</v>
      </c>
      <c r="T41" s="242">
        <f ca="1">IF(AND(ISNA(MATCH(E41,'Hapus MK'!$N$13:$N$32,0)),ISNA(MATCH(E41,'Hapus MK'!$Q$13:$Q$30,0)))=TRUE,S41,-1)</f>
        <v>-1</v>
      </c>
      <c r="U41" s="242">
        <f t="shared" si="5"/>
        <v>0</v>
      </c>
      <c r="V41" s="242">
        <f t="shared" ca="1" si="6"/>
        <v>0</v>
      </c>
      <c r="W41" s="242">
        <f t="shared" ca="1" si="16"/>
        <v>0</v>
      </c>
      <c r="X41" s="242"/>
      <c r="Y41" s="242"/>
      <c r="Z41" s="242"/>
    </row>
    <row r="42" spans="2:32" ht="16.5" thickTop="1" x14ac:dyDescent="0.25">
      <c r="B42" s="207">
        <v>39</v>
      </c>
      <c r="C42" s="348">
        <v>7</v>
      </c>
      <c r="D42" s="14">
        <v>1</v>
      </c>
      <c r="E42" s="15" t="s">
        <v>316</v>
      </c>
      <c r="F42" s="14">
        <v>4</v>
      </c>
      <c r="G42" s="116" t="str">
        <f t="shared" si="13"/>
        <v>AIF401-4</v>
      </c>
      <c r="H42" s="14" t="s">
        <v>253</v>
      </c>
      <c r="I42" s="16" t="s">
        <v>317</v>
      </c>
      <c r="J42" s="14" t="str">
        <f>VLOOKUP(G42,'Data Akademik'!$A$14:$D$315,3,FALSE)</f>
        <v>A</v>
      </c>
      <c r="K42" s="14" t="e">
        <f>VLOOKUP(G42,'Data Akademik'!$E$14:$H$315,3,FALSE)</f>
        <v>#N/A</v>
      </c>
      <c r="L42" s="14">
        <f>VLOOKUP(G42,'Data Akademik'!$O$15:$Q$315,3,FALSE)</f>
        <v>0</v>
      </c>
      <c r="M42" s="14" t="str">
        <f t="shared" si="4"/>
        <v>A</v>
      </c>
      <c r="N42" s="14" t="str">
        <f t="shared" si="7"/>
        <v>A</v>
      </c>
      <c r="O42" s="204" t="str">
        <f t="shared" si="14"/>
        <v>A</v>
      </c>
      <c r="P42" s="117" t="str">
        <f t="shared" ca="1" si="15"/>
        <v>A</v>
      </c>
      <c r="Q42" s="346">
        <v>2006</v>
      </c>
      <c r="R42" s="346">
        <f>IF($O$1&gt;=Q42,MIN(F42:F43),0)</f>
        <v>2</v>
      </c>
      <c r="S42" s="242">
        <f>IF(ISBLANK(O42),-1,VLOOKUP(O42,'Nilai Kurikulum 2013'!$B$178:$C$183,2,FALSE))</f>
        <v>4</v>
      </c>
      <c r="T42" s="242">
        <f ca="1">IF(AND(ISNA(MATCH(E42,'Hapus MK'!$N$13:$N$32,0)),ISNA(MATCH(E42,'Hapus MK'!$Q$13:$Q$30,0)))=TRUE,S42,-1)</f>
        <v>4</v>
      </c>
      <c r="U42" s="242">
        <f t="shared" si="5"/>
        <v>4</v>
      </c>
      <c r="V42" s="242">
        <f t="shared" ca="1" si="6"/>
        <v>4</v>
      </c>
      <c r="W42" s="242">
        <f t="shared" ca="1" si="16"/>
        <v>1</v>
      </c>
      <c r="X42" s="242" t="str">
        <f ca="1">IF($T43&lt;1,$E42,$E43)</f>
        <v>AIF401</v>
      </c>
      <c r="Y42" s="242"/>
      <c r="Z42" s="242"/>
    </row>
    <row r="43" spans="2:32" ht="15.75" x14ac:dyDescent="0.25">
      <c r="B43" s="208">
        <v>40</v>
      </c>
      <c r="C43" s="348"/>
      <c r="D43" s="14">
        <v>2</v>
      </c>
      <c r="E43" s="15" t="s">
        <v>318</v>
      </c>
      <c r="F43" s="14">
        <v>2</v>
      </c>
      <c r="G43" s="116" t="str">
        <f t="shared" si="13"/>
        <v>AIF491-2</v>
      </c>
      <c r="H43" s="14" t="s">
        <v>253</v>
      </c>
      <c r="I43" s="17" t="s">
        <v>317</v>
      </c>
      <c r="J43" s="14" t="e">
        <f>VLOOKUP(G43,'Data Akademik'!$A$14:$D$315,3,FALSE)</f>
        <v>#N/A</v>
      </c>
      <c r="K43" s="14" t="e">
        <f>VLOOKUP(G43,'Data Akademik'!$E$14:$H$315,3,FALSE)</f>
        <v>#N/A</v>
      </c>
      <c r="L43" s="14">
        <f>VLOOKUP(G43,'Data Akademik'!$O$15:$Q$315,3,FALSE)</f>
        <v>0</v>
      </c>
      <c r="M43" s="14" t="str">
        <f t="shared" si="4"/>
        <v/>
      </c>
      <c r="N43" s="14" t="str">
        <f t="shared" si="7"/>
        <v/>
      </c>
      <c r="O43" s="204" t="str">
        <f t="shared" si="14"/>
        <v/>
      </c>
      <c r="P43" s="117" t="str">
        <f t="shared" ca="1" si="15"/>
        <v/>
      </c>
      <c r="Q43" s="346"/>
      <c r="R43" s="346"/>
      <c r="S43" s="242">
        <f>IF(ISBLANK(O43),-1,VLOOKUP(O43,'Nilai Kurikulum 2013'!$B$178:$C$183,2,FALSE))</f>
        <v>-1</v>
      </c>
      <c r="T43" s="242">
        <f ca="1">IF(AND(ISNA(MATCH(E43,'Hapus MK'!$N$13:$N$32,0)),ISNA(MATCH(E43,'Hapus MK'!$Q$13:$Q$30,0)))=TRUE,S43,-1)</f>
        <v>-1</v>
      </c>
      <c r="U43" s="242">
        <f t="shared" si="5"/>
        <v>0</v>
      </c>
      <c r="V43" s="242">
        <f t="shared" ca="1" si="6"/>
        <v>0</v>
      </c>
      <c r="W43" s="242">
        <f t="shared" ca="1" si="16"/>
        <v>0</v>
      </c>
      <c r="X43" s="242"/>
      <c r="Y43" s="242"/>
      <c r="Z43" s="242"/>
    </row>
    <row r="44" spans="2:32" ht="16.5" thickBot="1" x14ac:dyDescent="0.3">
      <c r="B44" s="209">
        <v>41</v>
      </c>
      <c r="C44" s="348"/>
      <c r="D44" s="14">
        <v>3</v>
      </c>
      <c r="E44" s="15" t="s">
        <v>319</v>
      </c>
      <c r="F44" s="14">
        <v>2</v>
      </c>
      <c r="G44" s="116" t="str">
        <f t="shared" si="13"/>
        <v>AIF403-2</v>
      </c>
      <c r="H44" s="14" t="s">
        <v>253</v>
      </c>
      <c r="I44" s="17" t="s">
        <v>320</v>
      </c>
      <c r="J44" s="14" t="str">
        <f>VLOOKUP(G44,'Data Akademik'!$A$14:$D$315,3,FALSE)</f>
        <v>C</v>
      </c>
      <c r="K44" s="14" t="e">
        <f>VLOOKUP(G44,'Data Akademik'!$E$14:$H$315,3,FALSE)</f>
        <v>#N/A</v>
      </c>
      <c r="L44" s="14">
        <f>VLOOKUP(G44,'Data Akademik'!$O$15:$Q$315,3,FALSE)</f>
        <v>0</v>
      </c>
      <c r="M44" s="14" t="str">
        <f t="shared" si="4"/>
        <v>C</v>
      </c>
      <c r="N44" s="14" t="str">
        <f t="shared" si="7"/>
        <v>C</v>
      </c>
      <c r="O44" s="204" t="str">
        <f t="shared" si="14"/>
        <v>C</v>
      </c>
      <c r="P44" s="117" t="str">
        <f t="shared" ca="1" si="15"/>
        <v>C</v>
      </c>
      <c r="Q44" s="242">
        <v>2010</v>
      </c>
      <c r="R44" s="242">
        <f>IF($O$1&gt;=Q44,F44,0)</f>
        <v>2</v>
      </c>
      <c r="S44" s="242">
        <f>IF(ISBLANK(O44),-1,VLOOKUP(O44,'Nilai Kurikulum 2013'!$B$178:$C$183,2,FALSE))</f>
        <v>2</v>
      </c>
      <c r="T44" s="242">
        <f ca="1">IF(AND(ISNA(MATCH(E44,'Hapus MK'!$N$13:$N$32,0)),ISNA(MATCH(E44,'Hapus MK'!$Q$13:$Q$30,0)))=TRUE,S44,-1)</f>
        <v>2</v>
      </c>
      <c r="U44" s="242">
        <f t="shared" si="5"/>
        <v>2</v>
      </c>
      <c r="V44" s="242">
        <f t="shared" ca="1" si="6"/>
        <v>2</v>
      </c>
      <c r="W44" s="242">
        <f t="shared" ca="1" si="16"/>
        <v>1</v>
      </c>
      <c r="X44" s="242" t="str">
        <f ca="1">IF(V44&gt;0,E44,IF($O$1&gt;=Q44,E44,""))</f>
        <v>AIF403</v>
      </c>
      <c r="Y44" s="242"/>
      <c r="Z44" s="242"/>
    </row>
    <row r="45" spans="2:32" ht="16.5" thickTop="1" x14ac:dyDescent="0.25">
      <c r="B45" s="207">
        <v>42</v>
      </c>
      <c r="C45" s="348">
        <v>8</v>
      </c>
      <c r="D45" s="14">
        <v>1</v>
      </c>
      <c r="E45" s="15" t="s">
        <v>321</v>
      </c>
      <c r="F45" s="14">
        <v>6</v>
      </c>
      <c r="G45" s="116" t="str">
        <f t="shared" si="13"/>
        <v>AIF402-6</v>
      </c>
      <c r="H45" s="14" t="s">
        <v>253</v>
      </c>
      <c r="I45" s="17" t="s">
        <v>322</v>
      </c>
      <c r="J45" s="14" t="e">
        <f>VLOOKUP(G45,'Data Akademik'!$A$14:$D$315,3,FALSE)</f>
        <v>#N/A</v>
      </c>
      <c r="K45" s="14" t="str">
        <f>VLOOKUP(G45,'Data Akademik'!$E$14:$H$315,3,FALSE)</f>
        <v>--B</v>
      </c>
      <c r="L45" s="14">
        <f>VLOOKUP(G45,'Data Akademik'!$O$15:$Q$315,3,FALSE)</f>
        <v>0</v>
      </c>
      <c r="M45" s="14" t="str">
        <f t="shared" si="4"/>
        <v>--B</v>
      </c>
      <c r="N45" s="14" t="str">
        <f t="shared" si="7"/>
        <v>B</v>
      </c>
      <c r="O45" s="204" t="str">
        <f t="shared" si="14"/>
        <v>B</v>
      </c>
      <c r="P45" s="117" t="str">
        <f t="shared" ca="1" si="15"/>
        <v>B</v>
      </c>
      <c r="Q45" s="346">
        <v>2006</v>
      </c>
      <c r="R45" s="346">
        <f>IF($O$1&gt;=Q45,MIN(F45:F46),0)</f>
        <v>4</v>
      </c>
      <c r="S45" s="242">
        <f>IF(ISBLANK(O45),-1,VLOOKUP(O45,'Nilai Kurikulum 2013'!$B$178:$C$183,2,FALSE))</f>
        <v>3</v>
      </c>
      <c r="T45" s="242">
        <f ca="1">IF(AND(ISNA(MATCH(E45,'Hapus MK'!$N$13:$N$32,0)),ISNA(MATCH(E45,'Hapus MK'!$Q$13:$Q$30,0)))=TRUE,S45,-1)</f>
        <v>3</v>
      </c>
      <c r="U45" s="242">
        <f t="shared" si="5"/>
        <v>6</v>
      </c>
      <c r="V45" s="242">
        <f t="shared" ca="1" si="6"/>
        <v>6</v>
      </c>
      <c r="W45" s="242">
        <f t="shared" ca="1" si="16"/>
        <v>1</v>
      </c>
      <c r="X45" s="242" t="str">
        <f ca="1">IF($T46&lt;1,$E45,$E46)</f>
        <v>AIF402</v>
      </c>
      <c r="Y45" s="242"/>
      <c r="Z45" s="242"/>
    </row>
    <row r="46" spans="2:32" ht="15.75" x14ac:dyDescent="0.25">
      <c r="B46" s="208">
        <v>43</v>
      </c>
      <c r="C46" s="348"/>
      <c r="D46" s="14">
        <v>2</v>
      </c>
      <c r="E46" s="15" t="s">
        <v>323</v>
      </c>
      <c r="F46" s="14">
        <v>4</v>
      </c>
      <c r="G46" s="116" t="str">
        <f t="shared" si="13"/>
        <v>AIF492-4</v>
      </c>
      <c r="H46" s="14" t="s">
        <v>253</v>
      </c>
      <c r="I46" s="17" t="s">
        <v>322</v>
      </c>
      <c r="J46" s="14" t="e">
        <f>VLOOKUP(G46,'Data Akademik'!$A$14:$D$315,3,FALSE)</f>
        <v>#N/A</v>
      </c>
      <c r="K46" s="14" t="e">
        <f>VLOOKUP(G46,'Data Akademik'!$E$14:$H$315,3,FALSE)</f>
        <v>#N/A</v>
      </c>
      <c r="L46" s="14">
        <f>VLOOKUP(G46,'Data Akademik'!$O$15:$Q$315,3,FALSE)</f>
        <v>0</v>
      </c>
      <c r="M46" s="14" t="str">
        <f t="shared" si="4"/>
        <v/>
      </c>
      <c r="N46" s="14" t="str">
        <f t="shared" si="7"/>
        <v/>
      </c>
      <c r="O46" s="204" t="str">
        <f t="shared" si="14"/>
        <v/>
      </c>
      <c r="P46" s="117" t="str">
        <f t="shared" ca="1" si="15"/>
        <v/>
      </c>
      <c r="Q46" s="346"/>
      <c r="R46" s="346"/>
      <c r="S46" s="242">
        <f>IF(ISBLANK(O46),-1,VLOOKUP(O46,'Nilai Kurikulum 2013'!$B$178:$C$183,2,FALSE))</f>
        <v>-1</v>
      </c>
      <c r="T46" s="242">
        <f ca="1">IF(AND(ISNA(MATCH(E46,'Hapus MK'!$N$13:$N$32,0)),ISNA(MATCH(E46,'Hapus MK'!$Q$13:$Q$30,0)))=TRUE,S46,-1)</f>
        <v>-1</v>
      </c>
      <c r="U46" s="242">
        <f t="shared" si="5"/>
        <v>0</v>
      </c>
      <c r="V46" s="242">
        <f t="shared" ca="1" si="6"/>
        <v>0</v>
      </c>
      <c r="W46" s="242">
        <f t="shared" ca="1" si="16"/>
        <v>0</v>
      </c>
      <c r="X46" s="242"/>
      <c r="Y46" s="242"/>
      <c r="Z46" s="242"/>
    </row>
    <row r="47" spans="2:32" ht="16.5" thickBot="1" x14ac:dyDescent="0.3">
      <c r="B47" s="210">
        <v>44</v>
      </c>
      <c r="C47" s="348"/>
      <c r="D47" s="14">
        <v>3</v>
      </c>
      <c r="E47" s="15" t="s">
        <v>324</v>
      </c>
      <c r="F47" s="14">
        <v>2</v>
      </c>
      <c r="G47" s="116" t="str">
        <f t="shared" si="13"/>
        <v>APS402-2</v>
      </c>
      <c r="H47" s="14" t="s">
        <v>253</v>
      </c>
      <c r="I47" s="16" t="s">
        <v>325</v>
      </c>
      <c r="J47" s="14" t="e">
        <f>VLOOKUP(G47,'Data Akademik'!$A$14:$D$315,3,FALSE)</f>
        <v>#N/A</v>
      </c>
      <c r="K47" s="14" t="str">
        <f>VLOOKUP(G47,'Data Akademik'!$E$14:$H$315,3,FALSE)</f>
        <v>A</v>
      </c>
      <c r="L47" s="14">
        <f>VLOOKUP(G47,'Data Akademik'!$O$15:$Q$315,3,FALSE)</f>
        <v>0</v>
      </c>
      <c r="M47" s="14" t="str">
        <f t="shared" si="4"/>
        <v>A</v>
      </c>
      <c r="N47" s="14" t="str">
        <f t="shared" si="7"/>
        <v>A</v>
      </c>
      <c r="O47" s="204" t="str">
        <f t="shared" si="14"/>
        <v>A</v>
      </c>
      <c r="P47" s="117" t="str">
        <f t="shared" ca="1" si="15"/>
        <v>A</v>
      </c>
      <c r="Q47" s="242">
        <v>2010</v>
      </c>
      <c r="R47" s="242">
        <f t="shared" ref="R47:R111" si="18">IF($O$1&gt;=Q47,F47,0)</f>
        <v>2</v>
      </c>
      <c r="S47" s="242">
        <f>IF(ISBLANK(O47),-1,VLOOKUP(O47,'Nilai Kurikulum 2013'!$B$178:$C$183,2,FALSE))</f>
        <v>4</v>
      </c>
      <c r="T47" s="242">
        <f ca="1">IF(AND(ISNA(MATCH(E47,'Hapus MK'!$N$13:$N$32,0)),ISNA(MATCH(E47,'Hapus MK'!$Q$13:$Q$30,0)))=TRUE,S47,-1)</f>
        <v>4</v>
      </c>
      <c r="U47" s="242">
        <f t="shared" si="5"/>
        <v>2</v>
      </c>
      <c r="V47" s="242">
        <f t="shared" ca="1" si="6"/>
        <v>2</v>
      </c>
      <c r="W47" s="242">
        <f t="shared" ca="1" si="16"/>
        <v>1</v>
      </c>
      <c r="X47" s="242" t="str">
        <f t="shared" ref="X47" ca="1" si="19">IF(V47&gt;0,E47,IF($O$1&gt;=Q47,E47,""))</f>
        <v>APS402</v>
      </c>
      <c r="Y47" s="242"/>
      <c r="Z47" s="242"/>
    </row>
    <row r="48" spans="2:32" ht="16.5" thickTop="1" x14ac:dyDescent="0.25">
      <c r="B48" s="207">
        <v>45</v>
      </c>
      <c r="C48" s="348">
        <v>5</v>
      </c>
      <c r="D48" s="14">
        <v>1</v>
      </c>
      <c r="E48" s="15" t="s">
        <v>326</v>
      </c>
      <c r="F48" s="14">
        <v>2</v>
      </c>
      <c r="G48" s="116" t="str">
        <f t="shared" si="13"/>
        <v>AIF311-2</v>
      </c>
      <c r="H48" s="14" t="s">
        <v>284</v>
      </c>
      <c r="I48" s="17" t="s">
        <v>327</v>
      </c>
      <c r="J48" s="14" t="str">
        <f>VLOOKUP(G48,'Data Akademik'!$A$14:$D$315,3,FALSE)</f>
        <v>D</v>
      </c>
      <c r="K48" s="14" t="e">
        <f>VLOOKUP(G48,'Data Akademik'!$E$14:$H$315,3,FALSE)</f>
        <v>#N/A</v>
      </c>
      <c r="L48" s="14">
        <f>VLOOKUP(G48,'Data Akademik'!$O$15:$Q$315,3,FALSE)</f>
        <v>0</v>
      </c>
      <c r="M48" s="14" t="str">
        <f t="shared" si="4"/>
        <v>D</v>
      </c>
      <c r="N48" s="14" t="str">
        <f t="shared" si="7"/>
        <v>D</v>
      </c>
      <c r="O48" s="204" t="str">
        <f t="shared" si="14"/>
        <v>D</v>
      </c>
      <c r="P48" s="117" t="str">
        <f t="shared" ca="1" si="15"/>
        <v/>
      </c>
      <c r="Q48" s="242">
        <v>2011</v>
      </c>
      <c r="R48" s="242">
        <f t="shared" si="18"/>
        <v>2</v>
      </c>
      <c r="S48" s="242">
        <f>IF(ISBLANK(O48),-1,VLOOKUP(O48,'Nilai Kurikulum 2013'!$B$178:$C$183,2,FALSE))</f>
        <v>1</v>
      </c>
      <c r="T48" s="242">
        <f ca="1">IF(AND(ISNA(MATCH(E48,'Hapus MK'!$N$13:$N$32,0)),ISNA(MATCH(E48,'Hapus MK'!$Q$13:$Q$30,0)))=TRUE,S48,-1)</f>
        <v>-1</v>
      </c>
      <c r="U48" s="242">
        <f t="shared" si="5"/>
        <v>2</v>
      </c>
      <c r="V48" s="242">
        <f t="shared" ca="1" si="6"/>
        <v>0</v>
      </c>
      <c r="W48" s="242">
        <f t="shared" ca="1" si="16"/>
        <v>0</v>
      </c>
      <c r="X48" s="242" t="str">
        <f ca="1">IF(V48&gt;0,E48,IF(AND($O$1&gt;=Q48,$AC$28&lt;4),E48,""))</f>
        <v/>
      </c>
      <c r="Y48" s="242"/>
      <c r="Z48" s="242"/>
    </row>
    <row r="49" spans="2:24" ht="15.75" x14ac:dyDescent="0.25">
      <c r="B49" s="208">
        <v>46</v>
      </c>
      <c r="C49" s="348"/>
      <c r="D49" s="14">
        <v>2</v>
      </c>
      <c r="E49" s="15" t="s">
        <v>328</v>
      </c>
      <c r="F49" s="14">
        <v>2</v>
      </c>
      <c r="G49" s="116" t="str">
        <f t="shared" si="13"/>
        <v>AIF313-2</v>
      </c>
      <c r="H49" s="14" t="s">
        <v>284</v>
      </c>
      <c r="I49" s="16" t="s">
        <v>329</v>
      </c>
      <c r="J49" s="14" t="str">
        <f>VLOOKUP(G49,'Data Akademik'!$A$14:$D$315,3,FALSE)</f>
        <v>B</v>
      </c>
      <c r="K49" s="14" t="e">
        <f>VLOOKUP(G49,'Data Akademik'!$E$14:$H$315,3,FALSE)</f>
        <v>#N/A</v>
      </c>
      <c r="L49" s="14">
        <f>VLOOKUP(G49,'Data Akademik'!$O$15:$Q$315,3,FALSE)</f>
        <v>0</v>
      </c>
      <c r="M49" s="14" t="str">
        <f t="shared" si="4"/>
        <v>B</v>
      </c>
      <c r="N49" s="14" t="str">
        <f t="shared" si="7"/>
        <v>B</v>
      </c>
      <c r="O49" s="204" t="str">
        <f t="shared" si="14"/>
        <v>B</v>
      </c>
      <c r="P49" s="117" t="str">
        <f t="shared" ca="1" si="15"/>
        <v>B</v>
      </c>
      <c r="Q49" s="242">
        <v>2011</v>
      </c>
      <c r="R49" s="242">
        <f t="shared" si="18"/>
        <v>2</v>
      </c>
      <c r="S49" s="242">
        <f>IF(ISBLANK(O49),-1,VLOOKUP(O49,'Nilai Kurikulum 2013'!$B$178:$C$183,2,FALSE))</f>
        <v>3</v>
      </c>
      <c r="T49" s="242">
        <f ca="1">IF(AND(ISNA(MATCH(E49,'Hapus MK'!$N$13:$N$32,0)),ISNA(MATCH(E49,'Hapus MK'!$Q$13:$Q$30,0)))=TRUE,S49,-1)</f>
        <v>3</v>
      </c>
      <c r="U49" s="242">
        <f t="shared" si="5"/>
        <v>2</v>
      </c>
      <c r="V49" s="242">
        <f t="shared" ca="1" si="6"/>
        <v>2</v>
      </c>
      <c r="W49" s="242">
        <f t="shared" ca="1" si="16"/>
        <v>1</v>
      </c>
      <c r="X49" s="242" t="str">
        <f ca="1">IF(V49&gt;0,E49,IF(AND($O$1&gt;=Q49,$AC$7&lt;4),E49,""))</f>
        <v>AIF313</v>
      </c>
    </row>
    <row r="50" spans="2:24" ht="15.75" x14ac:dyDescent="0.25">
      <c r="B50" s="208">
        <v>47</v>
      </c>
      <c r="C50" s="348"/>
      <c r="D50" s="14">
        <v>3</v>
      </c>
      <c r="E50" s="15" t="s">
        <v>330</v>
      </c>
      <c r="F50" s="14">
        <v>2</v>
      </c>
      <c r="G50" s="116" t="str">
        <f t="shared" si="13"/>
        <v>AIF315-2</v>
      </c>
      <c r="H50" s="14" t="s">
        <v>284</v>
      </c>
      <c r="I50" s="16" t="s">
        <v>331</v>
      </c>
      <c r="J50" s="14" t="str">
        <f>VLOOKUP(G50,'Data Akademik'!$A$14:$D$315,3,FALSE)</f>
        <v>B</v>
      </c>
      <c r="K50" s="14" t="e">
        <f>VLOOKUP(G50,'Data Akademik'!$E$14:$H$315,3,FALSE)</f>
        <v>#N/A</v>
      </c>
      <c r="L50" s="14">
        <f>VLOOKUP(G50,'Data Akademik'!$O$15:$Q$315,3,FALSE)</f>
        <v>0</v>
      </c>
      <c r="M50" s="14" t="str">
        <f t="shared" si="4"/>
        <v>B</v>
      </c>
      <c r="N50" s="14" t="str">
        <f t="shared" si="7"/>
        <v>B</v>
      </c>
      <c r="O50" s="204" t="str">
        <f t="shared" si="14"/>
        <v>B</v>
      </c>
      <c r="P50" s="117" t="str">
        <f t="shared" ca="1" si="15"/>
        <v>B</v>
      </c>
      <c r="Q50" s="242">
        <v>2011</v>
      </c>
      <c r="R50" s="242">
        <f t="shared" si="18"/>
        <v>2</v>
      </c>
      <c r="S50" s="242">
        <f>IF(ISBLANK(O50),-1,VLOOKUP(O50,'Nilai Kurikulum 2013'!$B$178:$C$183,2,FALSE))</f>
        <v>3</v>
      </c>
      <c r="T50" s="242">
        <f ca="1">IF(AND(ISNA(MATCH(E50,'Hapus MK'!$N$13:$N$32,0)),ISNA(MATCH(E50,'Hapus MK'!$Q$13:$Q$30,0)))=TRUE,S50,-1)</f>
        <v>3</v>
      </c>
      <c r="U50" s="242">
        <f t="shared" si="5"/>
        <v>2</v>
      </c>
      <c r="V50" s="242">
        <f t="shared" ca="1" si="6"/>
        <v>2</v>
      </c>
      <c r="W50" s="242">
        <f t="shared" ca="1" si="16"/>
        <v>1</v>
      </c>
      <c r="X50" s="242" t="str">
        <f t="shared" ref="X50:X55" ca="1" si="20">IF(V50&gt;0,E50,IF(AND($O$1&gt;=Q50,$AC$7&lt;4),E50,""))</f>
        <v>AIF315</v>
      </c>
    </row>
    <row r="51" spans="2:24" ht="16.5" thickBot="1" x14ac:dyDescent="0.3">
      <c r="B51" s="209">
        <v>48</v>
      </c>
      <c r="C51" s="348"/>
      <c r="D51" s="14">
        <v>4</v>
      </c>
      <c r="E51" s="15" t="s">
        <v>332</v>
      </c>
      <c r="F51" s="14">
        <v>2</v>
      </c>
      <c r="G51" s="116" t="str">
        <f t="shared" si="13"/>
        <v>AIF317-2</v>
      </c>
      <c r="H51" s="14" t="s">
        <v>284</v>
      </c>
      <c r="I51" s="16" t="s">
        <v>333</v>
      </c>
      <c r="J51" s="14" t="e">
        <f>VLOOKUP(G51,'Data Akademik'!$A$14:$D$315,3,FALSE)</f>
        <v>#N/A</v>
      </c>
      <c r="K51" s="14" t="e">
        <f>VLOOKUP(G51,'Data Akademik'!$E$14:$H$315,3,FALSE)</f>
        <v>#N/A</v>
      </c>
      <c r="L51" s="14">
        <f>VLOOKUP(G51,'Data Akademik'!$O$15:$Q$315,3,FALSE)</f>
        <v>0</v>
      </c>
      <c r="M51" s="14" t="str">
        <f t="shared" si="4"/>
        <v/>
      </c>
      <c r="N51" s="14" t="str">
        <f t="shared" si="7"/>
        <v/>
      </c>
      <c r="O51" s="204" t="str">
        <f t="shared" si="14"/>
        <v/>
      </c>
      <c r="P51" s="117" t="str">
        <f t="shared" ca="1" si="15"/>
        <v/>
      </c>
      <c r="Q51" s="242">
        <v>2011</v>
      </c>
      <c r="R51" s="242">
        <f t="shared" si="18"/>
        <v>2</v>
      </c>
      <c r="S51" s="242">
        <f>IF(ISBLANK(O51),-1,VLOOKUP(O51,'Nilai Kurikulum 2013'!$B$178:$C$183,2,FALSE))</f>
        <v>-1</v>
      </c>
      <c r="T51" s="242">
        <f ca="1">IF(AND(ISNA(MATCH(E51,'Hapus MK'!$N$13:$N$32,0)),ISNA(MATCH(E51,'Hapus MK'!$Q$13:$Q$30,0)))=TRUE,S51,-1)</f>
        <v>-1</v>
      </c>
      <c r="U51" s="242">
        <f t="shared" si="5"/>
        <v>0</v>
      </c>
      <c r="V51" s="242">
        <f t="shared" ca="1" si="6"/>
        <v>0</v>
      </c>
      <c r="W51" s="242">
        <f t="shared" ca="1" si="16"/>
        <v>0</v>
      </c>
      <c r="X51" s="242" t="str">
        <f t="shared" ca="1" si="20"/>
        <v/>
      </c>
    </row>
    <row r="52" spans="2:24" ht="16.5" thickTop="1" x14ac:dyDescent="0.25">
      <c r="B52" s="207">
        <v>49</v>
      </c>
      <c r="C52" s="348">
        <v>6</v>
      </c>
      <c r="D52" s="14">
        <v>1</v>
      </c>
      <c r="E52" s="15" t="s">
        <v>334</v>
      </c>
      <c r="F52" s="14">
        <v>2</v>
      </c>
      <c r="G52" s="116" t="str">
        <f t="shared" si="13"/>
        <v>AIF312-2</v>
      </c>
      <c r="H52" s="14" t="s">
        <v>284</v>
      </c>
      <c r="I52" s="16" t="s">
        <v>335</v>
      </c>
      <c r="J52" s="14" t="str">
        <f>VLOOKUP(G52,'Data Akademik'!$A$14:$D$315,3,FALSE)</f>
        <v>C</v>
      </c>
      <c r="K52" s="14" t="e">
        <f>VLOOKUP(G52,'Data Akademik'!$E$14:$H$315,3,FALSE)</f>
        <v>#N/A</v>
      </c>
      <c r="L52" s="14">
        <f>VLOOKUP(G52,'Data Akademik'!$O$15:$Q$315,3,FALSE)</f>
        <v>0</v>
      </c>
      <c r="M52" s="14" t="str">
        <f t="shared" si="4"/>
        <v>C</v>
      </c>
      <c r="N52" s="14" t="str">
        <f t="shared" si="7"/>
        <v>C</v>
      </c>
      <c r="O52" s="204" t="str">
        <f t="shared" si="14"/>
        <v>C</v>
      </c>
      <c r="P52" s="117" t="str">
        <f t="shared" ca="1" si="15"/>
        <v>C</v>
      </c>
      <c r="Q52" s="242">
        <v>2011</v>
      </c>
      <c r="R52" s="242">
        <f t="shared" si="18"/>
        <v>2</v>
      </c>
      <c r="S52" s="242">
        <f>IF(ISBLANK(O52),-1,VLOOKUP(O52,'Nilai Kurikulum 2013'!$B$178:$C$183,2,FALSE))</f>
        <v>2</v>
      </c>
      <c r="T52" s="242">
        <f ca="1">IF(AND(ISNA(MATCH(E52,'Hapus MK'!$N$13:$N$32,0)),ISNA(MATCH(E52,'Hapus MK'!$Q$13:$Q$30,0)))=TRUE,S52,-1)</f>
        <v>2</v>
      </c>
      <c r="U52" s="242">
        <f t="shared" si="5"/>
        <v>2</v>
      </c>
      <c r="V52" s="242">
        <f t="shared" ca="1" si="6"/>
        <v>2</v>
      </c>
      <c r="W52" s="242">
        <f t="shared" ca="1" si="16"/>
        <v>1</v>
      </c>
      <c r="X52" s="242" t="str">
        <f t="shared" ca="1" si="20"/>
        <v>AIF312</v>
      </c>
    </row>
    <row r="53" spans="2:24" ht="15.75" x14ac:dyDescent="0.25">
      <c r="B53" s="208">
        <v>50</v>
      </c>
      <c r="C53" s="348"/>
      <c r="D53" s="14">
        <v>2</v>
      </c>
      <c r="E53" s="15" t="s">
        <v>336</v>
      </c>
      <c r="F53" s="14">
        <v>2</v>
      </c>
      <c r="G53" s="116" t="str">
        <f t="shared" si="13"/>
        <v>AIF314-2</v>
      </c>
      <c r="H53" s="14" t="s">
        <v>284</v>
      </c>
      <c r="I53" s="16" t="s">
        <v>337</v>
      </c>
      <c r="J53" s="14" t="e">
        <f>VLOOKUP(G53,'Data Akademik'!$A$14:$D$315,3,FALSE)</f>
        <v>#N/A</v>
      </c>
      <c r="K53" s="14" t="e">
        <f>VLOOKUP(G53,'Data Akademik'!$E$14:$H$315,3,FALSE)</f>
        <v>#N/A</v>
      </c>
      <c r="L53" s="14">
        <f>VLOOKUP(G53,'Data Akademik'!$O$15:$Q$315,3,FALSE)</f>
        <v>0</v>
      </c>
      <c r="M53" s="14" t="str">
        <f t="shared" si="4"/>
        <v/>
      </c>
      <c r="N53" s="14" t="str">
        <f t="shared" si="7"/>
        <v/>
      </c>
      <c r="O53" s="204" t="str">
        <f t="shared" si="14"/>
        <v/>
      </c>
      <c r="P53" s="117" t="str">
        <f t="shared" ca="1" si="15"/>
        <v/>
      </c>
      <c r="Q53" s="242">
        <v>2011</v>
      </c>
      <c r="R53" s="242">
        <f t="shared" si="18"/>
        <v>2</v>
      </c>
      <c r="S53" s="242">
        <f>IF(ISBLANK(O53),-1,VLOOKUP(O53,'Nilai Kurikulum 2013'!$B$178:$C$183,2,FALSE))</f>
        <v>-1</v>
      </c>
      <c r="T53" s="242">
        <f ca="1">IF(AND(ISNA(MATCH(E53,'Hapus MK'!$N$13:$N$32,0)),ISNA(MATCH(E53,'Hapus MK'!$Q$13:$Q$30,0)))=TRUE,S53,-1)</f>
        <v>-1</v>
      </c>
      <c r="U53" s="242">
        <f t="shared" si="5"/>
        <v>0</v>
      </c>
      <c r="V53" s="242">
        <f t="shared" ca="1" si="6"/>
        <v>0</v>
      </c>
      <c r="W53" s="242">
        <f t="shared" ca="1" si="16"/>
        <v>0</v>
      </c>
      <c r="X53" s="242" t="str">
        <f t="shared" ca="1" si="20"/>
        <v/>
      </c>
    </row>
    <row r="54" spans="2:24" ht="15.75" x14ac:dyDescent="0.25">
      <c r="B54" s="208">
        <v>51</v>
      </c>
      <c r="C54" s="348"/>
      <c r="D54" s="14">
        <v>3</v>
      </c>
      <c r="E54" s="15" t="s">
        <v>338</v>
      </c>
      <c r="F54" s="14">
        <v>2</v>
      </c>
      <c r="G54" s="116" t="str">
        <f t="shared" si="13"/>
        <v>AIF316-2</v>
      </c>
      <c r="H54" s="14" t="s">
        <v>284</v>
      </c>
      <c r="I54" s="17" t="s">
        <v>339</v>
      </c>
      <c r="J54" s="14" t="e">
        <f>VLOOKUP(G54,'Data Akademik'!$A$14:$D$315,3,FALSE)</f>
        <v>#N/A</v>
      </c>
      <c r="K54" s="14" t="e">
        <f>VLOOKUP(G54,'Data Akademik'!$E$14:$H$315,3,FALSE)</f>
        <v>#N/A</v>
      </c>
      <c r="L54" s="14">
        <f>VLOOKUP(G54,'Data Akademik'!$O$15:$Q$315,3,FALSE)</f>
        <v>0</v>
      </c>
      <c r="M54" s="14" t="str">
        <f t="shared" si="4"/>
        <v/>
      </c>
      <c r="N54" s="14" t="str">
        <f t="shared" si="7"/>
        <v/>
      </c>
      <c r="O54" s="204" t="str">
        <f t="shared" si="14"/>
        <v/>
      </c>
      <c r="P54" s="117" t="str">
        <f t="shared" ca="1" si="15"/>
        <v/>
      </c>
      <c r="Q54" s="242">
        <v>2011</v>
      </c>
      <c r="R54" s="242">
        <f t="shared" si="18"/>
        <v>2</v>
      </c>
      <c r="S54" s="242">
        <f>IF(ISBLANK(O54),-1,VLOOKUP(O54,'Nilai Kurikulum 2013'!$B$178:$C$183,2,FALSE))</f>
        <v>-1</v>
      </c>
      <c r="T54" s="242">
        <f ca="1">IF(AND(ISNA(MATCH(E54,'Hapus MK'!$N$13:$N$32,0)),ISNA(MATCH(E54,'Hapus MK'!$Q$13:$Q$30,0)))=TRUE,S54,-1)</f>
        <v>-1</v>
      </c>
      <c r="U54" s="242">
        <f t="shared" si="5"/>
        <v>0</v>
      </c>
      <c r="V54" s="242">
        <f t="shared" ca="1" si="6"/>
        <v>0</v>
      </c>
      <c r="W54" s="242">
        <f t="shared" ca="1" si="16"/>
        <v>0</v>
      </c>
      <c r="X54" s="242" t="str">
        <f t="shared" ca="1" si="20"/>
        <v/>
      </c>
    </row>
    <row r="55" spans="2:24" ht="16.5" thickBot="1" x14ac:dyDescent="0.3">
      <c r="B55" s="210">
        <v>52</v>
      </c>
      <c r="C55" s="348"/>
      <c r="D55" s="14">
        <v>4</v>
      </c>
      <c r="E55" s="15" t="s">
        <v>340</v>
      </c>
      <c r="F55" s="14">
        <v>2</v>
      </c>
      <c r="G55" s="116" t="str">
        <f t="shared" si="13"/>
        <v>AIF318-2</v>
      </c>
      <c r="H55" s="14" t="s">
        <v>284</v>
      </c>
      <c r="I55" s="16" t="s">
        <v>341</v>
      </c>
      <c r="J55" s="14" t="str">
        <f>VLOOKUP(G55,'Data Akademik'!$A$14:$D$315,3,FALSE)</f>
        <v>B</v>
      </c>
      <c r="K55" s="14" t="e">
        <f>VLOOKUP(G55,'Data Akademik'!$E$14:$H$315,3,FALSE)</f>
        <v>#N/A</v>
      </c>
      <c r="L55" s="14">
        <f>VLOOKUP(G55,'Data Akademik'!$O$15:$Q$315,3,FALSE)</f>
        <v>0</v>
      </c>
      <c r="M55" s="14" t="str">
        <f t="shared" si="4"/>
        <v>B</v>
      </c>
      <c r="N55" s="14" t="str">
        <f t="shared" si="7"/>
        <v>B</v>
      </c>
      <c r="O55" s="204" t="str">
        <f t="shared" si="14"/>
        <v>B</v>
      </c>
      <c r="P55" s="117" t="str">
        <f t="shared" ca="1" si="15"/>
        <v>B</v>
      </c>
      <c r="Q55" s="242">
        <v>2011</v>
      </c>
      <c r="R55" s="242">
        <f t="shared" si="18"/>
        <v>2</v>
      </c>
      <c r="S55" s="242">
        <f>IF(ISBLANK(O55),-1,VLOOKUP(O55,'Nilai Kurikulum 2013'!$B$178:$C$183,2,FALSE))</f>
        <v>3</v>
      </c>
      <c r="T55" s="242">
        <f ca="1">IF(AND(ISNA(MATCH(E55,'Hapus MK'!$N$13:$N$32,0)),ISNA(MATCH(E55,'Hapus MK'!$Q$13:$Q$30,0)))=TRUE,S55,-1)</f>
        <v>3</v>
      </c>
      <c r="U55" s="242">
        <f t="shared" si="5"/>
        <v>2</v>
      </c>
      <c r="V55" s="242">
        <f t="shared" ca="1" si="6"/>
        <v>2</v>
      </c>
      <c r="W55" s="242">
        <f t="shared" ca="1" si="16"/>
        <v>1</v>
      </c>
      <c r="X55" s="242" t="str">
        <f t="shared" ca="1" si="20"/>
        <v>AIF318</v>
      </c>
    </row>
    <row r="56" spans="2:24" ht="16.5" thickTop="1" x14ac:dyDescent="0.25">
      <c r="B56" s="207">
        <v>53</v>
      </c>
      <c r="C56" s="348">
        <v>1</v>
      </c>
      <c r="D56" s="14">
        <v>1</v>
      </c>
      <c r="E56" s="15" t="s">
        <v>122</v>
      </c>
      <c r="F56" s="14">
        <v>3</v>
      </c>
      <c r="G56" s="116" t="str">
        <f t="shared" si="13"/>
        <v>AIF181-3</v>
      </c>
      <c r="H56" s="14" t="s">
        <v>282</v>
      </c>
      <c r="I56" s="17" t="s">
        <v>342</v>
      </c>
      <c r="J56" s="14" t="e">
        <f>VLOOKUP(G56,'Data Akademik'!$A$14:$D$315,3,FALSE)</f>
        <v>#N/A</v>
      </c>
      <c r="K56" s="14" t="e">
        <f>VLOOKUP(G56,'Data Akademik'!$E$14:$H$315,3,FALSE)</f>
        <v>#N/A</v>
      </c>
      <c r="L56" s="14">
        <f>VLOOKUP(G56,'Data Akademik'!$O$15:$Q$315,3,FALSE)</f>
        <v>0</v>
      </c>
      <c r="M56" s="14" t="str">
        <f t="shared" si="4"/>
        <v/>
      </c>
      <c r="N56" s="14" t="str">
        <f t="shared" si="7"/>
        <v/>
      </c>
      <c r="O56" s="204" t="str">
        <f t="shared" si="14"/>
        <v/>
      </c>
      <c r="P56" s="117" t="str">
        <f t="shared" ca="1" si="15"/>
        <v/>
      </c>
      <c r="Q56" s="242">
        <v>3000</v>
      </c>
      <c r="R56" s="242">
        <f t="shared" si="18"/>
        <v>0</v>
      </c>
      <c r="S56" s="242">
        <f>IF(ISBLANK(O56),-1,VLOOKUP(O56,'Nilai Kurikulum 2013'!$B$178:$C$183,2,FALSE))</f>
        <v>-1</v>
      </c>
      <c r="T56" s="242">
        <f ca="1">IF(AND(ISNA(MATCH(E56,'Hapus MK'!$N$13:$N$32,0)),ISNA(MATCH(E56,'Hapus MK'!$Q$13:$Q$30,0)))=TRUE,S56,-1)</f>
        <v>-1</v>
      </c>
      <c r="U56" s="242">
        <f t="shared" si="5"/>
        <v>0</v>
      </c>
      <c r="V56" s="242">
        <f t="shared" ca="1" si="6"/>
        <v>0</v>
      </c>
      <c r="W56" s="242">
        <f t="shared" ca="1" si="16"/>
        <v>0</v>
      </c>
      <c r="X56" s="242" t="str">
        <f>IF(U56&gt;0,E56,"")</f>
        <v/>
      </c>
    </row>
    <row r="57" spans="2:24" ht="15.75" x14ac:dyDescent="0.25">
      <c r="B57" s="208">
        <v>54</v>
      </c>
      <c r="C57" s="348"/>
      <c r="D57" s="14">
        <v>2</v>
      </c>
      <c r="E57" s="15" t="s">
        <v>123</v>
      </c>
      <c r="F57" s="14">
        <v>4</v>
      </c>
      <c r="G57" s="116" t="str">
        <f t="shared" si="13"/>
        <v>AIF183-4</v>
      </c>
      <c r="H57" s="14" t="s">
        <v>282</v>
      </c>
      <c r="I57" s="17" t="s">
        <v>343</v>
      </c>
      <c r="J57" s="14" t="e">
        <f>VLOOKUP(G57,'Data Akademik'!$A$14:$D$315,3,FALSE)</f>
        <v>#N/A</v>
      </c>
      <c r="K57" s="14" t="e">
        <f>VLOOKUP(G57,'Data Akademik'!$E$14:$H$315,3,FALSE)</f>
        <v>#N/A</v>
      </c>
      <c r="L57" s="14">
        <f>VLOOKUP(G57,'Data Akademik'!$O$15:$Q$315,3,FALSE)</f>
        <v>0</v>
      </c>
      <c r="M57" s="14" t="str">
        <f t="shared" si="4"/>
        <v/>
      </c>
      <c r="N57" s="14" t="str">
        <f t="shared" si="7"/>
        <v/>
      </c>
      <c r="O57" s="204" t="str">
        <f t="shared" si="14"/>
        <v/>
      </c>
      <c r="P57" s="117" t="str">
        <f t="shared" ca="1" si="15"/>
        <v/>
      </c>
      <c r="Q57" s="242">
        <v>3000</v>
      </c>
      <c r="R57" s="242">
        <f t="shared" si="18"/>
        <v>0</v>
      </c>
      <c r="S57" s="242">
        <f>IF(ISBLANK(O57),-1,VLOOKUP(O57,'Nilai Kurikulum 2013'!$B$178:$C$183,2,FALSE))</f>
        <v>-1</v>
      </c>
      <c r="T57" s="242">
        <f ca="1">IF(AND(ISNA(MATCH(E57,'Hapus MK'!$N$13:$N$32,0)),ISNA(MATCH(E57,'Hapus MK'!$Q$13:$Q$30,0)))=TRUE,S57,-1)</f>
        <v>-1</v>
      </c>
      <c r="U57" s="242">
        <f t="shared" si="5"/>
        <v>0</v>
      </c>
      <c r="V57" s="242">
        <f t="shared" ca="1" si="6"/>
        <v>0</v>
      </c>
      <c r="W57" s="242">
        <f t="shared" ca="1" si="16"/>
        <v>0</v>
      </c>
      <c r="X57" s="242" t="str">
        <f t="shared" ref="X57:X121" si="21">IF(U57&gt;0,E57,"")</f>
        <v/>
      </c>
    </row>
    <row r="58" spans="2:24" ht="16.5" thickBot="1" x14ac:dyDescent="0.3">
      <c r="B58" s="209">
        <v>55</v>
      </c>
      <c r="C58" s="348"/>
      <c r="D58" s="14">
        <v>3</v>
      </c>
      <c r="E58" s="15" t="s">
        <v>124</v>
      </c>
      <c r="F58" s="14">
        <v>3</v>
      </c>
      <c r="G58" s="116" t="str">
        <f t="shared" si="13"/>
        <v>APS182-3</v>
      </c>
      <c r="H58" s="14" t="s">
        <v>282</v>
      </c>
      <c r="I58" s="17" t="s">
        <v>344</v>
      </c>
      <c r="J58" s="14" t="e">
        <f>VLOOKUP(G58,'Data Akademik'!$A$14:$D$315,3,FALSE)</f>
        <v>#N/A</v>
      </c>
      <c r="K58" s="14" t="e">
        <f>VLOOKUP(G58,'Data Akademik'!$E$14:$H$315,3,FALSE)</f>
        <v>#N/A</v>
      </c>
      <c r="L58" s="14">
        <f>VLOOKUP(G58,'Data Akademik'!$O$15:$Q$315,3,FALSE)</f>
        <v>0</v>
      </c>
      <c r="M58" s="14" t="str">
        <f t="shared" si="4"/>
        <v/>
      </c>
      <c r="N58" s="14" t="str">
        <f t="shared" si="7"/>
        <v/>
      </c>
      <c r="O58" s="204" t="str">
        <f t="shared" si="14"/>
        <v/>
      </c>
      <c r="P58" s="117" t="str">
        <f t="shared" ca="1" si="15"/>
        <v/>
      </c>
      <c r="Q58" s="242">
        <v>3000</v>
      </c>
      <c r="R58" s="242">
        <f t="shared" si="18"/>
        <v>0</v>
      </c>
      <c r="S58" s="242">
        <f>IF(ISBLANK(O58),-1,VLOOKUP(O58,'Nilai Kurikulum 2013'!$B$178:$C$183,2,FALSE))</f>
        <v>-1</v>
      </c>
      <c r="T58" s="242">
        <f ca="1">IF(AND(ISNA(MATCH(E58,'Hapus MK'!$N$13:$N$32,0)),ISNA(MATCH(E58,'Hapus MK'!$Q$13:$Q$30,0)))=TRUE,S58,-1)</f>
        <v>-1</v>
      </c>
      <c r="U58" s="242">
        <f t="shared" si="5"/>
        <v>0</v>
      </c>
      <c r="V58" s="242">
        <f t="shared" ca="1" si="6"/>
        <v>0</v>
      </c>
      <c r="W58" s="242">
        <f t="shared" ca="1" si="16"/>
        <v>0</v>
      </c>
      <c r="X58" s="242" t="str">
        <f t="shared" si="21"/>
        <v/>
      </c>
    </row>
    <row r="59" spans="2:24" ht="16.5" thickTop="1" x14ac:dyDescent="0.25">
      <c r="B59" s="207">
        <v>56</v>
      </c>
      <c r="C59" s="348">
        <v>2</v>
      </c>
      <c r="D59" s="14">
        <v>1</v>
      </c>
      <c r="E59" s="15" t="s">
        <v>125</v>
      </c>
      <c r="F59" s="14">
        <v>2</v>
      </c>
      <c r="G59" s="116" t="str">
        <f t="shared" si="13"/>
        <v>AIF182-2</v>
      </c>
      <c r="H59" s="14" t="s">
        <v>282</v>
      </c>
      <c r="I59" s="17" t="s">
        <v>345</v>
      </c>
      <c r="J59" s="14" t="e">
        <f>VLOOKUP(G59,'Data Akademik'!$A$14:$D$315,3,FALSE)</f>
        <v>#N/A</v>
      </c>
      <c r="K59" s="14" t="e">
        <f>VLOOKUP(G59,'Data Akademik'!$E$14:$H$315,3,FALSE)</f>
        <v>#N/A</v>
      </c>
      <c r="L59" s="14">
        <f>VLOOKUP(G59,'Data Akademik'!$O$15:$Q$315,3,FALSE)</f>
        <v>0</v>
      </c>
      <c r="M59" s="14" t="str">
        <f t="shared" si="4"/>
        <v/>
      </c>
      <c r="N59" s="14" t="str">
        <f t="shared" si="7"/>
        <v/>
      </c>
      <c r="O59" s="204" t="str">
        <f t="shared" si="14"/>
        <v/>
      </c>
      <c r="P59" s="117" t="str">
        <f t="shared" ca="1" si="15"/>
        <v/>
      </c>
      <c r="Q59" s="242">
        <v>3000</v>
      </c>
      <c r="R59" s="242">
        <f t="shared" si="18"/>
        <v>0</v>
      </c>
      <c r="S59" s="242">
        <f>IF(ISBLANK(O59),-1,VLOOKUP(O59,'Nilai Kurikulum 2013'!$B$178:$C$183,2,FALSE))</f>
        <v>-1</v>
      </c>
      <c r="T59" s="242">
        <f ca="1">IF(AND(ISNA(MATCH(E59,'Hapus MK'!$N$13:$N$32,0)),ISNA(MATCH(E59,'Hapus MK'!$Q$13:$Q$30,0)))=TRUE,S59,-1)</f>
        <v>-1</v>
      </c>
      <c r="U59" s="242">
        <f t="shared" si="5"/>
        <v>0</v>
      </c>
      <c r="V59" s="242">
        <f t="shared" ca="1" si="6"/>
        <v>0</v>
      </c>
      <c r="W59" s="242">
        <f t="shared" ca="1" si="16"/>
        <v>0</v>
      </c>
      <c r="X59" s="242" t="str">
        <f t="shared" si="21"/>
        <v/>
      </c>
    </row>
    <row r="60" spans="2:24" ht="15.75" x14ac:dyDescent="0.25">
      <c r="B60" s="208">
        <v>57</v>
      </c>
      <c r="C60" s="348"/>
      <c r="D60" s="14">
        <v>2</v>
      </c>
      <c r="E60" s="15" t="s">
        <v>126</v>
      </c>
      <c r="F60" s="14">
        <v>4</v>
      </c>
      <c r="G60" s="116" t="str">
        <f t="shared" si="13"/>
        <v>AMS191-4</v>
      </c>
      <c r="H60" s="14" t="s">
        <v>282</v>
      </c>
      <c r="I60" s="17" t="s">
        <v>346</v>
      </c>
      <c r="J60" s="14" t="e">
        <f>VLOOKUP(G60,'Data Akademik'!$A$14:$D$315,3,FALSE)</f>
        <v>#N/A</v>
      </c>
      <c r="K60" s="14" t="e">
        <f>VLOOKUP(G60,'Data Akademik'!$E$14:$H$315,3,FALSE)</f>
        <v>#N/A</v>
      </c>
      <c r="L60" s="14">
        <f>VLOOKUP(G60,'Data Akademik'!$O$15:$Q$315,3,FALSE)</f>
        <v>0</v>
      </c>
      <c r="M60" s="14" t="str">
        <f t="shared" si="4"/>
        <v/>
      </c>
      <c r="N60" s="14" t="str">
        <f t="shared" si="7"/>
        <v/>
      </c>
      <c r="O60" s="204" t="str">
        <f t="shared" si="14"/>
        <v/>
      </c>
      <c r="P60" s="117" t="str">
        <f t="shared" ca="1" si="15"/>
        <v/>
      </c>
      <c r="Q60" s="242">
        <v>3000</v>
      </c>
      <c r="R60" s="242">
        <f t="shared" si="18"/>
        <v>0</v>
      </c>
      <c r="S60" s="242">
        <f>IF(ISBLANK(O60),-1,VLOOKUP(O60,'Nilai Kurikulum 2013'!$B$178:$C$183,2,FALSE))</f>
        <v>-1</v>
      </c>
      <c r="T60" s="242">
        <f ca="1">IF(AND(ISNA(MATCH(E60,'Hapus MK'!$N$13:$N$32,0)),ISNA(MATCH(E60,'Hapus MK'!$Q$13:$Q$30,0)))=TRUE,S60,-1)</f>
        <v>-1</v>
      </c>
      <c r="U60" s="242">
        <f t="shared" si="5"/>
        <v>0</v>
      </c>
      <c r="V60" s="242">
        <f t="shared" ca="1" si="6"/>
        <v>0</v>
      </c>
      <c r="W60" s="242">
        <f t="shared" ca="1" si="16"/>
        <v>0</v>
      </c>
      <c r="X60" s="242" t="str">
        <f t="shared" si="21"/>
        <v/>
      </c>
    </row>
    <row r="61" spans="2:24" ht="15.75" x14ac:dyDescent="0.25">
      <c r="B61" s="208">
        <v>58</v>
      </c>
      <c r="C61" s="348"/>
      <c r="D61" s="14">
        <v>3</v>
      </c>
      <c r="E61" s="15" t="s">
        <v>127</v>
      </c>
      <c r="F61" s="14">
        <v>4</v>
      </c>
      <c r="G61" s="116" t="str">
        <f t="shared" si="13"/>
        <v>AMS192-4</v>
      </c>
      <c r="H61" s="14" t="s">
        <v>282</v>
      </c>
      <c r="I61" s="17" t="s">
        <v>347</v>
      </c>
      <c r="J61" s="14" t="e">
        <f>VLOOKUP(G61,'Data Akademik'!$A$14:$D$315,3,FALSE)</f>
        <v>#N/A</v>
      </c>
      <c r="K61" s="14" t="e">
        <f>VLOOKUP(G61,'Data Akademik'!$E$14:$H$315,3,FALSE)</f>
        <v>#N/A</v>
      </c>
      <c r="L61" s="14">
        <f>VLOOKUP(G61,'Data Akademik'!$O$15:$Q$315,3,FALSE)</f>
        <v>0</v>
      </c>
      <c r="M61" s="14" t="str">
        <f t="shared" si="4"/>
        <v/>
      </c>
      <c r="N61" s="14" t="str">
        <f t="shared" si="7"/>
        <v/>
      </c>
      <c r="O61" s="204" t="str">
        <f t="shared" si="14"/>
        <v/>
      </c>
      <c r="P61" s="117" t="str">
        <f t="shared" ca="1" si="15"/>
        <v/>
      </c>
      <c r="Q61" s="242">
        <v>3000</v>
      </c>
      <c r="R61" s="242">
        <f t="shared" si="18"/>
        <v>0</v>
      </c>
      <c r="S61" s="242">
        <f>IF(ISBLANK(O61),-1,VLOOKUP(O61,'Nilai Kurikulum 2013'!$B$178:$C$183,2,FALSE))</f>
        <v>-1</v>
      </c>
      <c r="T61" s="242">
        <f ca="1">IF(AND(ISNA(MATCH(E61,'Hapus MK'!$N$13:$N$32,0)),ISNA(MATCH(E61,'Hapus MK'!$Q$13:$Q$30,0)))=TRUE,S61,-1)</f>
        <v>-1</v>
      </c>
      <c r="U61" s="242">
        <f t="shared" si="5"/>
        <v>0</v>
      </c>
      <c r="V61" s="242">
        <f t="shared" ca="1" si="6"/>
        <v>0</v>
      </c>
      <c r="W61" s="242">
        <f t="shared" ca="1" si="16"/>
        <v>0</v>
      </c>
      <c r="X61" s="242" t="str">
        <f t="shared" si="21"/>
        <v/>
      </c>
    </row>
    <row r="62" spans="2:24" ht="16.5" thickBot="1" x14ac:dyDescent="0.3">
      <c r="B62" s="209">
        <v>59</v>
      </c>
      <c r="C62" s="348"/>
      <c r="D62" s="14">
        <v>4</v>
      </c>
      <c r="E62" s="17" t="s">
        <v>128</v>
      </c>
      <c r="F62" s="14">
        <v>3</v>
      </c>
      <c r="G62" s="116" t="str">
        <f t="shared" si="13"/>
        <v>AMS290-3</v>
      </c>
      <c r="H62" s="14" t="s">
        <v>282</v>
      </c>
      <c r="I62" s="15" t="s">
        <v>348</v>
      </c>
      <c r="J62" s="14" t="str">
        <f>VLOOKUP(G62,'Data Akademik'!$A$14:$D$315,3,FALSE)</f>
        <v>C</v>
      </c>
      <c r="K62" s="14" t="e">
        <f>VLOOKUP(G62,'Data Akademik'!$E$14:$H$315,3,FALSE)</f>
        <v>#N/A</v>
      </c>
      <c r="L62" s="14">
        <f>VLOOKUP(G62,'Data Akademik'!$O$15:$Q$315,3,FALSE)</f>
        <v>0</v>
      </c>
      <c r="M62" s="14" t="str">
        <f t="shared" si="4"/>
        <v>C</v>
      </c>
      <c r="N62" s="14" t="str">
        <f t="shared" si="7"/>
        <v>C</v>
      </c>
      <c r="O62" s="204" t="str">
        <f t="shared" si="14"/>
        <v>C</v>
      </c>
      <c r="P62" s="117" t="str">
        <f t="shared" ca="1" si="15"/>
        <v>C</v>
      </c>
      <c r="Q62" s="242">
        <v>3000</v>
      </c>
      <c r="R62" s="242">
        <f t="shared" si="18"/>
        <v>0</v>
      </c>
      <c r="S62" s="242">
        <f>IF(ISBLANK(O62),-1,VLOOKUP(O62,'Nilai Kurikulum 2013'!$B$178:$C$183,2,FALSE))</f>
        <v>2</v>
      </c>
      <c r="T62" s="242">
        <f ca="1">IF(AND(ISNA(MATCH(E62,'Hapus MK'!$N$13:$N$32,0)),ISNA(MATCH(E62,'Hapus MK'!$Q$13:$Q$30,0)))=TRUE,S62,-1)</f>
        <v>2</v>
      </c>
      <c r="U62" s="242">
        <f t="shared" si="5"/>
        <v>3</v>
      </c>
      <c r="V62" s="242">
        <f t="shared" ca="1" si="6"/>
        <v>3</v>
      </c>
      <c r="W62" s="242">
        <f t="shared" ca="1" si="16"/>
        <v>0</v>
      </c>
      <c r="X62" s="242" t="str">
        <f t="shared" si="21"/>
        <v>AMS290</v>
      </c>
    </row>
    <row r="63" spans="2:24" ht="17.25" thickTop="1" thickBot="1" x14ac:dyDescent="0.3">
      <c r="B63" s="211">
        <v>60</v>
      </c>
      <c r="C63" s="243">
        <v>3</v>
      </c>
      <c r="D63" s="14">
        <v>1</v>
      </c>
      <c r="E63" s="17" t="s">
        <v>129</v>
      </c>
      <c r="F63" s="14">
        <v>2</v>
      </c>
      <c r="G63" s="116" t="str">
        <f t="shared" si="13"/>
        <v>AIF281-2</v>
      </c>
      <c r="H63" s="14" t="s">
        <v>282</v>
      </c>
      <c r="I63" s="15" t="s">
        <v>349</v>
      </c>
      <c r="J63" s="14" t="e">
        <f>VLOOKUP(G63,'Data Akademik'!$A$14:$D$315,3,FALSE)</f>
        <v>#N/A</v>
      </c>
      <c r="K63" s="14" t="e">
        <f>VLOOKUP(G63,'Data Akademik'!$E$14:$H$315,3,FALSE)</f>
        <v>#N/A</v>
      </c>
      <c r="L63" s="14">
        <f>VLOOKUP(G63,'Data Akademik'!$O$15:$Q$315,3,FALSE)</f>
        <v>0</v>
      </c>
      <c r="M63" s="14" t="str">
        <f t="shared" si="4"/>
        <v/>
      </c>
      <c r="N63" s="14" t="str">
        <f t="shared" si="7"/>
        <v/>
      </c>
      <c r="O63" s="204" t="str">
        <f t="shared" si="14"/>
        <v/>
      </c>
      <c r="P63" s="117" t="str">
        <f t="shared" ca="1" si="15"/>
        <v/>
      </c>
      <c r="Q63" s="242">
        <v>3000</v>
      </c>
      <c r="R63" s="242">
        <f t="shared" si="18"/>
        <v>0</v>
      </c>
      <c r="S63" s="242">
        <f>IF(ISBLANK(O63),-1,VLOOKUP(O63,'Nilai Kurikulum 2013'!$B$178:$C$183,2,FALSE))</f>
        <v>-1</v>
      </c>
      <c r="T63" s="242">
        <f ca="1">IF(AND(ISNA(MATCH(E63,'Hapus MK'!$N$13:$N$32,0)),ISNA(MATCH(E63,'Hapus MK'!$Q$13:$Q$30,0)))=TRUE,S63,-1)</f>
        <v>-1</v>
      </c>
      <c r="U63" s="242">
        <f t="shared" si="5"/>
        <v>0</v>
      </c>
      <c r="V63" s="242">
        <f t="shared" ca="1" si="6"/>
        <v>0</v>
      </c>
      <c r="W63" s="242">
        <f t="shared" ca="1" si="16"/>
        <v>0</v>
      </c>
      <c r="X63" s="242" t="str">
        <f t="shared" si="21"/>
        <v/>
      </c>
    </row>
    <row r="64" spans="2:24" ht="16.5" thickTop="1" x14ac:dyDescent="0.25">
      <c r="B64" s="207">
        <v>61</v>
      </c>
      <c r="C64" s="348">
        <v>4</v>
      </c>
      <c r="D64" s="14">
        <v>1</v>
      </c>
      <c r="E64" s="15" t="s">
        <v>130</v>
      </c>
      <c r="F64" s="14">
        <v>1</v>
      </c>
      <c r="G64" s="116" t="str">
        <f t="shared" si="13"/>
        <v>AIF280-1</v>
      </c>
      <c r="H64" s="14" t="s">
        <v>282</v>
      </c>
      <c r="I64" s="17" t="s">
        <v>350</v>
      </c>
      <c r="J64" s="14" t="e">
        <f>VLOOKUP(G64,'Data Akademik'!$A$14:$D$315,3,FALSE)</f>
        <v>#N/A</v>
      </c>
      <c r="K64" s="14" t="e">
        <f>VLOOKUP(G64,'Data Akademik'!$E$14:$H$315,3,FALSE)</f>
        <v>#N/A</v>
      </c>
      <c r="L64" s="14">
        <f>VLOOKUP(G64,'Data Akademik'!$O$15:$Q$315,3,FALSE)</f>
        <v>0</v>
      </c>
      <c r="M64" s="14" t="str">
        <f t="shared" si="4"/>
        <v/>
      </c>
      <c r="N64" s="14" t="str">
        <f t="shared" si="7"/>
        <v/>
      </c>
      <c r="O64" s="204" t="str">
        <f t="shared" si="14"/>
        <v/>
      </c>
      <c r="P64" s="117" t="str">
        <f t="shared" ca="1" si="15"/>
        <v/>
      </c>
      <c r="Q64" s="242">
        <v>3000</v>
      </c>
      <c r="R64" s="242">
        <f t="shared" si="18"/>
        <v>0</v>
      </c>
      <c r="S64" s="242">
        <f>IF(ISBLANK(O64),-1,VLOOKUP(O64,'Nilai Kurikulum 2013'!$B$178:$C$183,2,FALSE))</f>
        <v>-1</v>
      </c>
      <c r="T64" s="242">
        <f ca="1">IF(AND(ISNA(MATCH(E64,'Hapus MK'!$N$13:$N$32,0)),ISNA(MATCH(E64,'Hapus MK'!$Q$13:$Q$30,0)))=TRUE,S64,-1)</f>
        <v>-1</v>
      </c>
      <c r="U64" s="242">
        <f t="shared" si="5"/>
        <v>0</v>
      </c>
      <c r="V64" s="242">
        <f t="shared" ca="1" si="6"/>
        <v>0</v>
      </c>
      <c r="W64" s="242">
        <f t="shared" ca="1" si="16"/>
        <v>0</v>
      </c>
      <c r="X64" s="242" t="str">
        <f t="shared" si="21"/>
        <v/>
      </c>
    </row>
    <row r="65" spans="2:26" ht="16.5" thickBot="1" x14ac:dyDescent="0.3">
      <c r="B65" s="209">
        <v>62</v>
      </c>
      <c r="C65" s="348"/>
      <c r="D65" s="14">
        <v>2</v>
      </c>
      <c r="E65" s="15" t="s">
        <v>131</v>
      </c>
      <c r="F65" s="14">
        <v>3</v>
      </c>
      <c r="G65" s="116" t="str">
        <f t="shared" si="13"/>
        <v>AIF282-3</v>
      </c>
      <c r="H65" s="14" t="s">
        <v>282</v>
      </c>
      <c r="I65" s="15" t="s">
        <v>351</v>
      </c>
      <c r="J65" s="14" t="e">
        <f>VLOOKUP(G65,'Data Akademik'!$A$14:$D$315,3,FALSE)</f>
        <v>#N/A</v>
      </c>
      <c r="K65" s="14" t="e">
        <f>VLOOKUP(G65,'Data Akademik'!$E$14:$H$315,3,FALSE)</f>
        <v>#N/A</v>
      </c>
      <c r="L65" s="14">
        <f>VLOOKUP(G65,'Data Akademik'!$O$15:$Q$315,3,FALSE)</f>
        <v>0</v>
      </c>
      <c r="M65" s="14" t="str">
        <f t="shared" si="4"/>
        <v/>
      </c>
      <c r="N65" s="14" t="str">
        <f t="shared" si="7"/>
        <v/>
      </c>
      <c r="O65" s="205" t="str">
        <f t="shared" si="14"/>
        <v/>
      </c>
      <c r="P65" s="122" t="str">
        <f t="shared" ca="1" si="15"/>
        <v/>
      </c>
      <c r="Q65" s="242">
        <v>3000</v>
      </c>
      <c r="R65" s="242">
        <f t="shared" si="18"/>
        <v>0</v>
      </c>
      <c r="S65" s="242">
        <f>IF(ISBLANK(O65),-1,VLOOKUP(O65,'Nilai Kurikulum 2013'!$B$178:$C$183,2,FALSE))</f>
        <v>-1</v>
      </c>
      <c r="T65" s="242">
        <f ca="1">IF(AND(ISNA(MATCH(E65,'Hapus MK'!$N$13:$N$32,0)),ISNA(MATCH(E65,'Hapus MK'!$Q$13:$Q$30,0)))=TRUE,S65,-1)</f>
        <v>-1</v>
      </c>
      <c r="U65" s="242">
        <f t="shared" si="5"/>
        <v>0</v>
      </c>
      <c r="V65" s="242">
        <f t="shared" ca="1" si="6"/>
        <v>0</v>
      </c>
      <c r="W65" s="242">
        <f t="shared" ca="1" si="16"/>
        <v>0</v>
      </c>
      <c r="X65" s="242" t="str">
        <f t="shared" si="21"/>
        <v/>
      </c>
    </row>
    <row r="66" spans="2:26" ht="16.5" thickTop="1" x14ac:dyDescent="0.25">
      <c r="B66" s="207">
        <v>63</v>
      </c>
      <c r="C66" s="348">
        <v>5</v>
      </c>
      <c r="D66" s="14">
        <v>1</v>
      </c>
      <c r="E66" s="17" t="s">
        <v>132</v>
      </c>
      <c r="F66" s="14">
        <v>2</v>
      </c>
      <c r="G66" s="116" t="str">
        <f t="shared" si="13"/>
        <v>AIF331-2</v>
      </c>
      <c r="H66" s="14" t="s">
        <v>282</v>
      </c>
      <c r="I66" s="15" t="s">
        <v>352</v>
      </c>
      <c r="J66" s="14" t="e">
        <f>VLOOKUP(G66,'Data Akademik'!$A$14:$D$315,3,FALSE)</f>
        <v>#N/A</v>
      </c>
      <c r="K66" s="14" t="e">
        <f>VLOOKUP(G66,'Data Akademik'!$E$14:$H$315,3,FALSE)</f>
        <v>#N/A</v>
      </c>
      <c r="L66" s="14">
        <f>VLOOKUP(G66,'Data Akademik'!$O$15:$Q$315,3,FALSE)</f>
        <v>0</v>
      </c>
      <c r="M66" s="14" t="str">
        <f t="shared" si="4"/>
        <v/>
      </c>
      <c r="N66" s="14" t="str">
        <f t="shared" si="7"/>
        <v/>
      </c>
      <c r="O66" s="204" t="str">
        <f t="shared" si="14"/>
        <v/>
      </c>
      <c r="P66" s="117" t="str">
        <f t="shared" ca="1" si="15"/>
        <v/>
      </c>
      <c r="Q66" s="242">
        <v>3000</v>
      </c>
      <c r="R66" s="242">
        <f t="shared" si="18"/>
        <v>0</v>
      </c>
      <c r="S66" s="242">
        <f>IF(ISBLANK(O66),-1,VLOOKUP(O66,'Nilai Kurikulum 2013'!$B$178:$C$183,2,FALSE))</f>
        <v>-1</v>
      </c>
      <c r="T66" s="242">
        <f ca="1">IF(AND(ISNA(MATCH(E66,'Hapus MK'!$N$13:$N$32,0)),ISNA(MATCH(E66,'Hapus MK'!$Q$13:$Q$30,0)))=TRUE,S66,-1)</f>
        <v>-1</v>
      </c>
      <c r="U66" s="242">
        <f t="shared" si="5"/>
        <v>0</v>
      </c>
      <c r="V66" s="242">
        <f t="shared" ca="1" si="6"/>
        <v>0</v>
      </c>
      <c r="W66" s="242">
        <f t="shared" ca="1" si="16"/>
        <v>0</v>
      </c>
      <c r="X66" s="242" t="str">
        <f t="shared" si="21"/>
        <v/>
      </c>
    </row>
    <row r="67" spans="2:26" ht="15.75" x14ac:dyDescent="0.25">
      <c r="B67" s="208">
        <v>64</v>
      </c>
      <c r="C67" s="348"/>
      <c r="D67" s="14">
        <v>2</v>
      </c>
      <c r="E67" s="17" t="s">
        <v>133</v>
      </c>
      <c r="F67" s="14">
        <v>2</v>
      </c>
      <c r="G67" s="116" t="str">
        <f t="shared" si="13"/>
        <v>AIF333-2</v>
      </c>
      <c r="H67" s="14" t="s">
        <v>282</v>
      </c>
      <c r="I67" s="15" t="s">
        <v>353</v>
      </c>
      <c r="J67" s="14" t="e">
        <f>VLOOKUP(G67,'Data Akademik'!$A$14:$D$315,3,FALSE)</f>
        <v>#N/A</v>
      </c>
      <c r="K67" s="14" t="e">
        <f>VLOOKUP(G67,'Data Akademik'!$E$14:$H$315,3,FALSE)</f>
        <v>#N/A</v>
      </c>
      <c r="L67" s="14">
        <f>VLOOKUP(G67,'Data Akademik'!$O$15:$Q$315,3,FALSE)</f>
        <v>0</v>
      </c>
      <c r="M67" s="14" t="str">
        <f t="shared" si="4"/>
        <v/>
      </c>
      <c r="N67" s="14" t="str">
        <f t="shared" si="7"/>
        <v/>
      </c>
      <c r="O67" s="204" t="str">
        <f t="shared" si="14"/>
        <v/>
      </c>
      <c r="P67" s="117" t="str">
        <f t="shared" ca="1" si="15"/>
        <v/>
      </c>
      <c r="Q67" s="242">
        <v>3000</v>
      </c>
      <c r="R67" s="242">
        <f t="shared" si="18"/>
        <v>0</v>
      </c>
      <c r="S67" s="242">
        <f>IF(ISBLANK(O67),-1,VLOOKUP(O67,'Nilai Kurikulum 2013'!$B$178:$C$183,2,FALSE))</f>
        <v>-1</v>
      </c>
      <c r="T67" s="242">
        <f ca="1">IF(AND(ISNA(MATCH(E67,'Hapus MK'!$N$13:$N$32,0)),ISNA(MATCH(E67,'Hapus MK'!$Q$13:$Q$30,0)))=TRUE,S67,-1)</f>
        <v>-1</v>
      </c>
      <c r="U67" s="242">
        <f t="shared" si="5"/>
        <v>0</v>
      </c>
      <c r="V67" s="242">
        <f t="shared" ca="1" si="6"/>
        <v>0</v>
      </c>
      <c r="W67" s="242">
        <f t="shared" ca="1" si="16"/>
        <v>0</v>
      </c>
      <c r="X67" s="242" t="str">
        <f t="shared" si="21"/>
        <v/>
      </c>
    </row>
    <row r="68" spans="2:26" ht="15.75" x14ac:dyDescent="0.25">
      <c r="B68" s="208">
        <v>65</v>
      </c>
      <c r="C68" s="348"/>
      <c r="D68" s="14">
        <v>3</v>
      </c>
      <c r="E68" s="17" t="s">
        <v>134</v>
      </c>
      <c r="F68" s="14">
        <v>3</v>
      </c>
      <c r="G68" s="116" t="str">
        <f t="shared" ref="G68:G100" si="22">E68&amp;"-"&amp;F68</f>
        <v>AIF335-3</v>
      </c>
      <c r="H68" s="14" t="s">
        <v>282</v>
      </c>
      <c r="I68" s="15" t="s">
        <v>354</v>
      </c>
      <c r="J68" s="14" t="e">
        <f>VLOOKUP(G68,'Data Akademik'!$A$14:$D$315,3,FALSE)</f>
        <v>#N/A</v>
      </c>
      <c r="K68" s="14" t="e">
        <f>VLOOKUP(G68,'Data Akademik'!$E$14:$H$315,3,FALSE)</f>
        <v>#N/A</v>
      </c>
      <c r="L68" s="14">
        <f>VLOOKUP(G68,'Data Akademik'!$O$15:$Q$315,3,FALSE)</f>
        <v>0</v>
      </c>
      <c r="M68" s="14" t="str">
        <f t="shared" si="4"/>
        <v/>
      </c>
      <c r="N68" s="14" t="str">
        <f t="shared" si="7"/>
        <v/>
      </c>
      <c r="O68" s="204" t="str">
        <f t="shared" ref="O68:O100" si="23">N68</f>
        <v/>
      </c>
      <c r="P68" s="117" t="str">
        <f t="shared" ref="P68:P100" ca="1" si="24">IF(T68&gt;0,VLOOKUP(T68,$C$178:$D$183,2,),"")</f>
        <v/>
      </c>
      <c r="Q68" s="242">
        <v>3000</v>
      </c>
      <c r="R68" s="242">
        <f t="shared" si="18"/>
        <v>0</v>
      </c>
      <c r="S68" s="242">
        <f>IF(ISBLANK(O68),-1,VLOOKUP(O68,'Nilai Kurikulum 2013'!$B$178:$C$183,2,FALSE))</f>
        <v>-1</v>
      </c>
      <c r="T68" s="242">
        <f ca="1">IF(AND(ISNA(MATCH(E68,'Hapus MK'!$N$13:$N$32,0)),ISNA(MATCH(E68,'Hapus MK'!$Q$13:$Q$30,0)))=TRUE,S68,-1)</f>
        <v>-1</v>
      </c>
      <c r="U68" s="242">
        <f t="shared" si="5"/>
        <v>0</v>
      </c>
      <c r="V68" s="242">
        <f t="shared" ca="1" si="6"/>
        <v>0</v>
      </c>
      <c r="W68" s="242">
        <f t="shared" ref="W68:W100" ca="1" si="25">IF(AND(Q68&lt;=$O$1,T68&gt;0),1,0)</f>
        <v>0</v>
      </c>
      <c r="X68" s="242" t="str">
        <f t="shared" si="21"/>
        <v/>
      </c>
    </row>
    <row r="69" spans="2:26" ht="15.75" x14ac:dyDescent="0.25">
      <c r="B69" s="208">
        <v>66</v>
      </c>
      <c r="C69" s="348"/>
      <c r="D69" s="14">
        <v>4</v>
      </c>
      <c r="E69" s="17" t="s">
        <v>135</v>
      </c>
      <c r="F69" s="14">
        <v>3</v>
      </c>
      <c r="G69" s="116" t="str">
        <f t="shared" si="22"/>
        <v>AIF337-3</v>
      </c>
      <c r="H69" s="14" t="s">
        <v>282</v>
      </c>
      <c r="I69" s="15" t="s">
        <v>355</v>
      </c>
      <c r="J69" s="14" t="e">
        <f>VLOOKUP(G69,'Data Akademik'!$A$14:$D$315,3,FALSE)</f>
        <v>#N/A</v>
      </c>
      <c r="K69" s="14" t="e">
        <f>VLOOKUP(G69,'Data Akademik'!$E$14:$H$315,3,FALSE)</f>
        <v>#N/A</v>
      </c>
      <c r="L69" s="14">
        <f>VLOOKUP(G69,'Data Akademik'!$O$15:$Q$315,3,FALSE)</f>
        <v>0</v>
      </c>
      <c r="M69" s="14" t="str">
        <f t="shared" ref="M69:M133" si="26">IF(L69&lt;&gt;0,L69,IF(ISNA(J69),IF(ISNA(K69),"",K69),J69))</f>
        <v/>
      </c>
      <c r="N69" s="14" t="str">
        <f t="shared" ref="N69:N133" si="27">IF(ISERR(FIND("A",M69)),IF(ISERR(FIND("B",M69)),IF(ISERR(FIND("C",M69)),IF(ISERR(FIND("D",M69)),IF(ISERR(FIND("E",M69)),"","E"),"D"),"C"),"B"),"A")</f>
        <v/>
      </c>
      <c r="O69" s="204" t="str">
        <f t="shared" si="23"/>
        <v/>
      </c>
      <c r="P69" s="117" t="str">
        <f t="shared" ca="1" si="24"/>
        <v/>
      </c>
      <c r="Q69" s="242">
        <v>3000</v>
      </c>
      <c r="R69" s="242">
        <f t="shared" si="18"/>
        <v>0</v>
      </c>
      <c r="S69" s="242">
        <f>IF(ISBLANK(O69),-1,VLOOKUP(O69,'Nilai Kurikulum 2013'!$B$178:$C$183,2,FALSE))</f>
        <v>-1</v>
      </c>
      <c r="T69" s="242">
        <f ca="1">IF(AND(ISNA(MATCH(E69,'Hapus MK'!$N$13:$N$32,0)),ISNA(MATCH(E69,'Hapus MK'!$Q$13:$Q$30,0)))=TRUE,S69,-1)</f>
        <v>-1</v>
      </c>
      <c r="U69" s="242">
        <f t="shared" ref="U69:U133" si="28">IF(S69&gt;0,F69,0)</f>
        <v>0</v>
      </c>
      <c r="V69" s="242">
        <f t="shared" ref="V69:V133" ca="1" si="29">IF(T69&gt;0,F69,0)</f>
        <v>0</v>
      </c>
      <c r="W69" s="242">
        <f t="shared" ca="1" si="25"/>
        <v>0</v>
      </c>
      <c r="X69" s="242" t="str">
        <f t="shared" si="21"/>
        <v/>
      </c>
    </row>
    <row r="70" spans="2:26" ht="15.75" x14ac:dyDescent="0.25">
      <c r="B70" s="208">
        <v>67</v>
      </c>
      <c r="C70" s="348"/>
      <c r="D70" s="14">
        <v>5</v>
      </c>
      <c r="E70" s="17" t="s">
        <v>136</v>
      </c>
      <c r="F70" s="14">
        <v>3</v>
      </c>
      <c r="G70" s="116" t="str">
        <f t="shared" si="22"/>
        <v>AIF339-3</v>
      </c>
      <c r="H70" s="14" t="s">
        <v>282</v>
      </c>
      <c r="I70" s="15" t="s">
        <v>356</v>
      </c>
      <c r="J70" s="14" t="e">
        <f>VLOOKUP(G70,'Data Akademik'!$A$14:$D$315,3,FALSE)</f>
        <v>#N/A</v>
      </c>
      <c r="K70" s="14" t="e">
        <f>VLOOKUP(G70,'Data Akademik'!$E$14:$H$315,3,FALSE)</f>
        <v>#N/A</v>
      </c>
      <c r="L70" s="14">
        <f>VLOOKUP(G70,'Data Akademik'!$O$15:$Q$315,3,FALSE)</f>
        <v>0</v>
      </c>
      <c r="M70" s="14" t="str">
        <f t="shared" si="26"/>
        <v/>
      </c>
      <c r="N70" s="14" t="str">
        <f t="shared" si="27"/>
        <v/>
      </c>
      <c r="O70" s="204" t="str">
        <f t="shared" si="23"/>
        <v/>
      </c>
      <c r="P70" s="117" t="str">
        <f t="shared" ca="1" si="24"/>
        <v/>
      </c>
      <c r="Q70" s="242">
        <v>3000</v>
      </c>
      <c r="R70" s="242">
        <f t="shared" si="18"/>
        <v>0</v>
      </c>
      <c r="S70" s="242">
        <f>IF(ISBLANK(O70),-1,VLOOKUP(O70,'Nilai Kurikulum 2013'!$B$178:$C$183,2,FALSE))</f>
        <v>-1</v>
      </c>
      <c r="T70" s="242">
        <f ca="1">IF(AND(ISNA(MATCH(E70,'Hapus MK'!$N$13:$N$32,0)),ISNA(MATCH(E70,'Hapus MK'!$Q$13:$Q$30,0)))=TRUE,S70,-1)</f>
        <v>-1</v>
      </c>
      <c r="U70" s="242">
        <f t="shared" si="28"/>
        <v>0</v>
      </c>
      <c r="V70" s="242">
        <f t="shared" ca="1" si="29"/>
        <v>0</v>
      </c>
      <c r="W70" s="242">
        <f t="shared" ca="1" si="25"/>
        <v>0</v>
      </c>
      <c r="X70" s="242" t="str">
        <f t="shared" si="21"/>
        <v/>
      </c>
    </row>
    <row r="71" spans="2:26" ht="15.75" x14ac:dyDescent="0.25">
      <c r="B71" s="208">
        <v>68</v>
      </c>
      <c r="C71" s="348"/>
      <c r="D71" s="14">
        <v>6</v>
      </c>
      <c r="E71" s="17" t="s">
        <v>137</v>
      </c>
      <c r="F71" s="14">
        <v>3</v>
      </c>
      <c r="G71" s="116" t="str">
        <f t="shared" si="22"/>
        <v>AIF341-3</v>
      </c>
      <c r="H71" s="14" t="s">
        <v>282</v>
      </c>
      <c r="I71" s="15" t="s">
        <v>357</v>
      </c>
      <c r="J71" s="14" t="str">
        <f>VLOOKUP(G71,'Data Akademik'!$A$14:$D$315,3,FALSE)</f>
        <v>B</v>
      </c>
      <c r="K71" s="14" t="e">
        <f>VLOOKUP(G71,'Data Akademik'!$E$14:$H$315,3,FALSE)</f>
        <v>#N/A</v>
      </c>
      <c r="L71" s="14">
        <f>VLOOKUP(G71,'Data Akademik'!$O$15:$Q$315,3,FALSE)</f>
        <v>0</v>
      </c>
      <c r="M71" s="14" t="str">
        <f t="shared" si="26"/>
        <v>B</v>
      </c>
      <c r="N71" s="14" t="str">
        <f t="shared" si="27"/>
        <v>B</v>
      </c>
      <c r="O71" s="204" t="str">
        <f t="shared" si="23"/>
        <v>B</v>
      </c>
      <c r="P71" s="117" t="str">
        <f t="shared" ca="1" si="24"/>
        <v>B</v>
      </c>
      <c r="Q71" s="242">
        <v>3000</v>
      </c>
      <c r="R71" s="242">
        <f t="shared" si="18"/>
        <v>0</v>
      </c>
      <c r="S71" s="242">
        <f>IF(ISBLANK(O71),-1,VLOOKUP(O71,'Nilai Kurikulum 2013'!$B$178:$C$183,2,FALSE))</f>
        <v>3</v>
      </c>
      <c r="T71" s="242">
        <f ca="1">IF(AND(ISNA(MATCH(E71,'Hapus MK'!$N$13:$N$32,0)),ISNA(MATCH(E71,'Hapus MK'!$Q$13:$Q$30,0)))=TRUE,S71,-1)</f>
        <v>3</v>
      </c>
      <c r="U71" s="242">
        <f t="shared" si="28"/>
        <v>3</v>
      </c>
      <c r="V71" s="242">
        <f t="shared" ca="1" si="29"/>
        <v>3</v>
      </c>
      <c r="W71" s="242">
        <f t="shared" ca="1" si="25"/>
        <v>0</v>
      </c>
      <c r="X71" s="242" t="str">
        <f t="shared" si="21"/>
        <v>AIF341</v>
      </c>
    </row>
    <row r="72" spans="2:26" ht="15.75" x14ac:dyDescent="0.25">
      <c r="B72" s="208">
        <v>69</v>
      </c>
      <c r="C72" s="348"/>
      <c r="D72" s="14">
        <v>7</v>
      </c>
      <c r="E72" s="17" t="s">
        <v>138</v>
      </c>
      <c r="F72" s="14">
        <v>3</v>
      </c>
      <c r="G72" s="116" t="str">
        <f t="shared" si="22"/>
        <v>AIF343-3</v>
      </c>
      <c r="H72" s="14" t="s">
        <v>282</v>
      </c>
      <c r="I72" s="15" t="s">
        <v>358</v>
      </c>
      <c r="J72" s="14" t="e">
        <f>VLOOKUP(G72,'Data Akademik'!$A$14:$D$315,3,FALSE)</f>
        <v>#N/A</v>
      </c>
      <c r="K72" s="14" t="e">
        <f>VLOOKUP(G72,'Data Akademik'!$E$14:$H$315,3,FALSE)</f>
        <v>#N/A</v>
      </c>
      <c r="L72" s="14">
        <f>VLOOKUP(G72,'Data Akademik'!$O$15:$Q$315,3,FALSE)</f>
        <v>0</v>
      </c>
      <c r="M72" s="14" t="str">
        <f t="shared" si="26"/>
        <v/>
      </c>
      <c r="N72" s="14" t="str">
        <f t="shared" si="27"/>
        <v/>
      </c>
      <c r="O72" s="204" t="str">
        <f t="shared" si="23"/>
        <v/>
      </c>
      <c r="P72" s="117" t="str">
        <f t="shared" ca="1" si="24"/>
        <v/>
      </c>
      <c r="Q72" s="242">
        <v>3000</v>
      </c>
      <c r="R72" s="242">
        <f t="shared" si="18"/>
        <v>0</v>
      </c>
      <c r="S72" s="242">
        <f>IF(ISBLANK(O72),-1,VLOOKUP(O72,'Nilai Kurikulum 2013'!$B$178:$C$183,2,FALSE))</f>
        <v>-1</v>
      </c>
      <c r="T72" s="242">
        <f ca="1">IF(AND(ISNA(MATCH(E72,'Hapus MK'!$N$13:$N$32,0)),ISNA(MATCH(E72,'Hapus MK'!$Q$13:$Q$30,0)))=TRUE,S72,-1)</f>
        <v>-1</v>
      </c>
      <c r="U72" s="242">
        <f t="shared" si="28"/>
        <v>0</v>
      </c>
      <c r="V72" s="242">
        <f t="shared" ca="1" si="29"/>
        <v>0</v>
      </c>
      <c r="W72" s="242">
        <f t="shared" ca="1" si="25"/>
        <v>0</v>
      </c>
      <c r="X72" s="242" t="str">
        <f t="shared" si="21"/>
        <v/>
      </c>
    </row>
    <row r="73" spans="2:26" ht="15.75" x14ac:dyDescent="0.25">
      <c r="B73" s="208">
        <v>70</v>
      </c>
      <c r="C73" s="348"/>
      <c r="D73" s="14">
        <v>8</v>
      </c>
      <c r="E73" s="17" t="s">
        <v>139</v>
      </c>
      <c r="F73" s="14">
        <v>2</v>
      </c>
      <c r="G73" s="116" t="str">
        <f t="shared" si="22"/>
        <v>AIF345-2</v>
      </c>
      <c r="H73" s="14" t="s">
        <v>282</v>
      </c>
      <c r="I73" s="15" t="s">
        <v>359</v>
      </c>
      <c r="J73" s="14" t="e">
        <f>VLOOKUP(G73,'Data Akademik'!$A$14:$D$315,3,FALSE)</f>
        <v>#N/A</v>
      </c>
      <c r="K73" s="14" t="e">
        <f>VLOOKUP(G73,'Data Akademik'!$E$14:$H$315,3,FALSE)</f>
        <v>#N/A</v>
      </c>
      <c r="L73" s="14">
        <f>VLOOKUP(G73,'Data Akademik'!$O$15:$Q$315,3,FALSE)</f>
        <v>0</v>
      </c>
      <c r="M73" s="14" t="str">
        <f t="shared" si="26"/>
        <v/>
      </c>
      <c r="N73" s="14" t="str">
        <f t="shared" si="27"/>
        <v/>
      </c>
      <c r="O73" s="204" t="str">
        <f t="shared" si="23"/>
        <v/>
      </c>
      <c r="P73" s="117" t="str">
        <f t="shared" ca="1" si="24"/>
        <v/>
      </c>
      <c r="Q73" s="242">
        <v>3000</v>
      </c>
      <c r="R73" s="242">
        <f t="shared" si="18"/>
        <v>0</v>
      </c>
      <c r="S73" s="242">
        <f>IF(ISBLANK(O73),-1,VLOOKUP(O73,'Nilai Kurikulum 2013'!$B$178:$C$183,2,FALSE))</f>
        <v>-1</v>
      </c>
      <c r="T73" s="242">
        <f ca="1">IF(AND(ISNA(MATCH(E73,'Hapus MK'!$N$13:$N$32,0)),ISNA(MATCH(E73,'Hapus MK'!$Q$13:$Q$30,0)))=TRUE,S73,-1)</f>
        <v>-1</v>
      </c>
      <c r="U73" s="242">
        <f t="shared" si="28"/>
        <v>0</v>
      </c>
      <c r="V73" s="242">
        <f t="shared" ca="1" si="29"/>
        <v>0</v>
      </c>
      <c r="W73" s="242">
        <f t="shared" ca="1" si="25"/>
        <v>0</v>
      </c>
      <c r="X73" s="242" t="str">
        <f t="shared" si="21"/>
        <v/>
      </c>
    </row>
    <row r="74" spans="2:26" ht="15.75" x14ac:dyDescent="0.25">
      <c r="B74" s="208">
        <v>71</v>
      </c>
      <c r="C74" s="348"/>
      <c r="D74" s="14">
        <v>9</v>
      </c>
      <c r="E74" s="17" t="s">
        <v>140</v>
      </c>
      <c r="F74" s="14">
        <v>2</v>
      </c>
      <c r="G74" s="116" t="str">
        <f t="shared" si="22"/>
        <v>AIF347-2</v>
      </c>
      <c r="H74" s="14" t="s">
        <v>282</v>
      </c>
      <c r="I74" s="15" t="s">
        <v>360</v>
      </c>
      <c r="J74" s="14" t="e">
        <f>VLOOKUP(G74,'Data Akademik'!$A$14:$D$315,3,FALSE)</f>
        <v>#N/A</v>
      </c>
      <c r="K74" s="14" t="e">
        <f>VLOOKUP(G74,'Data Akademik'!$E$14:$H$315,3,FALSE)</f>
        <v>#N/A</v>
      </c>
      <c r="L74" s="14">
        <f>VLOOKUP(G74,'Data Akademik'!$O$15:$Q$315,3,FALSE)</f>
        <v>0</v>
      </c>
      <c r="M74" s="14" t="str">
        <f t="shared" si="26"/>
        <v/>
      </c>
      <c r="N74" s="14" t="str">
        <f t="shared" si="27"/>
        <v/>
      </c>
      <c r="O74" s="204" t="str">
        <f t="shared" si="23"/>
        <v/>
      </c>
      <c r="P74" s="117" t="str">
        <f t="shared" ca="1" si="24"/>
        <v/>
      </c>
      <c r="Q74" s="242">
        <v>3000</v>
      </c>
      <c r="R74" s="242">
        <f t="shared" si="18"/>
        <v>0</v>
      </c>
      <c r="S74" s="242">
        <f>IF(ISBLANK(O74),-1,VLOOKUP(O74,'Nilai Kurikulum 2013'!$B$178:$C$183,2,FALSE))</f>
        <v>-1</v>
      </c>
      <c r="T74" s="242">
        <f ca="1">IF(AND(ISNA(MATCH(E74,'Hapus MK'!$N$13:$N$32,0)),ISNA(MATCH(E74,'Hapus MK'!$Q$13:$Q$30,0)))=TRUE,S74,-1)</f>
        <v>-1</v>
      </c>
      <c r="U74" s="242">
        <f t="shared" si="28"/>
        <v>0</v>
      </c>
      <c r="V74" s="242">
        <f t="shared" ca="1" si="29"/>
        <v>0</v>
      </c>
      <c r="W74" s="242">
        <f t="shared" ca="1" si="25"/>
        <v>0</v>
      </c>
      <c r="X74" s="242" t="str">
        <f t="shared" si="21"/>
        <v/>
      </c>
    </row>
    <row r="75" spans="2:26" ht="15.75" x14ac:dyDescent="0.25">
      <c r="B75" s="208">
        <v>72</v>
      </c>
      <c r="C75" s="348"/>
      <c r="D75" s="14">
        <v>10</v>
      </c>
      <c r="E75" s="15" t="s">
        <v>141</v>
      </c>
      <c r="F75" s="14">
        <v>2</v>
      </c>
      <c r="G75" s="116" t="str">
        <f t="shared" si="22"/>
        <v>AIF381-2</v>
      </c>
      <c r="H75" s="14" t="s">
        <v>282</v>
      </c>
      <c r="I75" s="17" t="s">
        <v>361</v>
      </c>
      <c r="J75" s="14" t="e">
        <f>VLOOKUP(G75,'Data Akademik'!$A$14:$D$315,3,FALSE)</f>
        <v>#N/A</v>
      </c>
      <c r="K75" s="14" t="e">
        <f>VLOOKUP(G75,'Data Akademik'!$E$14:$H$315,3,FALSE)</f>
        <v>#N/A</v>
      </c>
      <c r="L75" s="14">
        <f>VLOOKUP(G75,'Data Akademik'!$O$15:$Q$315,3,FALSE)</f>
        <v>0</v>
      </c>
      <c r="M75" s="14" t="str">
        <f t="shared" si="26"/>
        <v/>
      </c>
      <c r="N75" s="14" t="str">
        <f t="shared" si="27"/>
        <v/>
      </c>
      <c r="O75" s="205" t="str">
        <f t="shared" si="23"/>
        <v/>
      </c>
      <c r="P75" s="122" t="str">
        <f t="shared" ca="1" si="24"/>
        <v/>
      </c>
      <c r="Q75" s="242">
        <v>3000</v>
      </c>
      <c r="R75" s="242">
        <f t="shared" si="18"/>
        <v>0</v>
      </c>
      <c r="S75" s="242">
        <f>IF(ISBLANK(O75),-1,VLOOKUP(O75,'Nilai Kurikulum 2013'!$B$178:$C$183,2,FALSE))</f>
        <v>-1</v>
      </c>
      <c r="T75" s="242">
        <f ca="1">IF(AND(ISNA(MATCH(E75,'Hapus MK'!$N$13:$N$32,0)),ISNA(MATCH(E75,'Hapus MK'!$Q$13:$Q$30,0)))=TRUE,S75,-1)</f>
        <v>-1</v>
      </c>
      <c r="U75" s="242">
        <f t="shared" si="28"/>
        <v>0</v>
      </c>
      <c r="V75" s="242">
        <f t="shared" ca="1" si="29"/>
        <v>0</v>
      </c>
      <c r="W75" s="242">
        <f t="shared" ca="1" si="25"/>
        <v>0</v>
      </c>
      <c r="X75" s="242" t="str">
        <f t="shared" si="21"/>
        <v/>
      </c>
    </row>
    <row r="76" spans="2:26" ht="15.75" x14ac:dyDescent="0.25">
      <c r="B76" s="208">
        <v>73</v>
      </c>
      <c r="C76" s="348"/>
      <c r="D76" s="14">
        <v>11</v>
      </c>
      <c r="E76" s="17" t="s">
        <v>142</v>
      </c>
      <c r="F76" s="14">
        <v>1</v>
      </c>
      <c r="G76" s="116" t="str">
        <f t="shared" si="22"/>
        <v>AIF383-1</v>
      </c>
      <c r="H76" s="14" t="s">
        <v>282</v>
      </c>
      <c r="I76" s="15" t="s">
        <v>362</v>
      </c>
      <c r="J76" s="14" t="e">
        <f>VLOOKUP(G76,'Data Akademik'!$A$14:$D$315,3,FALSE)</f>
        <v>#N/A</v>
      </c>
      <c r="K76" s="14" t="e">
        <f>VLOOKUP(G76,'Data Akademik'!$E$14:$H$315,3,FALSE)</f>
        <v>#N/A</v>
      </c>
      <c r="L76" s="14">
        <f>VLOOKUP(G76,'Data Akademik'!$O$15:$Q$315,3,FALSE)</f>
        <v>0</v>
      </c>
      <c r="M76" s="14" t="str">
        <f t="shared" si="26"/>
        <v/>
      </c>
      <c r="N76" s="14" t="str">
        <f t="shared" si="27"/>
        <v/>
      </c>
      <c r="O76" s="204" t="str">
        <f t="shared" si="23"/>
        <v/>
      </c>
      <c r="P76" s="117" t="str">
        <f t="shared" ca="1" si="24"/>
        <v/>
      </c>
      <c r="Q76" s="242">
        <v>3000</v>
      </c>
      <c r="R76" s="242">
        <f t="shared" si="18"/>
        <v>0</v>
      </c>
      <c r="S76" s="242">
        <f>IF(ISBLANK(O76),-1,VLOOKUP(O76,'Nilai Kurikulum 2013'!$B$178:$C$183,2,FALSE))</f>
        <v>-1</v>
      </c>
      <c r="T76" s="242">
        <f ca="1">IF(AND(ISNA(MATCH(E76,'Hapus MK'!$N$13:$N$32,0)),ISNA(MATCH(E76,'Hapus MK'!$Q$13:$Q$30,0)))=TRUE,S76,-1)</f>
        <v>-1</v>
      </c>
      <c r="U76" s="242">
        <f t="shared" si="28"/>
        <v>0</v>
      </c>
      <c r="V76" s="242">
        <f t="shared" ca="1" si="29"/>
        <v>0</v>
      </c>
      <c r="W76" s="242">
        <f t="shared" ca="1" si="25"/>
        <v>0</v>
      </c>
      <c r="X76" s="242" t="str">
        <f t="shared" si="21"/>
        <v/>
      </c>
    </row>
    <row r="77" spans="2:26" ht="15.75" x14ac:dyDescent="0.25">
      <c r="B77" s="208">
        <v>74</v>
      </c>
      <c r="C77" s="348"/>
      <c r="D77" s="14">
        <v>12</v>
      </c>
      <c r="E77" s="17" t="s">
        <v>143</v>
      </c>
      <c r="F77" s="14">
        <v>1</v>
      </c>
      <c r="G77" s="116" t="str">
        <f t="shared" si="22"/>
        <v>AIF385-1</v>
      </c>
      <c r="H77" s="14" t="s">
        <v>282</v>
      </c>
      <c r="I77" s="15" t="s">
        <v>363</v>
      </c>
      <c r="J77" s="14" t="e">
        <f>VLOOKUP(G77,'Data Akademik'!$A$14:$D$315,3,FALSE)</f>
        <v>#N/A</v>
      </c>
      <c r="K77" s="14" t="e">
        <f>VLOOKUP(G77,'Data Akademik'!$E$14:$H$315,3,FALSE)</f>
        <v>#N/A</v>
      </c>
      <c r="L77" s="14">
        <f>VLOOKUP(G77,'Data Akademik'!$O$15:$Q$315,3,FALSE)</f>
        <v>0</v>
      </c>
      <c r="M77" s="14" t="str">
        <f t="shared" si="26"/>
        <v/>
      </c>
      <c r="N77" s="14" t="str">
        <f t="shared" si="27"/>
        <v/>
      </c>
      <c r="O77" s="204" t="str">
        <f t="shared" si="23"/>
        <v/>
      </c>
      <c r="P77" s="117" t="str">
        <f t="shared" ca="1" si="24"/>
        <v/>
      </c>
      <c r="Q77" s="242">
        <v>3000</v>
      </c>
      <c r="R77" s="242">
        <f t="shared" si="18"/>
        <v>0</v>
      </c>
      <c r="S77" s="242">
        <f>IF(ISBLANK(O77),-1,VLOOKUP(O77,'Nilai Kurikulum 2013'!$B$178:$C$183,2,FALSE))</f>
        <v>-1</v>
      </c>
      <c r="T77" s="242">
        <f ca="1">IF(AND(ISNA(MATCH(E77,'Hapus MK'!$N$13:$N$32,0)),ISNA(MATCH(E77,'Hapus MK'!$Q$13:$Q$30,0)))=TRUE,S77,-1)</f>
        <v>-1</v>
      </c>
      <c r="U77" s="242">
        <f t="shared" si="28"/>
        <v>0</v>
      </c>
      <c r="V77" s="242">
        <f t="shared" ca="1" si="29"/>
        <v>0</v>
      </c>
      <c r="W77" s="242">
        <f t="shared" ca="1" si="25"/>
        <v>0</v>
      </c>
      <c r="X77" s="242" t="str">
        <f t="shared" si="21"/>
        <v/>
      </c>
    </row>
    <row r="78" spans="2:26" ht="15.75" x14ac:dyDescent="0.25">
      <c r="B78" s="208">
        <v>75</v>
      </c>
      <c r="C78" s="348"/>
      <c r="D78" s="14">
        <v>13</v>
      </c>
      <c r="E78" s="15" t="s">
        <v>144</v>
      </c>
      <c r="F78" s="14">
        <v>3</v>
      </c>
      <c r="G78" s="116" t="str">
        <f t="shared" si="22"/>
        <v>AIF387-3</v>
      </c>
      <c r="H78" s="14" t="s">
        <v>282</v>
      </c>
      <c r="I78" s="15" t="s">
        <v>364</v>
      </c>
      <c r="J78" s="14" t="e">
        <f>VLOOKUP(G78,'Data Akademik'!$A$14:$D$315,3,FALSE)</f>
        <v>#N/A</v>
      </c>
      <c r="K78" s="14" t="e">
        <f>VLOOKUP(G78,'Data Akademik'!$E$14:$H$315,3,FALSE)</f>
        <v>#N/A</v>
      </c>
      <c r="L78" s="14">
        <f>VLOOKUP(G78,'Data Akademik'!$O$15:$Q$315,3,FALSE)</f>
        <v>0</v>
      </c>
      <c r="M78" s="14" t="str">
        <f t="shared" si="26"/>
        <v/>
      </c>
      <c r="N78" s="14" t="str">
        <f t="shared" si="27"/>
        <v/>
      </c>
      <c r="O78" s="204" t="str">
        <f t="shared" si="23"/>
        <v/>
      </c>
      <c r="P78" s="122" t="str">
        <f t="shared" ca="1" si="24"/>
        <v/>
      </c>
      <c r="Q78" s="242">
        <v>3000</v>
      </c>
      <c r="R78" s="242">
        <f t="shared" si="18"/>
        <v>0</v>
      </c>
      <c r="S78" s="242">
        <f>IF(ISBLANK(O78),-1,VLOOKUP(O78,'Nilai Kurikulum 2013'!$B$178:$C$183,2,FALSE))</f>
        <v>-1</v>
      </c>
      <c r="T78" s="242">
        <f ca="1">IF(AND(ISNA(MATCH(E78,'Hapus MK'!$N$13:$N$32,0)),ISNA(MATCH(E78,'Hapus MK'!$Q$13:$Q$30,0)))=TRUE,S78,-1)</f>
        <v>-1</v>
      </c>
      <c r="U78" s="242">
        <f t="shared" si="28"/>
        <v>0</v>
      </c>
      <c r="V78" s="242">
        <f t="shared" ca="1" si="29"/>
        <v>0</v>
      </c>
      <c r="W78" s="242">
        <f t="shared" ca="1" si="25"/>
        <v>0</v>
      </c>
      <c r="X78" s="242" t="str">
        <f t="shared" si="21"/>
        <v/>
      </c>
    </row>
    <row r="79" spans="2:26" ht="15.75" x14ac:dyDescent="0.25">
      <c r="B79" s="285"/>
      <c r="C79" s="348"/>
      <c r="D79" s="14">
        <v>14</v>
      </c>
      <c r="E79" s="15" t="s">
        <v>610</v>
      </c>
      <c r="F79" s="14">
        <v>2</v>
      </c>
      <c r="G79" s="116" t="str">
        <f t="shared" si="22"/>
        <v>AIF351-2</v>
      </c>
      <c r="H79" s="14"/>
      <c r="I79" s="15" t="s">
        <v>611</v>
      </c>
      <c r="J79" s="14" t="e">
        <f>VLOOKUP(G79,'Data Akademik'!$A$14:$D$315,3,FALSE)</f>
        <v>#N/A</v>
      </c>
      <c r="K79" s="14" t="e">
        <f>VLOOKUP(G79,'Data Akademik'!$E$14:$H$315,3,FALSE)</f>
        <v>#N/A</v>
      </c>
      <c r="L79" s="14">
        <f>VLOOKUP(G79,'Data Akademik'!$O$15:$Q$315,3,FALSE)</f>
        <v>0</v>
      </c>
      <c r="M79" s="14" t="str">
        <f t="shared" ref="M79" si="30">IF(L79&lt;&gt;0,L79,IF(ISNA(J79),IF(ISNA(K79),"",K79),J79))</f>
        <v/>
      </c>
      <c r="N79" s="14" t="str">
        <f t="shared" ref="N79" si="31">IF(ISERR(FIND("A",M79)),IF(ISERR(FIND("B",M79)),IF(ISERR(FIND("C",M79)),IF(ISERR(FIND("D",M79)),IF(ISERR(FIND("E",M79)),"","E"),"D"),"C"),"B"),"A")</f>
        <v/>
      </c>
      <c r="O79" s="204" t="str">
        <f t="shared" ref="O79" si="32">N79</f>
        <v/>
      </c>
      <c r="P79" s="122" t="str">
        <f t="shared" ca="1" si="24"/>
        <v/>
      </c>
      <c r="Q79" s="284">
        <v>3000</v>
      </c>
      <c r="R79" s="284">
        <f t="shared" ref="R79" si="33">IF($O$1&gt;=Q79,F79,0)</f>
        <v>0</v>
      </c>
      <c r="S79" s="284">
        <f>IF(ISBLANK(O79),-1,VLOOKUP(O79,'Nilai Kurikulum 2013'!$B$178:$C$183,2,FALSE))</f>
        <v>-1</v>
      </c>
      <c r="T79" s="284">
        <f ca="1">IF(AND(ISNA(MATCH(E79,'Hapus MK'!$N$13:$N$32,0)),ISNA(MATCH(E79,'Hapus MK'!$Q$13:$Q$30,0)))=TRUE,S79,-1)</f>
        <v>-1</v>
      </c>
      <c r="U79" s="284">
        <f t="shared" ref="U79" si="34">IF(S79&gt;0,F79,0)</f>
        <v>0</v>
      </c>
      <c r="V79" s="284">
        <f t="shared" ref="V79" ca="1" si="35">IF(T79&gt;0,F79,0)</f>
        <v>0</v>
      </c>
      <c r="W79" s="284">
        <f t="shared" ref="W79" ca="1" si="36">IF(AND(Q79&lt;=$O$1,T79&gt;0),1,0)</f>
        <v>0</v>
      </c>
      <c r="X79" s="284" t="str">
        <f t="shared" ref="X79" si="37">IF(U79&gt;0,E79,"")</f>
        <v/>
      </c>
      <c r="Y79" s="284"/>
      <c r="Z79" s="284"/>
    </row>
    <row r="80" spans="2:26" ht="16.5" thickBot="1" x14ac:dyDescent="0.3">
      <c r="B80" s="209">
        <v>76</v>
      </c>
      <c r="C80" s="348"/>
      <c r="D80" s="14">
        <v>15</v>
      </c>
      <c r="E80" s="17" t="s">
        <v>145</v>
      </c>
      <c r="F80" s="14">
        <v>2</v>
      </c>
      <c r="G80" s="116" t="str">
        <f t="shared" si="22"/>
        <v>AIF389-2</v>
      </c>
      <c r="H80" s="14" t="s">
        <v>282</v>
      </c>
      <c r="I80" s="15" t="s">
        <v>365</v>
      </c>
      <c r="J80" s="14" t="e">
        <f>VLOOKUP(G80,'Data Akademik'!$A$14:$D$315,3,FALSE)</f>
        <v>#N/A</v>
      </c>
      <c r="K80" s="14" t="e">
        <f>VLOOKUP(G80,'Data Akademik'!$E$14:$H$315,3,FALSE)</f>
        <v>#N/A</v>
      </c>
      <c r="L80" s="14">
        <f>VLOOKUP(G80,'Data Akademik'!$O$15:$Q$315,3,FALSE)</f>
        <v>0</v>
      </c>
      <c r="M80" s="14" t="str">
        <f t="shared" si="26"/>
        <v/>
      </c>
      <c r="N80" s="14" t="str">
        <f t="shared" si="27"/>
        <v/>
      </c>
      <c r="O80" s="205" t="str">
        <f t="shared" si="23"/>
        <v/>
      </c>
      <c r="P80" s="117" t="str">
        <f t="shared" ca="1" si="24"/>
        <v/>
      </c>
      <c r="Q80" s="242">
        <v>3000</v>
      </c>
      <c r="R80" s="242">
        <f t="shared" si="18"/>
        <v>0</v>
      </c>
      <c r="S80" s="242">
        <f>IF(ISBLANK(O80),-1,VLOOKUP(O80,'Nilai Kurikulum 2013'!$B$178:$C$183,2,FALSE))</f>
        <v>-1</v>
      </c>
      <c r="T80" s="242">
        <f ca="1">IF(AND(ISNA(MATCH(E80,'Hapus MK'!$N$13:$N$32,0)),ISNA(MATCH(E80,'Hapus MK'!$Q$13:$Q$30,0)))=TRUE,S80,-1)</f>
        <v>-1</v>
      </c>
      <c r="U80" s="242">
        <f t="shared" si="28"/>
        <v>0</v>
      </c>
      <c r="V80" s="242">
        <f t="shared" ca="1" si="29"/>
        <v>0</v>
      </c>
      <c r="W80" s="242">
        <f t="shared" ca="1" si="25"/>
        <v>0</v>
      </c>
      <c r="X80" s="242" t="str">
        <f t="shared" si="21"/>
        <v/>
      </c>
    </row>
    <row r="81" spans="2:24" ht="16.5" thickTop="1" x14ac:dyDescent="0.25">
      <c r="B81" s="207">
        <v>77</v>
      </c>
      <c r="C81" s="348">
        <v>6</v>
      </c>
      <c r="D81" s="14">
        <v>1</v>
      </c>
      <c r="E81" s="17" t="s">
        <v>146</v>
      </c>
      <c r="F81" s="14">
        <v>2</v>
      </c>
      <c r="G81" s="116" t="str">
        <f t="shared" si="22"/>
        <v>AIF330-2</v>
      </c>
      <c r="H81" s="14" t="s">
        <v>282</v>
      </c>
      <c r="I81" s="15" t="s">
        <v>366</v>
      </c>
      <c r="J81" s="14" t="e">
        <f>VLOOKUP(G81,'Data Akademik'!$A$14:$D$315,3,FALSE)</f>
        <v>#N/A</v>
      </c>
      <c r="K81" s="14" t="e">
        <f>VLOOKUP(G81,'Data Akademik'!$E$14:$H$315,3,FALSE)</f>
        <v>#N/A</v>
      </c>
      <c r="L81" s="14">
        <f>VLOOKUP(G81,'Data Akademik'!$O$15:$Q$315,3,FALSE)</f>
        <v>0</v>
      </c>
      <c r="M81" s="14" t="str">
        <f t="shared" si="26"/>
        <v/>
      </c>
      <c r="N81" s="14" t="str">
        <f t="shared" si="27"/>
        <v/>
      </c>
      <c r="O81" s="204" t="str">
        <f t="shared" si="23"/>
        <v/>
      </c>
      <c r="P81" s="117" t="str">
        <f t="shared" ca="1" si="24"/>
        <v/>
      </c>
      <c r="Q81" s="242">
        <v>3000</v>
      </c>
      <c r="R81" s="242">
        <f t="shared" si="18"/>
        <v>0</v>
      </c>
      <c r="S81" s="242">
        <f>IF(ISBLANK(O81),-1,VLOOKUP(O81,'Nilai Kurikulum 2013'!$B$178:$C$183,2,FALSE))</f>
        <v>-1</v>
      </c>
      <c r="T81" s="242">
        <f ca="1">IF(AND(ISNA(MATCH(E81,'Hapus MK'!$N$13:$N$32,0)),ISNA(MATCH(E81,'Hapus MK'!$Q$13:$Q$30,0)))=TRUE,S81,-1)</f>
        <v>-1</v>
      </c>
      <c r="U81" s="242">
        <f t="shared" si="28"/>
        <v>0</v>
      </c>
      <c r="V81" s="242">
        <f t="shared" ca="1" si="29"/>
        <v>0</v>
      </c>
      <c r="W81" s="242">
        <f t="shared" ca="1" si="25"/>
        <v>0</v>
      </c>
      <c r="X81" s="242" t="str">
        <f t="shared" si="21"/>
        <v/>
      </c>
    </row>
    <row r="82" spans="2:24" ht="15.75" x14ac:dyDescent="0.25">
      <c r="B82" s="208">
        <v>78</v>
      </c>
      <c r="C82" s="348"/>
      <c r="D82" s="14">
        <v>2</v>
      </c>
      <c r="E82" s="17" t="s">
        <v>147</v>
      </c>
      <c r="F82" s="14">
        <v>3</v>
      </c>
      <c r="G82" s="116" t="str">
        <f t="shared" si="22"/>
        <v>AIF332-3</v>
      </c>
      <c r="H82" s="14" t="s">
        <v>282</v>
      </c>
      <c r="I82" s="15" t="s">
        <v>367</v>
      </c>
      <c r="J82" s="14" t="e">
        <f>VLOOKUP(G82,'Data Akademik'!$A$14:$D$315,3,FALSE)</f>
        <v>#N/A</v>
      </c>
      <c r="K82" s="14" t="e">
        <f>VLOOKUP(G82,'Data Akademik'!$E$14:$H$315,3,FALSE)</f>
        <v>#N/A</v>
      </c>
      <c r="L82" s="14">
        <f>VLOOKUP(G82,'Data Akademik'!$O$15:$Q$315,3,FALSE)</f>
        <v>0</v>
      </c>
      <c r="M82" s="14" t="str">
        <f t="shared" si="26"/>
        <v/>
      </c>
      <c r="N82" s="14" t="str">
        <f t="shared" si="27"/>
        <v/>
      </c>
      <c r="O82" s="204" t="str">
        <f t="shared" si="23"/>
        <v/>
      </c>
      <c r="P82" s="117" t="str">
        <f t="shared" ca="1" si="24"/>
        <v/>
      </c>
      <c r="Q82" s="242">
        <v>3000</v>
      </c>
      <c r="R82" s="242">
        <f t="shared" si="18"/>
        <v>0</v>
      </c>
      <c r="S82" s="242">
        <f>IF(ISBLANK(O82),-1,VLOOKUP(O82,'Nilai Kurikulum 2013'!$B$178:$C$183,2,FALSE))</f>
        <v>-1</v>
      </c>
      <c r="T82" s="242">
        <f ca="1">IF(AND(ISNA(MATCH(E82,'Hapus MK'!$N$13:$N$32,0)),ISNA(MATCH(E82,'Hapus MK'!$Q$13:$Q$30,0)))=TRUE,S82,-1)</f>
        <v>-1</v>
      </c>
      <c r="U82" s="242">
        <f t="shared" si="28"/>
        <v>0</v>
      </c>
      <c r="V82" s="242">
        <f t="shared" ca="1" si="29"/>
        <v>0</v>
      </c>
      <c r="W82" s="242">
        <f t="shared" ca="1" si="25"/>
        <v>0</v>
      </c>
      <c r="X82" s="242" t="str">
        <f t="shared" si="21"/>
        <v/>
      </c>
    </row>
    <row r="83" spans="2:24" ht="15.75" x14ac:dyDescent="0.25">
      <c r="B83" s="208">
        <v>79</v>
      </c>
      <c r="C83" s="348"/>
      <c r="D83" s="14">
        <v>3</v>
      </c>
      <c r="E83" s="17" t="s">
        <v>148</v>
      </c>
      <c r="F83" s="14">
        <v>3</v>
      </c>
      <c r="G83" s="116" t="str">
        <f t="shared" si="22"/>
        <v>AIF334-3</v>
      </c>
      <c r="H83" s="14" t="s">
        <v>282</v>
      </c>
      <c r="I83" s="15" t="s">
        <v>368</v>
      </c>
      <c r="J83" s="14" t="e">
        <f>VLOOKUP(G83,'Data Akademik'!$A$14:$D$315,3,FALSE)</f>
        <v>#N/A</v>
      </c>
      <c r="K83" s="14" t="e">
        <f>VLOOKUP(G83,'Data Akademik'!$E$14:$H$315,3,FALSE)</f>
        <v>#N/A</v>
      </c>
      <c r="L83" s="14">
        <f>VLOOKUP(G83,'Data Akademik'!$O$15:$Q$315,3,FALSE)</f>
        <v>0</v>
      </c>
      <c r="M83" s="14" t="str">
        <f t="shared" si="26"/>
        <v/>
      </c>
      <c r="N83" s="14" t="str">
        <f t="shared" si="27"/>
        <v/>
      </c>
      <c r="O83" s="204" t="str">
        <f t="shared" si="23"/>
        <v/>
      </c>
      <c r="P83" s="117" t="str">
        <f t="shared" ca="1" si="24"/>
        <v/>
      </c>
      <c r="Q83" s="242">
        <v>3000</v>
      </c>
      <c r="R83" s="242">
        <f t="shared" si="18"/>
        <v>0</v>
      </c>
      <c r="S83" s="242">
        <f>IF(ISBLANK(O83),-1,VLOOKUP(O83,'Nilai Kurikulum 2013'!$B$178:$C$183,2,FALSE))</f>
        <v>-1</v>
      </c>
      <c r="T83" s="242">
        <f ca="1">IF(AND(ISNA(MATCH(E83,'Hapus MK'!$N$13:$N$32,0)),ISNA(MATCH(E83,'Hapus MK'!$Q$13:$Q$30,0)))=TRUE,S83,-1)</f>
        <v>-1</v>
      </c>
      <c r="U83" s="242">
        <f t="shared" si="28"/>
        <v>0</v>
      </c>
      <c r="V83" s="242">
        <f t="shared" ca="1" si="29"/>
        <v>0</v>
      </c>
      <c r="W83" s="242">
        <f t="shared" ca="1" si="25"/>
        <v>0</v>
      </c>
      <c r="X83" s="242" t="str">
        <f t="shared" si="21"/>
        <v/>
      </c>
    </row>
    <row r="84" spans="2:24" ht="15.75" x14ac:dyDescent="0.25">
      <c r="B84" s="208">
        <v>80</v>
      </c>
      <c r="C84" s="348"/>
      <c r="D84" s="14">
        <v>4</v>
      </c>
      <c r="E84" s="17" t="s">
        <v>149</v>
      </c>
      <c r="F84" s="14">
        <v>3</v>
      </c>
      <c r="G84" s="116" t="str">
        <f t="shared" si="22"/>
        <v>AIF336-3</v>
      </c>
      <c r="H84" s="14" t="s">
        <v>282</v>
      </c>
      <c r="I84" s="15" t="s">
        <v>369</v>
      </c>
      <c r="J84" s="14" t="e">
        <f>VLOOKUP(G84,'Data Akademik'!$A$14:$D$315,3,FALSE)</f>
        <v>#N/A</v>
      </c>
      <c r="K84" s="14" t="e">
        <f>VLOOKUP(G84,'Data Akademik'!$E$14:$H$315,3,FALSE)</f>
        <v>#N/A</v>
      </c>
      <c r="L84" s="14">
        <f>VLOOKUP(G84,'Data Akademik'!$O$15:$Q$315,3,FALSE)</f>
        <v>0</v>
      </c>
      <c r="M84" s="14" t="str">
        <f t="shared" si="26"/>
        <v/>
      </c>
      <c r="N84" s="14" t="str">
        <f t="shared" si="27"/>
        <v/>
      </c>
      <c r="O84" s="204" t="str">
        <f t="shared" si="23"/>
        <v/>
      </c>
      <c r="P84" s="117" t="str">
        <f t="shared" ca="1" si="24"/>
        <v/>
      </c>
      <c r="Q84" s="242">
        <v>3000</v>
      </c>
      <c r="R84" s="242">
        <f t="shared" si="18"/>
        <v>0</v>
      </c>
      <c r="S84" s="242">
        <f>IF(ISBLANK(O84),-1,VLOOKUP(O84,'Nilai Kurikulum 2013'!$B$178:$C$183,2,FALSE))</f>
        <v>-1</v>
      </c>
      <c r="T84" s="242">
        <f ca="1">IF(AND(ISNA(MATCH(E84,'Hapus MK'!$N$13:$N$32,0)),ISNA(MATCH(E84,'Hapus MK'!$Q$13:$Q$30,0)))=TRUE,S84,-1)</f>
        <v>-1</v>
      </c>
      <c r="U84" s="242">
        <f t="shared" si="28"/>
        <v>0</v>
      </c>
      <c r="V84" s="242">
        <f t="shared" ca="1" si="29"/>
        <v>0</v>
      </c>
      <c r="W84" s="242">
        <f t="shared" ca="1" si="25"/>
        <v>0</v>
      </c>
      <c r="X84" s="242" t="str">
        <f t="shared" si="21"/>
        <v/>
      </c>
    </row>
    <row r="85" spans="2:24" ht="15.75" x14ac:dyDescent="0.25">
      <c r="B85" s="208">
        <v>81</v>
      </c>
      <c r="C85" s="348"/>
      <c r="D85" s="14">
        <v>5</v>
      </c>
      <c r="E85" s="17" t="s">
        <v>150</v>
      </c>
      <c r="F85" s="14">
        <v>3</v>
      </c>
      <c r="G85" s="116" t="str">
        <f t="shared" si="22"/>
        <v>AIF338-3</v>
      </c>
      <c r="H85" s="14" t="s">
        <v>282</v>
      </c>
      <c r="I85" s="15" t="s">
        <v>370</v>
      </c>
      <c r="J85" s="14" t="e">
        <f>VLOOKUP(G85,'Data Akademik'!$A$14:$D$315,3,FALSE)</f>
        <v>#N/A</v>
      </c>
      <c r="K85" s="14" t="e">
        <f>VLOOKUP(G85,'Data Akademik'!$E$14:$H$315,3,FALSE)</f>
        <v>#N/A</v>
      </c>
      <c r="L85" s="14">
        <f>VLOOKUP(G85,'Data Akademik'!$O$15:$Q$315,3,FALSE)</f>
        <v>0</v>
      </c>
      <c r="M85" s="14" t="str">
        <f t="shared" si="26"/>
        <v/>
      </c>
      <c r="N85" s="14" t="str">
        <f t="shared" si="27"/>
        <v/>
      </c>
      <c r="O85" s="204" t="str">
        <f t="shared" si="23"/>
        <v/>
      </c>
      <c r="P85" s="117" t="str">
        <f t="shared" ca="1" si="24"/>
        <v/>
      </c>
      <c r="Q85" s="242">
        <v>3000</v>
      </c>
      <c r="R85" s="242">
        <f t="shared" si="18"/>
        <v>0</v>
      </c>
      <c r="S85" s="242">
        <f>IF(ISBLANK(O85),-1,VLOOKUP(O85,'Nilai Kurikulum 2013'!$B$178:$C$183,2,FALSE))</f>
        <v>-1</v>
      </c>
      <c r="T85" s="242">
        <f ca="1">IF(AND(ISNA(MATCH(E85,'Hapus MK'!$N$13:$N$32,0)),ISNA(MATCH(E85,'Hapus MK'!$Q$13:$Q$30,0)))=TRUE,S85,-1)</f>
        <v>-1</v>
      </c>
      <c r="U85" s="242">
        <f t="shared" si="28"/>
        <v>0</v>
      </c>
      <c r="V85" s="242">
        <f t="shared" ca="1" si="29"/>
        <v>0</v>
      </c>
      <c r="W85" s="242">
        <f t="shared" ca="1" si="25"/>
        <v>0</v>
      </c>
      <c r="X85" s="242" t="str">
        <f t="shared" si="21"/>
        <v/>
      </c>
    </row>
    <row r="86" spans="2:24" ht="15.75" x14ac:dyDescent="0.25">
      <c r="B86" s="208">
        <v>82</v>
      </c>
      <c r="C86" s="348"/>
      <c r="D86" s="14">
        <v>6</v>
      </c>
      <c r="E86" s="17" t="s">
        <v>151</v>
      </c>
      <c r="F86" s="14">
        <v>3</v>
      </c>
      <c r="G86" s="116" t="str">
        <f t="shared" si="22"/>
        <v>AIF340-3</v>
      </c>
      <c r="H86" s="14" t="s">
        <v>282</v>
      </c>
      <c r="I86" s="15" t="s">
        <v>371</v>
      </c>
      <c r="J86" s="14" t="e">
        <f>VLOOKUP(G86,'Data Akademik'!$A$14:$D$315,3,FALSE)</f>
        <v>#N/A</v>
      </c>
      <c r="K86" s="14" t="e">
        <f>VLOOKUP(G86,'Data Akademik'!$E$14:$H$315,3,FALSE)</f>
        <v>#N/A</v>
      </c>
      <c r="L86" s="14">
        <f>VLOOKUP(G86,'Data Akademik'!$O$15:$Q$315,3,FALSE)</f>
        <v>0</v>
      </c>
      <c r="M86" s="14" t="str">
        <f t="shared" si="26"/>
        <v/>
      </c>
      <c r="N86" s="14" t="str">
        <f t="shared" si="27"/>
        <v/>
      </c>
      <c r="O86" s="204" t="str">
        <f t="shared" si="23"/>
        <v/>
      </c>
      <c r="P86" s="117" t="str">
        <f t="shared" ca="1" si="24"/>
        <v/>
      </c>
      <c r="Q86" s="242">
        <v>3000</v>
      </c>
      <c r="R86" s="242">
        <f t="shared" si="18"/>
        <v>0</v>
      </c>
      <c r="S86" s="242">
        <f>IF(ISBLANK(O86),-1,VLOOKUP(O86,'Nilai Kurikulum 2013'!$B$178:$C$183,2,FALSE))</f>
        <v>-1</v>
      </c>
      <c r="T86" s="242">
        <f ca="1">IF(AND(ISNA(MATCH(E86,'Hapus MK'!$N$13:$N$32,0)),ISNA(MATCH(E86,'Hapus MK'!$Q$13:$Q$30,0)))=TRUE,S86,-1)</f>
        <v>-1</v>
      </c>
      <c r="U86" s="242">
        <f t="shared" si="28"/>
        <v>0</v>
      </c>
      <c r="V86" s="242">
        <f t="shared" ca="1" si="29"/>
        <v>0</v>
      </c>
      <c r="W86" s="242">
        <f t="shared" ca="1" si="25"/>
        <v>0</v>
      </c>
      <c r="X86" s="242" t="str">
        <f t="shared" si="21"/>
        <v/>
      </c>
    </row>
    <row r="87" spans="2:24" ht="15.75" x14ac:dyDescent="0.25">
      <c r="B87" s="208">
        <v>83</v>
      </c>
      <c r="C87" s="348"/>
      <c r="D87" s="14">
        <v>7</v>
      </c>
      <c r="E87" s="17" t="s">
        <v>152</v>
      </c>
      <c r="F87" s="14">
        <v>3</v>
      </c>
      <c r="G87" s="116" t="str">
        <f t="shared" si="22"/>
        <v>AIF342-3</v>
      </c>
      <c r="H87" s="14" t="s">
        <v>282</v>
      </c>
      <c r="I87" s="15" t="s">
        <v>372</v>
      </c>
      <c r="J87" s="14" t="str">
        <f>VLOOKUP(G87,'Data Akademik'!$A$14:$D$315,3,FALSE)</f>
        <v>C</v>
      </c>
      <c r="K87" s="14" t="e">
        <f>VLOOKUP(G87,'Data Akademik'!$E$14:$H$315,3,FALSE)</f>
        <v>#N/A</v>
      </c>
      <c r="L87" s="14">
        <f>VLOOKUP(G87,'Data Akademik'!$O$15:$Q$315,3,FALSE)</f>
        <v>0</v>
      </c>
      <c r="M87" s="14" t="str">
        <f t="shared" si="26"/>
        <v>C</v>
      </c>
      <c r="N87" s="14" t="str">
        <f t="shared" si="27"/>
        <v>C</v>
      </c>
      <c r="O87" s="204" t="str">
        <f t="shared" si="23"/>
        <v>C</v>
      </c>
      <c r="P87" s="117" t="str">
        <f t="shared" ca="1" si="24"/>
        <v>C</v>
      </c>
      <c r="Q87" s="242">
        <v>3000</v>
      </c>
      <c r="R87" s="242">
        <f t="shared" si="18"/>
        <v>0</v>
      </c>
      <c r="S87" s="242">
        <f>IF(ISBLANK(O87),-1,VLOOKUP(O87,'Nilai Kurikulum 2013'!$B$178:$C$183,2,FALSE))</f>
        <v>2</v>
      </c>
      <c r="T87" s="242">
        <f ca="1">IF(AND(ISNA(MATCH(E87,'Hapus MK'!$N$13:$N$32,0)),ISNA(MATCH(E87,'Hapus MK'!$Q$13:$Q$30,0)))=TRUE,S87,-1)</f>
        <v>2</v>
      </c>
      <c r="U87" s="242">
        <f t="shared" si="28"/>
        <v>3</v>
      </c>
      <c r="V87" s="242">
        <f t="shared" ca="1" si="29"/>
        <v>3</v>
      </c>
      <c r="W87" s="242">
        <f t="shared" ca="1" si="25"/>
        <v>0</v>
      </c>
      <c r="X87" s="242" t="str">
        <f t="shared" si="21"/>
        <v>AIF342</v>
      </c>
    </row>
    <row r="88" spans="2:24" ht="15.75" x14ac:dyDescent="0.25">
      <c r="B88" s="208">
        <v>84</v>
      </c>
      <c r="C88" s="348"/>
      <c r="D88" s="14">
        <v>8</v>
      </c>
      <c r="E88" s="17" t="s">
        <v>153</v>
      </c>
      <c r="F88" s="14">
        <v>3</v>
      </c>
      <c r="G88" s="116" t="str">
        <f t="shared" si="22"/>
        <v>AIF344-3</v>
      </c>
      <c r="H88" s="14" t="s">
        <v>282</v>
      </c>
      <c r="I88" s="15" t="s">
        <v>373</v>
      </c>
      <c r="J88" s="14" t="str">
        <f>VLOOKUP(G88,'Data Akademik'!$A$14:$D$315,3,FALSE)</f>
        <v>A</v>
      </c>
      <c r="K88" s="14" t="e">
        <f>VLOOKUP(G88,'Data Akademik'!$E$14:$H$315,3,FALSE)</f>
        <v>#N/A</v>
      </c>
      <c r="L88" s="14">
        <f>VLOOKUP(G88,'Data Akademik'!$O$15:$Q$315,3,FALSE)</f>
        <v>0</v>
      </c>
      <c r="M88" s="14" t="str">
        <f t="shared" si="26"/>
        <v>A</v>
      </c>
      <c r="N88" s="14" t="str">
        <f t="shared" si="27"/>
        <v>A</v>
      </c>
      <c r="O88" s="204" t="str">
        <f t="shared" si="23"/>
        <v>A</v>
      </c>
      <c r="P88" s="117" t="str">
        <f t="shared" ca="1" si="24"/>
        <v>A</v>
      </c>
      <c r="Q88" s="242">
        <v>3000</v>
      </c>
      <c r="R88" s="242">
        <f t="shared" si="18"/>
        <v>0</v>
      </c>
      <c r="S88" s="242">
        <f>IF(ISBLANK(O88),-1,VLOOKUP(O88,'Nilai Kurikulum 2013'!$B$178:$C$183,2,FALSE))</f>
        <v>4</v>
      </c>
      <c r="T88" s="242">
        <f ca="1">IF(AND(ISNA(MATCH(E88,'Hapus MK'!$N$13:$N$32,0)),ISNA(MATCH(E88,'Hapus MK'!$Q$13:$Q$30,0)))=TRUE,S88,-1)</f>
        <v>4</v>
      </c>
      <c r="U88" s="242">
        <f t="shared" si="28"/>
        <v>3</v>
      </c>
      <c r="V88" s="242">
        <f t="shared" ca="1" si="29"/>
        <v>3</v>
      </c>
      <c r="W88" s="242">
        <f t="shared" ca="1" si="25"/>
        <v>0</v>
      </c>
      <c r="X88" s="242" t="str">
        <f t="shared" si="21"/>
        <v>AIF344</v>
      </c>
    </row>
    <row r="89" spans="2:24" ht="15.75" x14ac:dyDescent="0.25">
      <c r="B89" s="208">
        <v>85</v>
      </c>
      <c r="C89" s="348"/>
      <c r="D89" s="14">
        <v>9</v>
      </c>
      <c r="E89" s="17" t="s">
        <v>154</v>
      </c>
      <c r="F89" s="14">
        <v>3</v>
      </c>
      <c r="G89" s="116" t="str">
        <f t="shared" si="22"/>
        <v>AIF346-3</v>
      </c>
      <c r="H89" s="14" t="s">
        <v>282</v>
      </c>
      <c r="I89" s="15" t="s">
        <v>374</v>
      </c>
      <c r="J89" s="14" t="e">
        <f>VLOOKUP(G89,'Data Akademik'!$A$14:$D$315,3,FALSE)</f>
        <v>#N/A</v>
      </c>
      <c r="K89" s="14" t="e">
        <f>VLOOKUP(G89,'Data Akademik'!$E$14:$H$315,3,FALSE)</f>
        <v>#N/A</v>
      </c>
      <c r="L89" s="14">
        <f>VLOOKUP(G89,'Data Akademik'!$O$15:$Q$315,3,FALSE)</f>
        <v>0</v>
      </c>
      <c r="M89" s="14" t="str">
        <f t="shared" si="26"/>
        <v/>
      </c>
      <c r="N89" s="14" t="str">
        <f t="shared" si="27"/>
        <v/>
      </c>
      <c r="O89" s="204" t="str">
        <f t="shared" si="23"/>
        <v/>
      </c>
      <c r="P89" s="117" t="str">
        <f t="shared" ca="1" si="24"/>
        <v/>
      </c>
      <c r="Q89" s="242">
        <v>3000</v>
      </c>
      <c r="R89" s="242">
        <f t="shared" si="18"/>
        <v>0</v>
      </c>
      <c r="S89" s="242">
        <f>IF(ISBLANK(O89),-1,VLOOKUP(O89,'Nilai Kurikulum 2013'!$B$178:$C$183,2,FALSE))</f>
        <v>-1</v>
      </c>
      <c r="T89" s="242">
        <f ca="1">IF(AND(ISNA(MATCH(E89,'Hapus MK'!$N$13:$N$32,0)),ISNA(MATCH(E89,'Hapus MK'!$Q$13:$Q$30,0)))=TRUE,S89,-1)</f>
        <v>-1</v>
      </c>
      <c r="U89" s="242">
        <f t="shared" si="28"/>
        <v>0</v>
      </c>
      <c r="V89" s="242">
        <f t="shared" ca="1" si="29"/>
        <v>0</v>
      </c>
      <c r="W89" s="242">
        <f t="shared" ca="1" si="25"/>
        <v>0</v>
      </c>
      <c r="X89" s="242" t="str">
        <f t="shared" si="21"/>
        <v/>
      </c>
    </row>
    <row r="90" spans="2:24" ht="15.75" x14ac:dyDescent="0.25">
      <c r="B90" s="208">
        <v>86</v>
      </c>
      <c r="C90" s="348"/>
      <c r="D90" s="14">
        <v>10</v>
      </c>
      <c r="E90" s="17" t="s">
        <v>155</v>
      </c>
      <c r="F90" s="14">
        <v>3</v>
      </c>
      <c r="G90" s="116" t="str">
        <f t="shared" si="22"/>
        <v>AIF348-3</v>
      </c>
      <c r="H90" s="14" t="s">
        <v>282</v>
      </c>
      <c r="I90" s="15" t="s">
        <v>375</v>
      </c>
      <c r="J90" s="14" t="e">
        <f>VLOOKUP(G90,'Data Akademik'!$A$14:$D$315,3,FALSE)</f>
        <v>#N/A</v>
      </c>
      <c r="K90" s="14" t="e">
        <f>VLOOKUP(G90,'Data Akademik'!$E$14:$H$315,3,FALSE)</f>
        <v>#N/A</v>
      </c>
      <c r="L90" s="14">
        <f>VLOOKUP(G90,'Data Akademik'!$O$15:$Q$315,3,FALSE)</f>
        <v>0</v>
      </c>
      <c r="M90" s="14" t="str">
        <f t="shared" si="26"/>
        <v/>
      </c>
      <c r="N90" s="14" t="str">
        <f t="shared" si="27"/>
        <v/>
      </c>
      <c r="O90" s="204" t="str">
        <f t="shared" si="23"/>
        <v/>
      </c>
      <c r="P90" s="117" t="str">
        <f t="shared" ca="1" si="24"/>
        <v/>
      </c>
      <c r="Q90" s="242">
        <v>3000</v>
      </c>
      <c r="R90" s="242">
        <f t="shared" si="18"/>
        <v>0</v>
      </c>
      <c r="S90" s="242">
        <f>IF(ISBLANK(O90),-1,VLOOKUP(O90,'Nilai Kurikulum 2013'!$B$178:$C$183,2,FALSE))</f>
        <v>-1</v>
      </c>
      <c r="T90" s="242">
        <f ca="1">IF(AND(ISNA(MATCH(E90,'Hapus MK'!$N$13:$N$32,0)),ISNA(MATCH(E90,'Hapus MK'!$Q$13:$Q$30,0)))=TRUE,S90,-1)</f>
        <v>-1</v>
      </c>
      <c r="U90" s="242">
        <f t="shared" si="28"/>
        <v>0</v>
      </c>
      <c r="V90" s="242">
        <f t="shared" ca="1" si="29"/>
        <v>0</v>
      </c>
      <c r="W90" s="242">
        <f t="shared" ca="1" si="25"/>
        <v>0</v>
      </c>
      <c r="X90" s="242" t="str">
        <f t="shared" si="21"/>
        <v/>
      </c>
    </row>
    <row r="91" spans="2:24" ht="15.75" x14ac:dyDescent="0.25">
      <c r="B91" s="208">
        <v>87</v>
      </c>
      <c r="C91" s="348"/>
      <c r="D91" s="14">
        <v>11</v>
      </c>
      <c r="E91" s="17" t="s">
        <v>156</v>
      </c>
      <c r="F91" s="14">
        <v>2</v>
      </c>
      <c r="G91" s="116" t="str">
        <f t="shared" si="22"/>
        <v>AIF350-2</v>
      </c>
      <c r="H91" s="14" t="s">
        <v>282</v>
      </c>
      <c r="I91" s="15" t="s">
        <v>376</v>
      </c>
      <c r="J91" s="14" t="e">
        <f>VLOOKUP(G91,'Data Akademik'!$A$14:$D$315,3,FALSE)</f>
        <v>#N/A</v>
      </c>
      <c r="K91" s="14" t="e">
        <f>VLOOKUP(G91,'Data Akademik'!$E$14:$H$315,3,FALSE)</f>
        <v>#N/A</v>
      </c>
      <c r="L91" s="14">
        <f>VLOOKUP(G91,'Data Akademik'!$O$15:$Q$315,3,FALSE)</f>
        <v>0</v>
      </c>
      <c r="M91" s="14" t="str">
        <f t="shared" si="26"/>
        <v/>
      </c>
      <c r="N91" s="14" t="str">
        <f t="shared" si="27"/>
        <v/>
      </c>
      <c r="O91" s="204" t="str">
        <f t="shared" si="23"/>
        <v/>
      </c>
      <c r="P91" s="117" t="str">
        <f t="shared" ca="1" si="24"/>
        <v/>
      </c>
      <c r="Q91" s="242">
        <v>3000</v>
      </c>
      <c r="R91" s="242">
        <f t="shared" si="18"/>
        <v>0</v>
      </c>
      <c r="S91" s="242">
        <f>IF(ISBLANK(O91),-1,VLOOKUP(O91,'Nilai Kurikulum 2013'!$B$178:$C$183,2,FALSE))</f>
        <v>-1</v>
      </c>
      <c r="T91" s="242">
        <f ca="1">IF(AND(ISNA(MATCH(E91,'Hapus MK'!$N$13:$N$32,0)),ISNA(MATCH(E91,'Hapus MK'!$Q$13:$Q$30,0)))=TRUE,S91,-1)</f>
        <v>-1</v>
      </c>
      <c r="U91" s="242">
        <f t="shared" si="28"/>
        <v>0</v>
      </c>
      <c r="V91" s="242">
        <f t="shared" ca="1" si="29"/>
        <v>0</v>
      </c>
      <c r="W91" s="242">
        <f t="shared" ca="1" si="25"/>
        <v>0</v>
      </c>
      <c r="X91" s="242" t="str">
        <f t="shared" si="21"/>
        <v/>
      </c>
    </row>
    <row r="92" spans="2:24" ht="15.75" x14ac:dyDescent="0.25">
      <c r="B92" s="208">
        <v>88</v>
      </c>
      <c r="C92" s="348"/>
      <c r="D92" s="14">
        <v>12</v>
      </c>
      <c r="E92" s="17" t="s">
        <v>157</v>
      </c>
      <c r="F92" s="14">
        <v>2</v>
      </c>
      <c r="G92" s="116" t="str">
        <f t="shared" si="22"/>
        <v>AIF352-2</v>
      </c>
      <c r="H92" s="14" t="s">
        <v>282</v>
      </c>
      <c r="I92" s="15" t="s">
        <v>377</v>
      </c>
      <c r="J92" s="14" t="e">
        <f>VLOOKUP(G92,'Data Akademik'!$A$14:$D$315,3,FALSE)</f>
        <v>#N/A</v>
      </c>
      <c r="K92" s="14" t="e">
        <f>VLOOKUP(G92,'Data Akademik'!$E$14:$H$315,3,FALSE)</f>
        <v>#N/A</v>
      </c>
      <c r="L92" s="14">
        <f>VLOOKUP(G92,'Data Akademik'!$O$15:$Q$315,3,FALSE)</f>
        <v>0</v>
      </c>
      <c r="M92" s="14" t="str">
        <f t="shared" si="26"/>
        <v/>
      </c>
      <c r="N92" s="14" t="str">
        <f t="shared" si="27"/>
        <v/>
      </c>
      <c r="O92" s="204" t="str">
        <f t="shared" si="23"/>
        <v/>
      </c>
      <c r="P92" s="117" t="str">
        <f t="shared" ca="1" si="24"/>
        <v/>
      </c>
      <c r="Q92" s="242">
        <v>3000</v>
      </c>
      <c r="R92" s="242">
        <f t="shared" si="18"/>
        <v>0</v>
      </c>
      <c r="S92" s="242">
        <f>IF(ISBLANK(O92),-1,VLOOKUP(O92,'Nilai Kurikulum 2013'!$B$178:$C$183,2,FALSE))</f>
        <v>-1</v>
      </c>
      <c r="T92" s="242">
        <f ca="1">IF(AND(ISNA(MATCH(E92,'Hapus MK'!$N$13:$N$32,0)),ISNA(MATCH(E92,'Hapus MK'!$Q$13:$Q$30,0)))=TRUE,S92,-1)</f>
        <v>-1</v>
      </c>
      <c r="U92" s="242">
        <f t="shared" si="28"/>
        <v>0</v>
      </c>
      <c r="V92" s="242">
        <f t="shared" ca="1" si="29"/>
        <v>0</v>
      </c>
      <c r="W92" s="242">
        <f t="shared" ca="1" si="25"/>
        <v>0</v>
      </c>
      <c r="X92" s="242" t="str">
        <f t="shared" si="21"/>
        <v/>
      </c>
    </row>
    <row r="93" spans="2:24" ht="15.75" x14ac:dyDescent="0.25">
      <c r="B93" s="208">
        <v>89</v>
      </c>
      <c r="C93" s="348"/>
      <c r="D93" s="14">
        <v>13</v>
      </c>
      <c r="E93" s="17" t="s">
        <v>158</v>
      </c>
      <c r="F93" s="14">
        <v>2</v>
      </c>
      <c r="G93" s="116" t="str">
        <f t="shared" si="22"/>
        <v>AIF354-2</v>
      </c>
      <c r="H93" s="14" t="s">
        <v>282</v>
      </c>
      <c r="I93" s="15" t="s">
        <v>378</v>
      </c>
      <c r="J93" s="14" t="e">
        <f>VLOOKUP(G93,'Data Akademik'!$A$14:$D$315,3,FALSE)</f>
        <v>#N/A</v>
      </c>
      <c r="K93" s="14" t="e">
        <f>VLOOKUP(G93,'Data Akademik'!$E$14:$H$315,3,FALSE)</f>
        <v>#N/A</v>
      </c>
      <c r="L93" s="14">
        <f>VLOOKUP(G93,'Data Akademik'!$O$15:$Q$315,3,FALSE)</f>
        <v>0</v>
      </c>
      <c r="M93" s="14" t="str">
        <f t="shared" si="26"/>
        <v/>
      </c>
      <c r="N93" s="14" t="str">
        <f t="shared" si="27"/>
        <v/>
      </c>
      <c r="O93" s="204" t="str">
        <f t="shared" si="23"/>
        <v/>
      </c>
      <c r="P93" s="117" t="str">
        <f t="shared" ca="1" si="24"/>
        <v/>
      </c>
      <c r="Q93" s="242">
        <v>3000</v>
      </c>
      <c r="R93" s="242">
        <f t="shared" si="18"/>
        <v>0</v>
      </c>
      <c r="S93" s="242">
        <f>IF(ISBLANK(O93),-1,VLOOKUP(O93,'Nilai Kurikulum 2013'!$B$178:$C$183,2,FALSE))</f>
        <v>-1</v>
      </c>
      <c r="T93" s="242">
        <f ca="1">IF(AND(ISNA(MATCH(E93,'Hapus MK'!$N$13:$N$32,0)),ISNA(MATCH(E93,'Hapus MK'!$Q$13:$Q$30,0)))=TRUE,S93,-1)</f>
        <v>-1</v>
      </c>
      <c r="U93" s="242">
        <f t="shared" si="28"/>
        <v>0</v>
      </c>
      <c r="V93" s="242">
        <f t="shared" ca="1" si="29"/>
        <v>0</v>
      </c>
      <c r="W93" s="242">
        <f t="shared" ca="1" si="25"/>
        <v>0</v>
      </c>
      <c r="X93" s="242" t="str">
        <f t="shared" si="21"/>
        <v/>
      </c>
    </row>
    <row r="94" spans="2:24" ht="15.75" x14ac:dyDescent="0.25">
      <c r="B94" s="208">
        <v>90</v>
      </c>
      <c r="C94" s="348"/>
      <c r="D94" s="14">
        <v>14</v>
      </c>
      <c r="E94" s="17" t="s">
        <v>159</v>
      </c>
      <c r="F94" s="14">
        <v>2</v>
      </c>
      <c r="G94" s="116" t="str">
        <f t="shared" si="22"/>
        <v>AIF356-2</v>
      </c>
      <c r="H94" s="14" t="s">
        <v>282</v>
      </c>
      <c r="I94" s="15" t="s">
        <v>379</v>
      </c>
      <c r="J94" s="14" t="e">
        <f>VLOOKUP(G94,'Data Akademik'!$A$14:$D$315,3,FALSE)</f>
        <v>#N/A</v>
      </c>
      <c r="K94" s="14" t="e">
        <f>VLOOKUP(G94,'Data Akademik'!$E$14:$H$315,3,FALSE)</f>
        <v>#N/A</v>
      </c>
      <c r="L94" s="14">
        <f>VLOOKUP(G94,'Data Akademik'!$O$15:$Q$315,3,FALSE)</f>
        <v>0</v>
      </c>
      <c r="M94" s="14" t="str">
        <f t="shared" si="26"/>
        <v/>
      </c>
      <c r="N94" s="14" t="str">
        <f t="shared" si="27"/>
        <v/>
      </c>
      <c r="O94" s="204" t="str">
        <f t="shared" si="23"/>
        <v/>
      </c>
      <c r="P94" s="117" t="str">
        <f t="shared" ca="1" si="24"/>
        <v/>
      </c>
      <c r="Q94" s="242">
        <v>3000</v>
      </c>
      <c r="R94" s="242">
        <f t="shared" si="18"/>
        <v>0</v>
      </c>
      <c r="S94" s="242">
        <f>IF(ISBLANK(O94),-1,VLOOKUP(O94,'Nilai Kurikulum 2013'!$B$178:$C$183,2,FALSE))</f>
        <v>-1</v>
      </c>
      <c r="T94" s="242">
        <f ca="1">IF(AND(ISNA(MATCH(E94,'Hapus MK'!$N$13:$N$32,0)),ISNA(MATCH(E94,'Hapus MK'!$Q$13:$Q$30,0)))=TRUE,S94,-1)</f>
        <v>-1</v>
      </c>
      <c r="U94" s="242">
        <f t="shared" si="28"/>
        <v>0</v>
      </c>
      <c r="V94" s="242">
        <f t="shared" ca="1" si="29"/>
        <v>0</v>
      </c>
      <c r="W94" s="242">
        <f t="shared" ca="1" si="25"/>
        <v>0</v>
      </c>
      <c r="X94" s="242" t="str">
        <f t="shared" si="21"/>
        <v/>
      </c>
    </row>
    <row r="95" spans="2:24" ht="15.75" x14ac:dyDescent="0.25">
      <c r="B95" s="208">
        <v>91</v>
      </c>
      <c r="C95" s="348"/>
      <c r="D95" s="14">
        <v>15</v>
      </c>
      <c r="E95" s="17" t="s">
        <v>160</v>
      </c>
      <c r="F95" s="14">
        <v>3</v>
      </c>
      <c r="G95" s="116" t="str">
        <f t="shared" si="22"/>
        <v>AIF358-3</v>
      </c>
      <c r="H95" s="14" t="s">
        <v>282</v>
      </c>
      <c r="I95" s="15" t="s">
        <v>380</v>
      </c>
      <c r="J95" s="14" t="e">
        <f>VLOOKUP(G95,'Data Akademik'!$A$14:$D$315,3,FALSE)</f>
        <v>#N/A</v>
      </c>
      <c r="K95" s="14" t="e">
        <f>VLOOKUP(G95,'Data Akademik'!$E$14:$H$315,3,FALSE)</f>
        <v>#N/A</v>
      </c>
      <c r="L95" s="14">
        <f>VLOOKUP(G95,'Data Akademik'!$O$15:$Q$315,3,FALSE)</f>
        <v>0</v>
      </c>
      <c r="M95" s="14" t="str">
        <f t="shared" si="26"/>
        <v/>
      </c>
      <c r="N95" s="14" t="str">
        <f t="shared" si="27"/>
        <v/>
      </c>
      <c r="O95" s="204" t="str">
        <f t="shared" si="23"/>
        <v/>
      </c>
      <c r="P95" s="117" t="str">
        <f t="shared" ca="1" si="24"/>
        <v/>
      </c>
      <c r="Q95" s="242">
        <v>3000</v>
      </c>
      <c r="R95" s="242">
        <f t="shared" si="18"/>
        <v>0</v>
      </c>
      <c r="S95" s="242">
        <f>IF(ISBLANK(O95),-1,VLOOKUP(O95,'Nilai Kurikulum 2013'!$B$178:$C$183,2,FALSE))</f>
        <v>-1</v>
      </c>
      <c r="T95" s="242">
        <f ca="1">IF(AND(ISNA(MATCH(E95,'Hapus MK'!$N$13:$N$32,0)),ISNA(MATCH(E95,'Hapus MK'!$Q$13:$Q$30,0)))=TRUE,S95,-1)</f>
        <v>-1</v>
      </c>
      <c r="U95" s="242">
        <f t="shared" si="28"/>
        <v>0</v>
      </c>
      <c r="V95" s="242">
        <f t="shared" ca="1" si="29"/>
        <v>0</v>
      </c>
      <c r="W95" s="242">
        <f t="shared" ca="1" si="25"/>
        <v>0</v>
      </c>
      <c r="X95" s="242" t="str">
        <f t="shared" si="21"/>
        <v/>
      </c>
    </row>
    <row r="96" spans="2:24" ht="15.75" x14ac:dyDescent="0.25">
      <c r="B96" s="208">
        <v>92</v>
      </c>
      <c r="C96" s="348"/>
      <c r="D96" s="14">
        <v>16</v>
      </c>
      <c r="E96" s="17" t="s">
        <v>161</v>
      </c>
      <c r="F96" s="14">
        <v>3</v>
      </c>
      <c r="G96" s="116" t="str">
        <f t="shared" si="22"/>
        <v>AIF360-3</v>
      </c>
      <c r="H96" s="14" t="s">
        <v>282</v>
      </c>
      <c r="I96" s="15" t="s">
        <v>381</v>
      </c>
      <c r="J96" s="14" t="str">
        <f>VLOOKUP(G96,'Data Akademik'!$A$14:$D$315,3,FALSE)</f>
        <v>B</v>
      </c>
      <c r="K96" s="14" t="e">
        <f>VLOOKUP(G96,'Data Akademik'!$E$14:$H$315,3,FALSE)</f>
        <v>#N/A</v>
      </c>
      <c r="L96" s="14">
        <f>VLOOKUP(G96,'Data Akademik'!$O$15:$Q$315,3,FALSE)</f>
        <v>0</v>
      </c>
      <c r="M96" s="14" t="str">
        <f t="shared" si="26"/>
        <v>B</v>
      </c>
      <c r="N96" s="14" t="str">
        <f t="shared" si="27"/>
        <v>B</v>
      </c>
      <c r="O96" s="204" t="str">
        <f t="shared" si="23"/>
        <v>B</v>
      </c>
      <c r="P96" s="117" t="str">
        <f t="shared" ca="1" si="24"/>
        <v>B</v>
      </c>
      <c r="Q96" s="242">
        <v>3000</v>
      </c>
      <c r="R96" s="242">
        <f t="shared" si="18"/>
        <v>0</v>
      </c>
      <c r="S96" s="242">
        <f>IF(ISBLANK(O96),-1,VLOOKUP(O96,'Nilai Kurikulum 2013'!$B$178:$C$183,2,FALSE))</f>
        <v>3</v>
      </c>
      <c r="T96" s="242">
        <f ca="1">IF(AND(ISNA(MATCH(E96,'Hapus MK'!$N$13:$N$32,0)),ISNA(MATCH(E96,'Hapus MK'!$Q$13:$Q$30,0)))=TRUE,S96,-1)</f>
        <v>3</v>
      </c>
      <c r="U96" s="242">
        <f t="shared" si="28"/>
        <v>3</v>
      </c>
      <c r="V96" s="242">
        <f t="shared" ca="1" si="29"/>
        <v>3</v>
      </c>
      <c r="W96" s="242">
        <f t="shared" ca="1" si="25"/>
        <v>0</v>
      </c>
      <c r="X96" s="242" t="str">
        <f t="shared" si="21"/>
        <v>AIF360</v>
      </c>
    </row>
    <row r="97" spans="2:24" ht="15.75" x14ac:dyDescent="0.25">
      <c r="B97" s="208">
        <v>93</v>
      </c>
      <c r="C97" s="348"/>
      <c r="D97" s="14">
        <v>17</v>
      </c>
      <c r="E97" s="17" t="s">
        <v>162</v>
      </c>
      <c r="F97" s="14">
        <v>3</v>
      </c>
      <c r="G97" s="116" t="str">
        <f t="shared" si="22"/>
        <v>AIF362-3</v>
      </c>
      <c r="H97" s="14" t="s">
        <v>282</v>
      </c>
      <c r="I97" s="15" t="s">
        <v>382</v>
      </c>
      <c r="J97" s="14" t="e">
        <f>VLOOKUP(G97,'Data Akademik'!$A$14:$D$315,3,FALSE)</f>
        <v>#N/A</v>
      </c>
      <c r="K97" s="14" t="e">
        <f>VLOOKUP(G97,'Data Akademik'!$E$14:$H$315,3,FALSE)</f>
        <v>#N/A</v>
      </c>
      <c r="L97" s="14">
        <f>VLOOKUP(G97,'Data Akademik'!$O$15:$Q$315,3,FALSE)</f>
        <v>0</v>
      </c>
      <c r="M97" s="14" t="str">
        <f t="shared" si="26"/>
        <v/>
      </c>
      <c r="N97" s="14" t="str">
        <f t="shared" si="27"/>
        <v/>
      </c>
      <c r="O97" s="204" t="str">
        <f t="shared" si="23"/>
        <v/>
      </c>
      <c r="P97" s="117" t="str">
        <f t="shared" ca="1" si="24"/>
        <v/>
      </c>
      <c r="Q97" s="242">
        <v>3000</v>
      </c>
      <c r="R97" s="242">
        <f t="shared" si="18"/>
        <v>0</v>
      </c>
      <c r="S97" s="242">
        <f>IF(ISBLANK(O97),-1,VLOOKUP(O97,'Nilai Kurikulum 2013'!$B$178:$C$183,2,FALSE))</f>
        <v>-1</v>
      </c>
      <c r="T97" s="242">
        <f ca="1">IF(AND(ISNA(MATCH(E97,'Hapus MK'!$N$13:$N$32,0)),ISNA(MATCH(E97,'Hapus MK'!$Q$13:$Q$30,0)))=TRUE,S97,-1)</f>
        <v>-1</v>
      </c>
      <c r="U97" s="242">
        <f t="shared" si="28"/>
        <v>0</v>
      </c>
      <c r="V97" s="242">
        <f t="shared" ca="1" si="29"/>
        <v>0</v>
      </c>
      <c r="W97" s="242">
        <f t="shared" ca="1" si="25"/>
        <v>0</v>
      </c>
      <c r="X97" s="242" t="str">
        <f t="shared" si="21"/>
        <v/>
      </c>
    </row>
    <row r="98" spans="2:24" ht="15.75" x14ac:dyDescent="0.25">
      <c r="B98" s="208">
        <v>94</v>
      </c>
      <c r="C98" s="348"/>
      <c r="D98" s="14">
        <v>18</v>
      </c>
      <c r="E98" s="17" t="s">
        <v>163</v>
      </c>
      <c r="F98" s="14">
        <v>3</v>
      </c>
      <c r="G98" s="116" t="str">
        <f t="shared" si="22"/>
        <v>AIF380-3</v>
      </c>
      <c r="H98" s="14" t="s">
        <v>282</v>
      </c>
      <c r="I98" s="15" t="s">
        <v>383</v>
      </c>
      <c r="J98" s="14" t="e">
        <f>VLOOKUP(G98,'Data Akademik'!$A$14:$D$315,3,FALSE)</f>
        <v>#N/A</v>
      </c>
      <c r="K98" s="14" t="e">
        <f>VLOOKUP(G98,'Data Akademik'!$E$14:$H$315,3,FALSE)</f>
        <v>#N/A</v>
      </c>
      <c r="L98" s="14">
        <f>VLOOKUP(G98,'Data Akademik'!$O$15:$Q$315,3,FALSE)</f>
        <v>0</v>
      </c>
      <c r="M98" s="14" t="str">
        <f t="shared" si="26"/>
        <v/>
      </c>
      <c r="N98" s="14" t="str">
        <f t="shared" si="27"/>
        <v/>
      </c>
      <c r="O98" s="204" t="str">
        <f t="shared" si="23"/>
        <v/>
      </c>
      <c r="P98" s="117" t="str">
        <f t="shared" ca="1" si="24"/>
        <v/>
      </c>
      <c r="Q98" s="242">
        <v>3000</v>
      </c>
      <c r="R98" s="242">
        <f t="shared" si="18"/>
        <v>0</v>
      </c>
      <c r="S98" s="242">
        <f>IF(ISBLANK(O98),-1,VLOOKUP(O98,'Nilai Kurikulum 2013'!$B$178:$C$183,2,FALSE))</f>
        <v>-1</v>
      </c>
      <c r="T98" s="242">
        <f ca="1">IF(AND(ISNA(MATCH(E98,'Hapus MK'!$N$13:$N$32,0)),ISNA(MATCH(E98,'Hapus MK'!$Q$13:$Q$30,0)))=TRUE,S98,-1)</f>
        <v>-1</v>
      </c>
      <c r="U98" s="242">
        <f t="shared" si="28"/>
        <v>0</v>
      </c>
      <c r="V98" s="242">
        <f t="shared" ca="1" si="29"/>
        <v>0</v>
      </c>
      <c r="W98" s="242">
        <f t="shared" ca="1" si="25"/>
        <v>0</v>
      </c>
      <c r="X98" s="242" t="str">
        <f t="shared" si="21"/>
        <v/>
      </c>
    </row>
    <row r="99" spans="2:24" ht="15.75" x14ac:dyDescent="0.25">
      <c r="B99" s="208">
        <v>95</v>
      </c>
      <c r="C99" s="348"/>
      <c r="D99" s="14">
        <v>19</v>
      </c>
      <c r="E99" s="17" t="s">
        <v>164</v>
      </c>
      <c r="F99" s="14">
        <v>3</v>
      </c>
      <c r="G99" s="116" t="str">
        <f t="shared" si="22"/>
        <v>AIF382-3</v>
      </c>
      <c r="H99" s="14" t="s">
        <v>282</v>
      </c>
      <c r="I99" s="15" t="s">
        <v>384</v>
      </c>
      <c r="J99" s="14" t="e">
        <f>VLOOKUP(G99,'Data Akademik'!$A$14:$D$315,3,FALSE)</f>
        <v>#N/A</v>
      </c>
      <c r="K99" s="14" t="e">
        <f>VLOOKUP(G99,'Data Akademik'!$E$14:$H$315,3,FALSE)</f>
        <v>#N/A</v>
      </c>
      <c r="L99" s="14">
        <f>VLOOKUP(G99,'Data Akademik'!$O$15:$Q$315,3,FALSE)</f>
        <v>0</v>
      </c>
      <c r="M99" s="14" t="str">
        <f t="shared" si="26"/>
        <v/>
      </c>
      <c r="N99" s="14" t="str">
        <f t="shared" si="27"/>
        <v/>
      </c>
      <c r="O99" s="204" t="str">
        <f t="shared" si="23"/>
        <v/>
      </c>
      <c r="P99" s="117" t="str">
        <f t="shared" ca="1" si="24"/>
        <v/>
      </c>
      <c r="Q99" s="242">
        <v>3000</v>
      </c>
      <c r="R99" s="242">
        <f t="shared" si="18"/>
        <v>0</v>
      </c>
      <c r="S99" s="242">
        <f>IF(ISBLANK(O99),-1,VLOOKUP(O99,'Nilai Kurikulum 2013'!$B$178:$C$183,2,FALSE))</f>
        <v>-1</v>
      </c>
      <c r="T99" s="242">
        <f ca="1">IF(AND(ISNA(MATCH(E99,'Hapus MK'!$N$13:$N$32,0)),ISNA(MATCH(E99,'Hapus MK'!$Q$13:$Q$30,0)))=TRUE,S99,-1)</f>
        <v>-1</v>
      </c>
      <c r="U99" s="242">
        <f t="shared" si="28"/>
        <v>0</v>
      </c>
      <c r="V99" s="242">
        <f t="shared" ca="1" si="29"/>
        <v>0</v>
      </c>
      <c r="W99" s="242">
        <f t="shared" ca="1" si="25"/>
        <v>0</v>
      </c>
      <c r="X99" s="242" t="str">
        <f t="shared" si="21"/>
        <v/>
      </c>
    </row>
    <row r="100" spans="2:24" ht="15.75" x14ac:dyDescent="0.25">
      <c r="B100" s="208">
        <v>96</v>
      </c>
      <c r="C100" s="348"/>
      <c r="D100" s="14">
        <v>20</v>
      </c>
      <c r="E100" s="15" t="s">
        <v>165</v>
      </c>
      <c r="F100" s="14">
        <v>1</v>
      </c>
      <c r="G100" s="116" t="str">
        <f t="shared" si="22"/>
        <v>AIF384-1</v>
      </c>
      <c r="H100" s="14" t="s">
        <v>282</v>
      </c>
      <c r="I100" s="15" t="s">
        <v>385</v>
      </c>
      <c r="J100" s="14" t="e">
        <f>VLOOKUP(G100,'Data Akademik'!$A$14:$D$315,3,FALSE)</f>
        <v>#N/A</v>
      </c>
      <c r="K100" s="14" t="e">
        <f>VLOOKUP(G100,'Data Akademik'!$E$14:$H$315,3,FALSE)</f>
        <v>#N/A</v>
      </c>
      <c r="L100" s="14">
        <f>VLOOKUP(G100,'Data Akademik'!$O$15:$Q$315,3,FALSE)</f>
        <v>0</v>
      </c>
      <c r="M100" s="14" t="str">
        <f t="shared" si="26"/>
        <v/>
      </c>
      <c r="N100" s="14" t="str">
        <f t="shared" si="27"/>
        <v/>
      </c>
      <c r="O100" s="205" t="str">
        <f t="shared" si="23"/>
        <v/>
      </c>
      <c r="P100" s="122" t="str">
        <f t="shared" ca="1" si="24"/>
        <v/>
      </c>
      <c r="Q100" s="242">
        <v>3000</v>
      </c>
      <c r="R100" s="242">
        <f t="shared" si="18"/>
        <v>0</v>
      </c>
      <c r="S100" s="242">
        <f>IF(ISBLANK(O100),-1,VLOOKUP(O100,'Nilai Kurikulum 2013'!$B$178:$C$183,2,FALSE))</f>
        <v>-1</v>
      </c>
      <c r="T100" s="242">
        <f ca="1">IF(AND(ISNA(MATCH(E100,'Hapus MK'!$N$13:$N$32,0)),ISNA(MATCH(E100,'Hapus MK'!$Q$13:$Q$30,0)))=TRUE,S100,-1)</f>
        <v>-1</v>
      </c>
      <c r="U100" s="242">
        <f t="shared" si="28"/>
        <v>0</v>
      </c>
      <c r="V100" s="242">
        <f t="shared" ca="1" si="29"/>
        <v>0</v>
      </c>
      <c r="W100" s="242">
        <f t="shared" ca="1" si="25"/>
        <v>0</v>
      </c>
      <c r="X100" s="242" t="str">
        <f t="shared" si="21"/>
        <v/>
      </c>
    </row>
    <row r="101" spans="2:24" ht="15.75" x14ac:dyDescent="0.25">
      <c r="B101" s="208">
        <v>97</v>
      </c>
      <c r="C101" s="348"/>
      <c r="D101" s="14">
        <v>21</v>
      </c>
      <c r="E101" s="17" t="s">
        <v>166</v>
      </c>
      <c r="F101" s="14">
        <v>2</v>
      </c>
      <c r="G101" s="116" t="str">
        <f t="shared" ref="G101:G132" si="38">E101&amp;"-"&amp;F101</f>
        <v>AIF386-2</v>
      </c>
      <c r="H101" s="14" t="s">
        <v>282</v>
      </c>
      <c r="I101" s="17" t="s">
        <v>386</v>
      </c>
      <c r="J101" s="14" t="e">
        <f>VLOOKUP(G101,'Data Akademik'!$A$14:$D$315,3,FALSE)</f>
        <v>#N/A</v>
      </c>
      <c r="K101" s="14" t="e">
        <f>VLOOKUP(G101,'Data Akademik'!$E$14:$H$315,3,FALSE)</f>
        <v>#N/A</v>
      </c>
      <c r="L101" s="14">
        <f>VLOOKUP(G101,'Data Akademik'!$O$15:$Q$315,3,FALSE)</f>
        <v>0</v>
      </c>
      <c r="M101" s="14" t="str">
        <f t="shared" si="26"/>
        <v/>
      </c>
      <c r="N101" s="14" t="str">
        <f t="shared" si="27"/>
        <v/>
      </c>
      <c r="O101" s="204" t="str">
        <f t="shared" ref="O101:O132" si="39">N101</f>
        <v/>
      </c>
      <c r="P101" s="117" t="str">
        <f t="shared" ref="P101:P132" ca="1" si="40">IF(T101&gt;0,VLOOKUP(T101,$C$178:$D$183,2,),"")</f>
        <v/>
      </c>
      <c r="Q101" s="242">
        <v>3000</v>
      </c>
      <c r="R101" s="242">
        <f t="shared" si="18"/>
        <v>0</v>
      </c>
      <c r="S101" s="242">
        <f>IF(ISBLANK(O101),-1,VLOOKUP(O101,'Nilai Kurikulum 2013'!$B$178:$C$183,2,FALSE))</f>
        <v>-1</v>
      </c>
      <c r="T101" s="242">
        <f ca="1">IF(AND(ISNA(MATCH(E101,'Hapus MK'!$N$13:$N$32,0)),ISNA(MATCH(E101,'Hapus MK'!$Q$13:$Q$30,0)))=TRUE,S101,-1)</f>
        <v>-1</v>
      </c>
      <c r="U101" s="242">
        <f t="shared" si="28"/>
        <v>0</v>
      </c>
      <c r="V101" s="242">
        <f t="shared" ca="1" si="29"/>
        <v>0</v>
      </c>
      <c r="W101" s="242">
        <f t="shared" ref="W101:W132" ca="1" si="41">IF(AND(Q101&lt;=$O$1,T101&gt;0),1,0)</f>
        <v>0</v>
      </c>
      <c r="X101" s="242" t="str">
        <f t="shared" si="21"/>
        <v/>
      </c>
    </row>
    <row r="102" spans="2:24" ht="16.5" thickBot="1" x14ac:dyDescent="0.3">
      <c r="B102" s="209">
        <v>98</v>
      </c>
      <c r="C102" s="348"/>
      <c r="D102" s="14">
        <v>22</v>
      </c>
      <c r="E102" s="15" t="s">
        <v>167</v>
      </c>
      <c r="F102" s="14">
        <v>1</v>
      </c>
      <c r="G102" s="116" t="str">
        <f t="shared" si="38"/>
        <v>AIF388-1</v>
      </c>
      <c r="H102" s="14" t="s">
        <v>282</v>
      </c>
      <c r="I102" s="17" t="s">
        <v>387</v>
      </c>
      <c r="J102" s="14" t="e">
        <f>VLOOKUP(G102,'Data Akademik'!$A$14:$D$315,3,FALSE)</f>
        <v>#N/A</v>
      </c>
      <c r="K102" s="14" t="e">
        <f>VLOOKUP(G102,'Data Akademik'!$E$14:$H$315,3,FALSE)</f>
        <v>#N/A</v>
      </c>
      <c r="L102" s="14">
        <f>VLOOKUP(G102,'Data Akademik'!$O$15:$Q$315,3,FALSE)</f>
        <v>0</v>
      </c>
      <c r="M102" s="14" t="str">
        <f t="shared" si="26"/>
        <v/>
      </c>
      <c r="N102" s="14" t="str">
        <f t="shared" si="27"/>
        <v/>
      </c>
      <c r="O102" s="205" t="str">
        <f t="shared" si="39"/>
        <v/>
      </c>
      <c r="P102" s="122" t="str">
        <f t="shared" ca="1" si="40"/>
        <v/>
      </c>
      <c r="Q102" s="242">
        <v>3000</v>
      </c>
      <c r="R102" s="242">
        <f t="shared" si="18"/>
        <v>0</v>
      </c>
      <c r="S102" s="242">
        <f>IF(ISBLANK(O102),-1,VLOOKUP(O102,'Nilai Kurikulum 2013'!$B$178:$C$183,2,FALSE))</f>
        <v>-1</v>
      </c>
      <c r="T102" s="242">
        <f ca="1">IF(AND(ISNA(MATCH(E102,'Hapus MK'!$N$13:$N$32,0)),ISNA(MATCH(E102,'Hapus MK'!$Q$13:$Q$30,0)))=TRUE,S102,-1)</f>
        <v>-1</v>
      </c>
      <c r="U102" s="242">
        <f t="shared" si="28"/>
        <v>0</v>
      </c>
      <c r="V102" s="242">
        <f t="shared" ca="1" si="29"/>
        <v>0</v>
      </c>
      <c r="W102" s="242">
        <f t="shared" ca="1" si="41"/>
        <v>0</v>
      </c>
      <c r="X102" s="242" t="str">
        <f t="shared" si="21"/>
        <v/>
      </c>
    </row>
    <row r="103" spans="2:24" ht="16.5" thickTop="1" x14ac:dyDescent="0.25">
      <c r="B103" s="207">
        <v>99</v>
      </c>
      <c r="C103" s="348">
        <v>7</v>
      </c>
      <c r="D103" s="14">
        <v>1</v>
      </c>
      <c r="E103" s="17" t="s">
        <v>168</v>
      </c>
      <c r="F103" s="14">
        <v>3</v>
      </c>
      <c r="G103" s="116" t="str">
        <f t="shared" si="38"/>
        <v>AIF431-3</v>
      </c>
      <c r="H103" s="14" t="s">
        <v>282</v>
      </c>
      <c r="I103" s="15" t="s">
        <v>388</v>
      </c>
      <c r="J103" s="14" t="e">
        <f>VLOOKUP(G103,'Data Akademik'!$A$14:$D$315,3,FALSE)</f>
        <v>#N/A</v>
      </c>
      <c r="K103" s="14" t="e">
        <f>VLOOKUP(G103,'Data Akademik'!$E$14:$H$315,3,FALSE)</f>
        <v>#N/A</v>
      </c>
      <c r="L103" s="14">
        <f>VLOOKUP(G103,'Data Akademik'!$O$15:$Q$315,3,FALSE)</f>
        <v>0</v>
      </c>
      <c r="M103" s="14" t="str">
        <f t="shared" si="26"/>
        <v/>
      </c>
      <c r="N103" s="14" t="str">
        <f t="shared" si="27"/>
        <v/>
      </c>
      <c r="O103" s="204" t="str">
        <f t="shared" si="39"/>
        <v/>
      </c>
      <c r="P103" s="117" t="str">
        <f t="shared" ca="1" si="40"/>
        <v/>
      </c>
      <c r="Q103" s="242">
        <v>3000</v>
      </c>
      <c r="R103" s="242">
        <f t="shared" si="18"/>
        <v>0</v>
      </c>
      <c r="S103" s="242">
        <f>IF(ISBLANK(O103),-1,VLOOKUP(O103,'Nilai Kurikulum 2013'!$B$178:$C$183,2,FALSE))</f>
        <v>-1</v>
      </c>
      <c r="T103" s="242">
        <f ca="1">IF(AND(ISNA(MATCH(E103,'Hapus MK'!$N$13:$N$32,0)),ISNA(MATCH(E103,'Hapus MK'!$Q$13:$Q$30,0)))=TRUE,S103,-1)</f>
        <v>-1</v>
      </c>
      <c r="U103" s="242">
        <f t="shared" si="28"/>
        <v>0</v>
      </c>
      <c r="V103" s="242">
        <f t="shared" ca="1" si="29"/>
        <v>0</v>
      </c>
      <c r="W103" s="242">
        <f t="shared" ca="1" si="41"/>
        <v>0</v>
      </c>
      <c r="X103" s="242" t="str">
        <f t="shared" si="21"/>
        <v/>
      </c>
    </row>
    <row r="104" spans="2:24" ht="15.75" x14ac:dyDescent="0.25">
      <c r="B104" s="208">
        <v>100</v>
      </c>
      <c r="C104" s="348"/>
      <c r="D104" s="14">
        <v>2</v>
      </c>
      <c r="E104" s="17" t="s">
        <v>169</v>
      </c>
      <c r="F104" s="14">
        <v>3</v>
      </c>
      <c r="G104" s="116" t="str">
        <f t="shared" si="38"/>
        <v>AIF433-3</v>
      </c>
      <c r="H104" s="14" t="s">
        <v>282</v>
      </c>
      <c r="I104" s="15" t="s">
        <v>389</v>
      </c>
      <c r="J104" s="14" t="e">
        <f>VLOOKUP(G104,'Data Akademik'!$A$14:$D$315,3,FALSE)</f>
        <v>#N/A</v>
      </c>
      <c r="K104" s="14" t="e">
        <f>VLOOKUP(G104,'Data Akademik'!$E$14:$H$315,3,FALSE)</f>
        <v>#N/A</v>
      </c>
      <c r="L104" s="14">
        <f>VLOOKUP(G104,'Data Akademik'!$O$15:$Q$315,3,FALSE)</f>
        <v>0</v>
      </c>
      <c r="M104" s="14" t="str">
        <f t="shared" si="26"/>
        <v/>
      </c>
      <c r="N104" s="14" t="str">
        <f t="shared" si="27"/>
        <v/>
      </c>
      <c r="O104" s="204" t="str">
        <f t="shared" si="39"/>
        <v/>
      </c>
      <c r="P104" s="117" t="str">
        <f t="shared" ca="1" si="40"/>
        <v/>
      </c>
      <c r="Q104" s="242">
        <v>3000</v>
      </c>
      <c r="R104" s="242">
        <f t="shared" si="18"/>
        <v>0</v>
      </c>
      <c r="S104" s="242">
        <f>IF(ISBLANK(O104),-1,VLOOKUP(O104,'Nilai Kurikulum 2013'!$B$178:$C$183,2,FALSE))</f>
        <v>-1</v>
      </c>
      <c r="T104" s="242">
        <f ca="1">IF(AND(ISNA(MATCH(E104,'Hapus MK'!$N$13:$N$32,0)),ISNA(MATCH(E104,'Hapus MK'!$Q$13:$Q$30,0)))=TRUE,S104,-1)</f>
        <v>-1</v>
      </c>
      <c r="U104" s="242">
        <f t="shared" si="28"/>
        <v>0</v>
      </c>
      <c r="V104" s="242">
        <f t="shared" ca="1" si="29"/>
        <v>0</v>
      </c>
      <c r="W104" s="242">
        <f t="shared" ca="1" si="41"/>
        <v>0</v>
      </c>
      <c r="X104" s="242" t="str">
        <f t="shared" si="21"/>
        <v/>
      </c>
    </row>
    <row r="105" spans="2:24" ht="15.75" x14ac:dyDescent="0.25">
      <c r="B105" s="208">
        <v>101</v>
      </c>
      <c r="C105" s="348"/>
      <c r="D105" s="14">
        <v>3</v>
      </c>
      <c r="E105" s="17" t="s">
        <v>170</v>
      </c>
      <c r="F105" s="14">
        <v>3</v>
      </c>
      <c r="G105" s="116" t="str">
        <f t="shared" si="38"/>
        <v>AIF435-3</v>
      </c>
      <c r="H105" s="14" t="s">
        <v>282</v>
      </c>
      <c r="I105" s="15" t="s">
        <v>390</v>
      </c>
      <c r="J105" s="14" t="e">
        <f>VLOOKUP(G105,'Data Akademik'!$A$14:$D$315,3,FALSE)</f>
        <v>#N/A</v>
      </c>
      <c r="K105" s="14" t="e">
        <f>VLOOKUP(G105,'Data Akademik'!$E$14:$H$315,3,FALSE)</f>
        <v>#N/A</v>
      </c>
      <c r="L105" s="14">
        <f>VLOOKUP(G105,'Data Akademik'!$O$15:$Q$315,3,FALSE)</f>
        <v>0</v>
      </c>
      <c r="M105" s="14" t="str">
        <f t="shared" si="26"/>
        <v/>
      </c>
      <c r="N105" s="14" t="str">
        <f t="shared" si="27"/>
        <v/>
      </c>
      <c r="O105" s="204" t="str">
        <f t="shared" si="39"/>
        <v/>
      </c>
      <c r="P105" s="117" t="str">
        <f t="shared" ca="1" si="40"/>
        <v/>
      </c>
      <c r="Q105" s="242">
        <v>3000</v>
      </c>
      <c r="R105" s="242">
        <f t="shared" si="18"/>
        <v>0</v>
      </c>
      <c r="S105" s="242">
        <f>IF(ISBLANK(O105),-1,VLOOKUP(O105,'Nilai Kurikulum 2013'!$B$178:$C$183,2,FALSE))</f>
        <v>-1</v>
      </c>
      <c r="T105" s="242">
        <f ca="1">IF(AND(ISNA(MATCH(E105,'Hapus MK'!$N$13:$N$32,0)),ISNA(MATCH(E105,'Hapus MK'!$Q$13:$Q$30,0)))=TRUE,S105,-1)</f>
        <v>-1</v>
      </c>
      <c r="U105" s="242">
        <f t="shared" si="28"/>
        <v>0</v>
      </c>
      <c r="V105" s="242">
        <f t="shared" ca="1" si="29"/>
        <v>0</v>
      </c>
      <c r="W105" s="242">
        <f t="shared" ca="1" si="41"/>
        <v>0</v>
      </c>
      <c r="X105" s="242" t="str">
        <f t="shared" si="21"/>
        <v/>
      </c>
    </row>
    <row r="106" spans="2:24" ht="15.75" x14ac:dyDescent="0.25">
      <c r="B106" s="208">
        <v>102</v>
      </c>
      <c r="C106" s="348"/>
      <c r="D106" s="14">
        <v>4</v>
      </c>
      <c r="E106" s="17" t="s">
        <v>171</v>
      </c>
      <c r="F106" s="14">
        <v>3</v>
      </c>
      <c r="G106" s="116" t="str">
        <f t="shared" si="38"/>
        <v>AIF437-3</v>
      </c>
      <c r="H106" s="14" t="s">
        <v>282</v>
      </c>
      <c r="I106" s="15" t="s">
        <v>391</v>
      </c>
      <c r="J106" s="14" t="e">
        <f>VLOOKUP(G106,'Data Akademik'!$A$14:$D$315,3,FALSE)</f>
        <v>#N/A</v>
      </c>
      <c r="K106" s="14" t="e">
        <f>VLOOKUP(G106,'Data Akademik'!$E$14:$H$315,3,FALSE)</f>
        <v>#N/A</v>
      </c>
      <c r="L106" s="14">
        <f>VLOOKUP(G106,'Data Akademik'!$O$15:$Q$315,3,FALSE)</f>
        <v>0</v>
      </c>
      <c r="M106" s="14" t="str">
        <f t="shared" si="26"/>
        <v/>
      </c>
      <c r="N106" s="14" t="str">
        <f t="shared" si="27"/>
        <v/>
      </c>
      <c r="O106" s="204" t="str">
        <f t="shared" si="39"/>
        <v/>
      </c>
      <c r="P106" s="117" t="str">
        <f t="shared" ca="1" si="40"/>
        <v/>
      </c>
      <c r="Q106" s="242">
        <v>3000</v>
      </c>
      <c r="R106" s="242">
        <f t="shared" si="18"/>
        <v>0</v>
      </c>
      <c r="S106" s="242">
        <f>IF(ISBLANK(O106),-1,VLOOKUP(O106,'Nilai Kurikulum 2013'!$B$178:$C$183,2,FALSE))</f>
        <v>-1</v>
      </c>
      <c r="T106" s="242">
        <f ca="1">IF(AND(ISNA(MATCH(E106,'Hapus MK'!$N$13:$N$32,0)),ISNA(MATCH(E106,'Hapus MK'!$Q$13:$Q$30,0)))=TRUE,S106,-1)</f>
        <v>-1</v>
      </c>
      <c r="U106" s="242">
        <f t="shared" si="28"/>
        <v>0</v>
      </c>
      <c r="V106" s="242">
        <f t="shared" ca="1" si="29"/>
        <v>0</v>
      </c>
      <c r="W106" s="242">
        <f t="shared" ca="1" si="41"/>
        <v>0</v>
      </c>
      <c r="X106" s="242" t="str">
        <f t="shared" si="21"/>
        <v/>
      </c>
    </row>
    <row r="107" spans="2:24" ht="15.75" x14ac:dyDescent="0.25">
      <c r="B107" s="208">
        <v>103</v>
      </c>
      <c r="C107" s="348"/>
      <c r="D107" s="14">
        <v>5</v>
      </c>
      <c r="E107" s="17" t="s">
        <v>172</v>
      </c>
      <c r="F107" s="14">
        <v>3</v>
      </c>
      <c r="G107" s="116" t="str">
        <f t="shared" si="38"/>
        <v>AIF439-3</v>
      </c>
      <c r="H107" s="14" t="s">
        <v>282</v>
      </c>
      <c r="I107" s="15" t="s">
        <v>392</v>
      </c>
      <c r="J107" s="14" t="e">
        <f>VLOOKUP(G107,'Data Akademik'!$A$14:$D$315,3,FALSE)</f>
        <v>#N/A</v>
      </c>
      <c r="K107" s="14" t="e">
        <f>VLOOKUP(G107,'Data Akademik'!$E$14:$H$315,3,FALSE)</f>
        <v>#N/A</v>
      </c>
      <c r="L107" s="14">
        <f>VLOOKUP(G107,'Data Akademik'!$O$15:$Q$315,3,FALSE)</f>
        <v>0</v>
      </c>
      <c r="M107" s="14" t="str">
        <f t="shared" si="26"/>
        <v/>
      </c>
      <c r="N107" s="14" t="str">
        <f t="shared" si="27"/>
        <v/>
      </c>
      <c r="O107" s="204" t="str">
        <f t="shared" si="39"/>
        <v/>
      </c>
      <c r="P107" s="117" t="str">
        <f t="shared" ca="1" si="40"/>
        <v/>
      </c>
      <c r="Q107" s="242">
        <v>3000</v>
      </c>
      <c r="R107" s="242">
        <f t="shared" si="18"/>
        <v>0</v>
      </c>
      <c r="S107" s="242">
        <f>IF(ISBLANK(O107),-1,VLOOKUP(O107,'Nilai Kurikulum 2013'!$B$178:$C$183,2,FALSE))</f>
        <v>-1</v>
      </c>
      <c r="T107" s="242">
        <f ca="1">IF(AND(ISNA(MATCH(E107,'Hapus MK'!$N$13:$N$32,0)),ISNA(MATCH(E107,'Hapus MK'!$Q$13:$Q$30,0)))=TRUE,S107,-1)</f>
        <v>-1</v>
      </c>
      <c r="U107" s="242">
        <f t="shared" si="28"/>
        <v>0</v>
      </c>
      <c r="V107" s="242">
        <f t="shared" ca="1" si="29"/>
        <v>0</v>
      </c>
      <c r="W107" s="242">
        <f t="shared" ca="1" si="41"/>
        <v>0</v>
      </c>
      <c r="X107" s="242" t="str">
        <f t="shared" si="21"/>
        <v/>
      </c>
    </row>
    <row r="108" spans="2:24" ht="15.75" x14ac:dyDescent="0.25">
      <c r="B108" s="208">
        <v>104</v>
      </c>
      <c r="C108" s="348"/>
      <c r="D108" s="14">
        <v>6</v>
      </c>
      <c r="E108" s="17" t="s">
        <v>173</v>
      </c>
      <c r="F108" s="14">
        <v>3</v>
      </c>
      <c r="G108" s="116" t="str">
        <f t="shared" si="38"/>
        <v>AIF441-3</v>
      </c>
      <c r="H108" s="14" t="s">
        <v>282</v>
      </c>
      <c r="I108" s="15" t="s">
        <v>393</v>
      </c>
      <c r="J108" s="14" t="e">
        <f>VLOOKUP(G108,'Data Akademik'!$A$14:$D$315,3,FALSE)</f>
        <v>#N/A</v>
      </c>
      <c r="K108" s="14" t="e">
        <f>VLOOKUP(G108,'Data Akademik'!$E$14:$H$315,3,FALSE)</f>
        <v>#N/A</v>
      </c>
      <c r="L108" s="14">
        <f>VLOOKUP(G108,'Data Akademik'!$O$15:$Q$315,3,FALSE)</f>
        <v>0</v>
      </c>
      <c r="M108" s="14" t="str">
        <f t="shared" si="26"/>
        <v/>
      </c>
      <c r="N108" s="14" t="str">
        <f t="shared" si="27"/>
        <v/>
      </c>
      <c r="O108" s="204" t="str">
        <f t="shared" si="39"/>
        <v/>
      </c>
      <c r="P108" s="117" t="str">
        <f t="shared" ca="1" si="40"/>
        <v/>
      </c>
      <c r="Q108" s="242">
        <v>3000</v>
      </c>
      <c r="R108" s="242">
        <f t="shared" si="18"/>
        <v>0</v>
      </c>
      <c r="S108" s="242">
        <f>IF(ISBLANK(O108),-1,VLOOKUP(O108,'Nilai Kurikulum 2013'!$B$178:$C$183,2,FALSE))</f>
        <v>-1</v>
      </c>
      <c r="T108" s="242">
        <f ca="1">IF(AND(ISNA(MATCH(E108,'Hapus MK'!$N$13:$N$32,0)),ISNA(MATCH(E108,'Hapus MK'!$Q$13:$Q$30,0)))=TRUE,S108,-1)</f>
        <v>-1</v>
      </c>
      <c r="U108" s="242">
        <f t="shared" si="28"/>
        <v>0</v>
      </c>
      <c r="V108" s="242">
        <f t="shared" ca="1" si="29"/>
        <v>0</v>
      </c>
      <c r="W108" s="242">
        <f t="shared" ca="1" si="41"/>
        <v>0</v>
      </c>
      <c r="X108" s="242" t="str">
        <f t="shared" si="21"/>
        <v/>
      </c>
    </row>
    <row r="109" spans="2:24" ht="15.75" x14ac:dyDescent="0.25">
      <c r="B109" s="208">
        <v>105</v>
      </c>
      <c r="C109" s="348"/>
      <c r="D109" s="14">
        <v>7</v>
      </c>
      <c r="E109" s="17" t="s">
        <v>174</v>
      </c>
      <c r="F109" s="14">
        <v>3</v>
      </c>
      <c r="G109" s="116" t="str">
        <f t="shared" si="38"/>
        <v>AIF443-3</v>
      </c>
      <c r="H109" s="14" t="s">
        <v>282</v>
      </c>
      <c r="I109" s="15" t="s">
        <v>394</v>
      </c>
      <c r="J109" s="14" t="e">
        <f>VLOOKUP(G109,'Data Akademik'!$A$14:$D$315,3,FALSE)</f>
        <v>#N/A</v>
      </c>
      <c r="K109" s="14" t="e">
        <f>VLOOKUP(G109,'Data Akademik'!$E$14:$H$315,3,FALSE)</f>
        <v>#N/A</v>
      </c>
      <c r="L109" s="14">
        <f>VLOOKUP(G109,'Data Akademik'!$O$15:$Q$315,3,FALSE)</f>
        <v>0</v>
      </c>
      <c r="M109" s="14" t="str">
        <f t="shared" si="26"/>
        <v/>
      </c>
      <c r="N109" s="14" t="str">
        <f t="shared" si="27"/>
        <v/>
      </c>
      <c r="O109" s="204" t="str">
        <f t="shared" si="39"/>
        <v/>
      </c>
      <c r="P109" s="117" t="str">
        <f t="shared" ca="1" si="40"/>
        <v/>
      </c>
      <c r="Q109" s="242">
        <v>3000</v>
      </c>
      <c r="R109" s="242">
        <f t="shared" si="18"/>
        <v>0</v>
      </c>
      <c r="S109" s="242">
        <f>IF(ISBLANK(O109),-1,VLOOKUP(O109,'Nilai Kurikulum 2013'!$B$178:$C$183,2,FALSE))</f>
        <v>-1</v>
      </c>
      <c r="T109" s="242">
        <f ca="1">IF(AND(ISNA(MATCH(E109,'Hapus MK'!$N$13:$N$32,0)),ISNA(MATCH(E109,'Hapus MK'!$Q$13:$Q$30,0)))=TRUE,S109,-1)</f>
        <v>-1</v>
      </c>
      <c r="U109" s="242">
        <f t="shared" si="28"/>
        <v>0</v>
      </c>
      <c r="V109" s="242">
        <f t="shared" ca="1" si="29"/>
        <v>0</v>
      </c>
      <c r="W109" s="242">
        <f t="shared" ca="1" si="41"/>
        <v>0</v>
      </c>
      <c r="X109" s="242" t="str">
        <f t="shared" si="21"/>
        <v/>
      </c>
    </row>
    <row r="110" spans="2:24" ht="15.75" x14ac:dyDescent="0.25">
      <c r="B110" s="208">
        <v>106</v>
      </c>
      <c r="C110" s="348"/>
      <c r="D110" s="14">
        <v>8</v>
      </c>
      <c r="E110" s="17" t="s">
        <v>175</v>
      </c>
      <c r="F110" s="14">
        <v>3</v>
      </c>
      <c r="G110" s="116" t="str">
        <f t="shared" si="38"/>
        <v>AIF445-3</v>
      </c>
      <c r="H110" s="14" t="s">
        <v>282</v>
      </c>
      <c r="I110" s="15" t="s">
        <v>395</v>
      </c>
      <c r="J110" s="14" t="str">
        <f>VLOOKUP(G110,'Data Akademik'!$A$14:$D$315,3,FALSE)</f>
        <v>B</v>
      </c>
      <c r="K110" s="14" t="e">
        <f>VLOOKUP(G110,'Data Akademik'!$E$14:$H$315,3,FALSE)</f>
        <v>#N/A</v>
      </c>
      <c r="L110" s="14">
        <f>VLOOKUP(G110,'Data Akademik'!$O$15:$Q$315,3,FALSE)</f>
        <v>0</v>
      </c>
      <c r="M110" s="14" t="str">
        <f t="shared" si="26"/>
        <v>B</v>
      </c>
      <c r="N110" s="14" t="str">
        <f t="shared" si="27"/>
        <v>B</v>
      </c>
      <c r="O110" s="204" t="str">
        <f t="shared" si="39"/>
        <v>B</v>
      </c>
      <c r="P110" s="117" t="str">
        <f t="shared" ca="1" si="40"/>
        <v>B</v>
      </c>
      <c r="Q110" s="242">
        <v>3000</v>
      </c>
      <c r="R110" s="242">
        <f t="shared" si="18"/>
        <v>0</v>
      </c>
      <c r="S110" s="242">
        <f>IF(ISBLANK(O110),-1,VLOOKUP(O110,'Nilai Kurikulum 2013'!$B$178:$C$183,2,FALSE))</f>
        <v>3</v>
      </c>
      <c r="T110" s="242">
        <f ca="1">IF(AND(ISNA(MATCH(E110,'Hapus MK'!$N$13:$N$32,0)),ISNA(MATCH(E110,'Hapus MK'!$Q$13:$Q$30,0)))=TRUE,S110,-1)</f>
        <v>3</v>
      </c>
      <c r="U110" s="242">
        <f t="shared" si="28"/>
        <v>3</v>
      </c>
      <c r="V110" s="242">
        <f t="shared" ca="1" si="29"/>
        <v>3</v>
      </c>
      <c r="W110" s="242">
        <f t="shared" ca="1" si="41"/>
        <v>0</v>
      </c>
      <c r="X110" s="242" t="str">
        <f t="shared" si="21"/>
        <v>AIF445</v>
      </c>
    </row>
    <row r="111" spans="2:24" ht="15.75" x14ac:dyDescent="0.25">
      <c r="B111" s="208">
        <v>107</v>
      </c>
      <c r="C111" s="348"/>
      <c r="D111" s="14">
        <v>9</v>
      </c>
      <c r="E111" s="17" t="s">
        <v>176</v>
      </c>
      <c r="F111" s="14">
        <v>3</v>
      </c>
      <c r="G111" s="116" t="str">
        <f t="shared" si="38"/>
        <v>AIF447-3</v>
      </c>
      <c r="H111" s="14" t="s">
        <v>282</v>
      </c>
      <c r="I111" s="15" t="s">
        <v>396</v>
      </c>
      <c r="J111" s="14" t="e">
        <f>VLOOKUP(G111,'Data Akademik'!$A$14:$D$315,3,FALSE)</f>
        <v>#N/A</v>
      </c>
      <c r="K111" s="14" t="e">
        <f>VLOOKUP(G111,'Data Akademik'!$E$14:$H$315,3,FALSE)</f>
        <v>#N/A</v>
      </c>
      <c r="L111" s="14">
        <f>VLOOKUP(G111,'Data Akademik'!$O$15:$Q$315,3,FALSE)</f>
        <v>0</v>
      </c>
      <c r="M111" s="14" t="str">
        <f t="shared" si="26"/>
        <v/>
      </c>
      <c r="N111" s="14" t="str">
        <f t="shared" si="27"/>
        <v/>
      </c>
      <c r="O111" s="204" t="str">
        <f t="shared" si="39"/>
        <v/>
      </c>
      <c r="P111" s="117" t="str">
        <f t="shared" ca="1" si="40"/>
        <v/>
      </c>
      <c r="Q111" s="242">
        <v>3000</v>
      </c>
      <c r="R111" s="242">
        <f t="shared" si="18"/>
        <v>0</v>
      </c>
      <c r="S111" s="242">
        <f>IF(ISBLANK(O111),-1,VLOOKUP(O111,'Nilai Kurikulum 2013'!$B$178:$C$183,2,FALSE))</f>
        <v>-1</v>
      </c>
      <c r="T111" s="242">
        <f ca="1">IF(AND(ISNA(MATCH(E111,'Hapus MK'!$N$13:$N$32,0)),ISNA(MATCH(E111,'Hapus MK'!$Q$13:$Q$30,0)))=TRUE,S111,-1)</f>
        <v>-1</v>
      </c>
      <c r="U111" s="242">
        <f t="shared" si="28"/>
        <v>0</v>
      </c>
      <c r="V111" s="242">
        <f t="shared" ca="1" si="29"/>
        <v>0</v>
      </c>
      <c r="W111" s="242">
        <f t="shared" ca="1" si="41"/>
        <v>0</v>
      </c>
      <c r="X111" s="242" t="str">
        <f t="shared" si="21"/>
        <v/>
      </c>
    </row>
    <row r="112" spans="2:24" ht="15.75" x14ac:dyDescent="0.25">
      <c r="B112" s="208">
        <v>108</v>
      </c>
      <c r="C112" s="348"/>
      <c r="D112" s="14">
        <v>10</v>
      </c>
      <c r="E112" s="17" t="s">
        <v>177</v>
      </c>
      <c r="F112" s="14">
        <v>3</v>
      </c>
      <c r="G112" s="116" t="str">
        <f t="shared" si="38"/>
        <v>AIF449-3</v>
      </c>
      <c r="H112" s="14" t="s">
        <v>282</v>
      </c>
      <c r="I112" s="15" t="s">
        <v>397</v>
      </c>
      <c r="J112" s="14" t="e">
        <f>VLOOKUP(G112,'Data Akademik'!$A$14:$D$315,3,FALSE)</f>
        <v>#N/A</v>
      </c>
      <c r="K112" s="14" t="e">
        <f>VLOOKUP(G112,'Data Akademik'!$E$14:$H$315,3,FALSE)</f>
        <v>#N/A</v>
      </c>
      <c r="L112" s="14">
        <f>VLOOKUP(G112,'Data Akademik'!$O$15:$Q$315,3,FALSE)</f>
        <v>0</v>
      </c>
      <c r="M112" s="14" t="str">
        <f t="shared" si="26"/>
        <v/>
      </c>
      <c r="N112" s="14" t="str">
        <f t="shared" si="27"/>
        <v/>
      </c>
      <c r="O112" s="204" t="str">
        <f t="shared" si="39"/>
        <v/>
      </c>
      <c r="P112" s="117" t="str">
        <f t="shared" ca="1" si="40"/>
        <v/>
      </c>
      <c r="Q112" s="242">
        <v>3000</v>
      </c>
      <c r="R112" s="242">
        <f t="shared" ref="R112:R176" si="42">IF($O$1&gt;=Q112,F112,0)</f>
        <v>0</v>
      </c>
      <c r="S112" s="242">
        <f>IF(ISBLANK(O112),-1,VLOOKUP(O112,'Nilai Kurikulum 2013'!$B$178:$C$183,2,FALSE))</f>
        <v>-1</v>
      </c>
      <c r="T112" s="242">
        <f ca="1">IF(AND(ISNA(MATCH(E112,'Hapus MK'!$N$13:$N$32,0)),ISNA(MATCH(E112,'Hapus MK'!$Q$13:$Q$30,0)))=TRUE,S112,-1)</f>
        <v>-1</v>
      </c>
      <c r="U112" s="242">
        <f t="shared" si="28"/>
        <v>0</v>
      </c>
      <c r="V112" s="242">
        <f t="shared" ca="1" si="29"/>
        <v>0</v>
      </c>
      <c r="W112" s="242">
        <f t="shared" ca="1" si="41"/>
        <v>0</v>
      </c>
      <c r="X112" s="242" t="str">
        <f t="shared" si="21"/>
        <v/>
      </c>
    </row>
    <row r="113" spans="2:24" ht="15.75" x14ac:dyDescent="0.25">
      <c r="B113" s="208">
        <v>109</v>
      </c>
      <c r="C113" s="348"/>
      <c r="D113" s="14">
        <v>11</v>
      </c>
      <c r="E113" s="17" t="s">
        <v>178</v>
      </c>
      <c r="F113" s="14">
        <v>3</v>
      </c>
      <c r="G113" s="116" t="str">
        <f t="shared" si="38"/>
        <v>AIF451-3</v>
      </c>
      <c r="H113" s="14" t="s">
        <v>282</v>
      </c>
      <c r="I113" s="15" t="s">
        <v>398</v>
      </c>
      <c r="J113" s="14" t="e">
        <f>VLOOKUP(G113,'Data Akademik'!$A$14:$D$315,3,FALSE)</f>
        <v>#N/A</v>
      </c>
      <c r="K113" s="14" t="e">
        <f>VLOOKUP(G113,'Data Akademik'!$E$14:$H$315,3,FALSE)</f>
        <v>#N/A</v>
      </c>
      <c r="L113" s="14">
        <f>VLOOKUP(G113,'Data Akademik'!$O$15:$Q$315,3,FALSE)</f>
        <v>0</v>
      </c>
      <c r="M113" s="14" t="str">
        <f t="shared" si="26"/>
        <v/>
      </c>
      <c r="N113" s="14" t="str">
        <f t="shared" si="27"/>
        <v/>
      </c>
      <c r="O113" s="204" t="str">
        <f t="shared" si="39"/>
        <v/>
      </c>
      <c r="P113" s="117" t="str">
        <f t="shared" ca="1" si="40"/>
        <v/>
      </c>
      <c r="Q113" s="242">
        <v>3000</v>
      </c>
      <c r="R113" s="242">
        <f t="shared" si="42"/>
        <v>0</v>
      </c>
      <c r="S113" s="242">
        <f>IF(ISBLANK(O113),-1,VLOOKUP(O113,'Nilai Kurikulum 2013'!$B$178:$C$183,2,FALSE))</f>
        <v>-1</v>
      </c>
      <c r="T113" s="242">
        <f ca="1">IF(AND(ISNA(MATCH(E113,'Hapus MK'!$N$13:$N$32,0)),ISNA(MATCH(E113,'Hapus MK'!$Q$13:$Q$30,0)))=TRUE,S113,-1)</f>
        <v>-1</v>
      </c>
      <c r="U113" s="242">
        <f t="shared" si="28"/>
        <v>0</v>
      </c>
      <c r="V113" s="242">
        <f t="shared" ca="1" si="29"/>
        <v>0</v>
      </c>
      <c r="W113" s="242">
        <f t="shared" ca="1" si="41"/>
        <v>0</v>
      </c>
      <c r="X113" s="242" t="str">
        <f t="shared" si="21"/>
        <v/>
      </c>
    </row>
    <row r="114" spans="2:24" ht="15.75" x14ac:dyDescent="0.25">
      <c r="B114" s="208">
        <v>110</v>
      </c>
      <c r="C114" s="348"/>
      <c r="D114" s="14">
        <v>12</v>
      </c>
      <c r="E114" s="17" t="s">
        <v>179</v>
      </c>
      <c r="F114" s="14">
        <v>3</v>
      </c>
      <c r="G114" s="116" t="str">
        <f t="shared" si="38"/>
        <v>AIF453-3</v>
      </c>
      <c r="H114" s="14" t="s">
        <v>282</v>
      </c>
      <c r="I114" s="15" t="s">
        <v>399</v>
      </c>
      <c r="J114" s="14" t="e">
        <f>VLOOKUP(G114,'Data Akademik'!$A$14:$D$315,3,FALSE)</f>
        <v>#N/A</v>
      </c>
      <c r="K114" s="14" t="e">
        <f>VLOOKUP(G114,'Data Akademik'!$E$14:$H$315,3,FALSE)</f>
        <v>#N/A</v>
      </c>
      <c r="L114" s="14">
        <f>VLOOKUP(G114,'Data Akademik'!$O$15:$Q$315,3,FALSE)</f>
        <v>0</v>
      </c>
      <c r="M114" s="14" t="str">
        <f t="shared" si="26"/>
        <v/>
      </c>
      <c r="N114" s="14" t="str">
        <f t="shared" si="27"/>
        <v/>
      </c>
      <c r="O114" s="204" t="str">
        <f t="shared" si="39"/>
        <v/>
      </c>
      <c r="P114" s="117" t="str">
        <f t="shared" ca="1" si="40"/>
        <v/>
      </c>
      <c r="Q114" s="242">
        <v>3000</v>
      </c>
      <c r="R114" s="242">
        <f t="shared" si="42"/>
        <v>0</v>
      </c>
      <c r="S114" s="242">
        <f>IF(ISBLANK(O114),-1,VLOOKUP(O114,'Nilai Kurikulum 2013'!$B$178:$C$183,2,FALSE))</f>
        <v>-1</v>
      </c>
      <c r="T114" s="242">
        <f ca="1">IF(AND(ISNA(MATCH(E114,'Hapus MK'!$N$13:$N$32,0)),ISNA(MATCH(E114,'Hapus MK'!$Q$13:$Q$30,0)))=TRUE,S114,-1)</f>
        <v>-1</v>
      </c>
      <c r="U114" s="242">
        <f t="shared" si="28"/>
        <v>0</v>
      </c>
      <c r="V114" s="242">
        <f t="shared" ca="1" si="29"/>
        <v>0</v>
      </c>
      <c r="W114" s="242">
        <f t="shared" ca="1" si="41"/>
        <v>0</v>
      </c>
      <c r="X114" s="242" t="str">
        <f t="shared" si="21"/>
        <v/>
      </c>
    </row>
    <row r="115" spans="2:24" ht="15.75" x14ac:dyDescent="0.25">
      <c r="B115" s="208">
        <v>111</v>
      </c>
      <c r="C115" s="348"/>
      <c r="D115" s="14">
        <v>13</v>
      </c>
      <c r="E115" s="17" t="s">
        <v>180</v>
      </c>
      <c r="F115" s="14">
        <v>3</v>
      </c>
      <c r="G115" s="116" t="str">
        <f t="shared" si="38"/>
        <v>AIF455-3</v>
      </c>
      <c r="H115" s="14" t="s">
        <v>282</v>
      </c>
      <c r="I115" s="15" t="s">
        <v>400</v>
      </c>
      <c r="J115" s="14" t="e">
        <f>VLOOKUP(G115,'Data Akademik'!$A$14:$D$315,3,FALSE)</f>
        <v>#N/A</v>
      </c>
      <c r="K115" s="14" t="e">
        <f>VLOOKUP(G115,'Data Akademik'!$E$14:$H$315,3,FALSE)</f>
        <v>#N/A</v>
      </c>
      <c r="L115" s="14">
        <f>VLOOKUP(G115,'Data Akademik'!$O$15:$Q$315,3,FALSE)</f>
        <v>0</v>
      </c>
      <c r="M115" s="14" t="str">
        <f t="shared" si="26"/>
        <v/>
      </c>
      <c r="N115" s="14" t="str">
        <f t="shared" si="27"/>
        <v/>
      </c>
      <c r="O115" s="204" t="str">
        <f t="shared" si="39"/>
        <v/>
      </c>
      <c r="P115" s="117" t="str">
        <f t="shared" ca="1" si="40"/>
        <v/>
      </c>
      <c r="Q115" s="242">
        <v>3000</v>
      </c>
      <c r="R115" s="242">
        <f t="shared" si="42"/>
        <v>0</v>
      </c>
      <c r="S115" s="242">
        <f>IF(ISBLANK(O115),-1,VLOOKUP(O115,'Nilai Kurikulum 2013'!$B$178:$C$183,2,FALSE))</f>
        <v>-1</v>
      </c>
      <c r="T115" s="242">
        <f ca="1">IF(AND(ISNA(MATCH(E115,'Hapus MK'!$N$13:$N$32,0)),ISNA(MATCH(E115,'Hapus MK'!$Q$13:$Q$30,0)))=TRUE,S115,-1)</f>
        <v>-1</v>
      </c>
      <c r="U115" s="242">
        <f t="shared" si="28"/>
        <v>0</v>
      </c>
      <c r="V115" s="242">
        <f t="shared" ca="1" si="29"/>
        <v>0</v>
      </c>
      <c r="W115" s="242">
        <f t="shared" ca="1" si="41"/>
        <v>0</v>
      </c>
      <c r="X115" s="242" t="str">
        <f t="shared" si="21"/>
        <v/>
      </c>
    </row>
    <row r="116" spans="2:24" ht="15.75" x14ac:dyDescent="0.25">
      <c r="B116" s="208">
        <v>112</v>
      </c>
      <c r="C116" s="348"/>
      <c r="D116" s="14">
        <v>14</v>
      </c>
      <c r="E116" s="17" t="s">
        <v>181</v>
      </c>
      <c r="F116" s="14">
        <v>3</v>
      </c>
      <c r="G116" s="116" t="str">
        <f t="shared" si="38"/>
        <v>AIF457-3</v>
      </c>
      <c r="H116" s="14" t="s">
        <v>282</v>
      </c>
      <c r="I116" s="15" t="s">
        <v>401</v>
      </c>
      <c r="J116" s="14" t="str">
        <f>VLOOKUP(G116,'Data Akademik'!$A$14:$D$315,3,FALSE)</f>
        <v>C</v>
      </c>
      <c r="K116" s="14" t="e">
        <f>VLOOKUP(G116,'Data Akademik'!$E$14:$H$315,3,FALSE)</f>
        <v>#N/A</v>
      </c>
      <c r="L116" s="14">
        <f>VLOOKUP(G116,'Data Akademik'!$O$15:$Q$315,3,FALSE)</f>
        <v>0</v>
      </c>
      <c r="M116" s="14" t="str">
        <f t="shared" si="26"/>
        <v>C</v>
      </c>
      <c r="N116" s="14" t="str">
        <f t="shared" si="27"/>
        <v>C</v>
      </c>
      <c r="O116" s="204" t="str">
        <f t="shared" si="39"/>
        <v>C</v>
      </c>
      <c r="P116" s="117" t="str">
        <f t="shared" ca="1" si="40"/>
        <v>C</v>
      </c>
      <c r="Q116" s="242">
        <v>3000</v>
      </c>
      <c r="R116" s="242">
        <f t="shared" si="42"/>
        <v>0</v>
      </c>
      <c r="S116" s="242">
        <f>IF(ISBLANK(O116),-1,VLOOKUP(O116,'Nilai Kurikulum 2013'!$B$178:$C$183,2,FALSE))</f>
        <v>2</v>
      </c>
      <c r="T116" s="242">
        <f ca="1">IF(AND(ISNA(MATCH(E116,'Hapus MK'!$N$13:$N$32,0)),ISNA(MATCH(E116,'Hapus MK'!$Q$13:$Q$30,0)))=TRUE,S116,-1)</f>
        <v>2</v>
      </c>
      <c r="U116" s="242">
        <f t="shared" si="28"/>
        <v>3</v>
      </c>
      <c r="V116" s="242">
        <f t="shared" ca="1" si="29"/>
        <v>3</v>
      </c>
      <c r="W116" s="242">
        <f t="shared" ca="1" si="41"/>
        <v>0</v>
      </c>
      <c r="X116" s="242" t="str">
        <f t="shared" si="21"/>
        <v>AIF457</v>
      </c>
    </row>
    <row r="117" spans="2:24" ht="15.75" x14ac:dyDescent="0.25">
      <c r="B117" s="208">
        <v>113</v>
      </c>
      <c r="C117" s="348"/>
      <c r="D117" s="14">
        <v>15</v>
      </c>
      <c r="E117" s="17" t="s">
        <v>182</v>
      </c>
      <c r="F117" s="14">
        <v>3</v>
      </c>
      <c r="G117" s="116" t="str">
        <f t="shared" si="38"/>
        <v>AIF459-3</v>
      </c>
      <c r="H117" s="14" t="s">
        <v>282</v>
      </c>
      <c r="I117" s="15" t="s">
        <v>402</v>
      </c>
      <c r="J117" s="14" t="e">
        <f>VLOOKUP(G117,'Data Akademik'!$A$14:$D$315,3,FALSE)</f>
        <v>#N/A</v>
      </c>
      <c r="K117" s="14" t="e">
        <f>VLOOKUP(G117,'Data Akademik'!$E$14:$H$315,3,FALSE)</f>
        <v>#N/A</v>
      </c>
      <c r="L117" s="14">
        <f>VLOOKUP(G117,'Data Akademik'!$O$15:$Q$315,3,FALSE)</f>
        <v>0</v>
      </c>
      <c r="M117" s="14" t="str">
        <f t="shared" si="26"/>
        <v/>
      </c>
      <c r="N117" s="14" t="str">
        <f t="shared" si="27"/>
        <v/>
      </c>
      <c r="O117" s="204" t="str">
        <f t="shared" si="39"/>
        <v/>
      </c>
      <c r="P117" s="117" t="str">
        <f t="shared" ca="1" si="40"/>
        <v/>
      </c>
      <c r="Q117" s="242">
        <v>3000</v>
      </c>
      <c r="R117" s="242">
        <f t="shared" si="42"/>
        <v>0</v>
      </c>
      <c r="S117" s="242">
        <f>IF(ISBLANK(O117),-1,VLOOKUP(O117,'Nilai Kurikulum 2013'!$B$178:$C$183,2,FALSE))</f>
        <v>-1</v>
      </c>
      <c r="T117" s="242">
        <f ca="1">IF(AND(ISNA(MATCH(E117,'Hapus MK'!$N$13:$N$32,0)),ISNA(MATCH(E117,'Hapus MK'!$Q$13:$Q$30,0)))=TRUE,S117,-1)</f>
        <v>-1</v>
      </c>
      <c r="U117" s="242">
        <f t="shared" si="28"/>
        <v>0</v>
      </c>
      <c r="V117" s="242">
        <f t="shared" ca="1" si="29"/>
        <v>0</v>
      </c>
      <c r="W117" s="242">
        <f t="shared" ca="1" si="41"/>
        <v>0</v>
      </c>
      <c r="X117" s="242" t="str">
        <f t="shared" si="21"/>
        <v/>
      </c>
    </row>
    <row r="118" spans="2:24" ht="15.75" x14ac:dyDescent="0.25">
      <c r="B118" s="208">
        <v>114</v>
      </c>
      <c r="C118" s="348"/>
      <c r="D118" s="14">
        <v>16</v>
      </c>
      <c r="E118" s="17" t="s">
        <v>183</v>
      </c>
      <c r="F118" s="14">
        <v>2</v>
      </c>
      <c r="G118" s="116" t="str">
        <f t="shared" si="38"/>
        <v>AIF461-2</v>
      </c>
      <c r="H118" s="14" t="s">
        <v>282</v>
      </c>
      <c r="I118" s="15" t="s">
        <v>403</v>
      </c>
      <c r="J118" s="14" t="e">
        <f>VLOOKUP(G118,'Data Akademik'!$A$14:$D$315,3,FALSE)</f>
        <v>#N/A</v>
      </c>
      <c r="K118" s="14" t="e">
        <f>VLOOKUP(G118,'Data Akademik'!$E$14:$H$315,3,FALSE)</f>
        <v>#N/A</v>
      </c>
      <c r="L118" s="14">
        <f>VLOOKUP(G118,'Data Akademik'!$O$15:$Q$315,3,FALSE)</f>
        <v>0</v>
      </c>
      <c r="M118" s="14" t="str">
        <f t="shared" si="26"/>
        <v/>
      </c>
      <c r="N118" s="14" t="str">
        <f t="shared" si="27"/>
        <v/>
      </c>
      <c r="O118" s="204" t="str">
        <f t="shared" si="39"/>
        <v/>
      </c>
      <c r="P118" s="117" t="str">
        <f t="shared" ca="1" si="40"/>
        <v/>
      </c>
      <c r="Q118" s="242">
        <v>3000</v>
      </c>
      <c r="R118" s="242">
        <f t="shared" si="42"/>
        <v>0</v>
      </c>
      <c r="S118" s="242">
        <f>IF(ISBLANK(O118),-1,VLOOKUP(O118,'Nilai Kurikulum 2013'!$B$178:$C$183,2,FALSE))</f>
        <v>-1</v>
      </c>
      <c r="T118" s="242">
        <f ca="1">IF(AND(ISNA(MATCH(E118,'Hapus MK'!$N$13:$N$32,0)),ISNA(MATCH(E118,'Hapus MK'!$Q$13:$Q$30,0)))=TRUE,S118,-1)</f>
        <v>-1</v>
      </c>
      <c r="U118" s="242">
        <f t="shared" si="28"/>
        <v>0</v>
      </c>
      <c r="V118" s="242">
        <f t="shared" ca="1" si="29"/>
        <v>0</v>
      </c>
      <c r="W118" s="242">
        <f t="shared" ca="1" si="41"/>
        <v>0</v>
      </c>
      <c r="X118" s="242" t="str">
        <f t="shared" si="21"/>
        <v/>
      </c>
    </row>
    <row r="119" spans="2:24" ht="15.75" x14ac:dyDescent="0.25">
      <c r="B119" s="208">
        <v>115</v>
      </c>
      <c r="C119" s="348"/>
      <c r="D119" s="14">
        <v>17</v>
      </c>
      <c r="E119" s="17" t="s">
        <v>184</v>
      </c>
      <c r="F119" s="14">
        <v>3</v>
      </c>
      <c r="G119" s="116" t="str">
        <f t="shared" si="38"/>
        <v>AIF463-3</v>
      </c>
      <c r="H119" s="14" t="s">
        <v>282</v>
      </c>
      <c r="I119" s="15" t="s">
        <v>404</v>
      </c>
      <c r="J119" s="14" t="e">
        <f>VLOOKUP(G119,'Data Akademik'!$A$14:$D$315,3,FALSE)</f>
        <v>#N/A</v>
      </c>
      <c r="K119" s="14" t="e">
        <f>VLOOKUP(G119,'Data Akademik'!$E$14:$H$315,3,FALSE)</f>
        <v>#N/A</v>
      </c>
      <c r="L119" s="14">
        <f>VLOOKUP(G119,'Data Akademik'!$O$15:$Q$315,3,FALSE)</f>
        <v>0</v>
      </c>
      <c r="M119" s="14" t="str">
        <f t="shared" si="26"/>
        <v/>
      </c>
      <c r="N119" s="14" t="str">
        <f t="shared" si="27"/>
        <v/>
      </c>
      <c r="O119" s="204" t="str">
        <f t="shared" si="39"/>
        <v/>
      </c>
      <c r="P119" s="117" t="str">
        <f t="shared" ca="1" si="40"/>
        <v/>
      </c>
      <c r="Q119" s="242">
        <v>3000</v>
      </c>
      <c r="R119" s="242">
        <f t="shared" si="42"/>
        <v>0</v>
      </c>
      <c r="S119" s="242">
        <f>IF(ISBLANK(O119),-1,VLOOKUP(O119,'Nilai Kurikulum 2013'!$B$178:$C$183,2,FALSE))</f>
        <v>-1</v>
      </c>
      <c r="T119" s="242">
        <f ca="1">IF(AND(ISNA(MATCH(E119,'Hapus MK'!$N$13:$N$32,0)),ISNA(MATCH(E119,'Hapus MK'!$Q$13:$Q$30,0)))=TRUE,S119,-1)</f>
        <v>-1</v>
      </c>
      <c r="U119" s="242">
        <f t="shared" si="28"/>
        <v>0</v>
      </c>
      <c r="V119" s="242">
        <f t="shared" ca="1" si="29"/>
        <v>0</v>
      </c>
      <c r="W119" s="242">
        <f t="shared" ca="1" si="41"/>
        <v>0</v>
      </c>
      <c r="X119" s="242" t="str">
        <f t="shared" si="21"/>
        <v/>
      </c>
    </row>
    <row r="120" spans="2:24" ht="15.75" x14ac:dyDescent="0.25">
      <c r="B120" s="208">
        <v>116</v>
      </c>
      <c r="C120" s="348"/>
      <c r="D120" s="14">
        <v>18</v>
      </c>
      <c r="E120" s="17" t="s">
        <v>185</v>
      </c>
      <c r="F120" s="14">
        <v>3</v>
      </c>
      <c r="G120" s="116" t="str">
        <f t="shared" si="38"/>
        <v>AIF465-3</v>
      </c>
      <c r="H120" s="14" t="s">
        <v>282</v>
      </c>
      <c r="I120" s="15" t="s">
        <v>405</v>
      </c>
      <c r="J120" s="14" t="e">
        <f>VLOOKUP(G120,'Data Akademik'!$A$14:$D$315,3,FALSE)</f>
        <v>#N/A</v>
      </c>
      <c r="K120" s="14" t="e">
        <f>VLOOKUP(G120,'Data Akademik'!$E$14:$H$315,3,FALSE)</f>
        <v>#N/A</v>
      </c>
      <c r="L120" s="14">
        <f>VLOOKUP(G120,'Data Akademik'!$O$15:$Q$315,3,FALSE)</f>
        <v>0</v>
      </c>
      <c r="M120" s="14" t="str">
        <f t="shared" si="26"/>
        <v/>
      </c>
      <c r="N120" s="14" t="str">
        <f t="shared" si="27"/>
        <v/>
      </c>
      <c r="O120" s="204" t="str">
        <f t="shared" si="39"/>
        <v/>
      </c>
      <c r="P120" s="117" t="str">
        <f t="shared" ca="1" si="40"/>
        <v/>
      </c>
      <c r="Q120" s="242">
        <v>3000</v>
      </c>
      <c r="R120" s="242">
        <f t="shared" si="42"/>
        <v>0</v>
      </c>
      <c r="S120" s="242">
        <f>IF(ISBLANK(O120),-1,VLOOKUP(O120,'Nilai Kurikulum 2013'!$B$178:$C$183,2,FALSE))</f>
        <v>-1</v>
      </c>
      <c r="T120" s="242">
        <f ca="1">IF(AND(ISNA(MATCH(E120,'Hapus MK'!$N$13:$N$32,0)),ISNA(MATCH(E120,'Hapus MK'!$Q$13:$Q$30,0)))=TRUE,S120,-1)</f>
        <v>-1</v>
      </c>
      <c r="U120" s="242">
        <f t="shared" si="28"/>
        <v>0</v>
      </c>
      <c r="V120" s="242">
        <f t="shared" ca="1" si="29"/>
        <v>0</v>
      </c>
      <c r="W120" s="242">
        <f t="shared" ca="1" si="41"/>
        <v>0</v>
      </c>
      <c r="X120" s="242" t="str">
        <f t="shared" si="21"/>
        <v/>
      </c>
    </row>
    <row r="121" spans="2:24" ht="15.75" x14ac:dyDescent="0.25">
      <c r="B121" s="208">
        <v>117</v>
      </c>
      <c r="C121" s="348"/>
      <c r="D121" s="14">
        <v>19</v>
      </c>
      <c r="E121" s="17" t="s">
        <v>186</v>
      </c>
      <c r="F121" s="14">
        <v>3</v>
      </c>
      <c r="G121" s="116" t="str">
        <f t="shared" si="38"/>
        <v>AIF469-3</v>
      </c>
      <c r="H121" s="14" t="s">
        <v>282</v>
      </c>
      <c r="I121" s="15" t="s">
        <v>406</v>
      </c>
      <c r="J121" s="14" t="str">
        <f>VLOOKUP(G121,'Data Akademik'!$A$14:$D$315,3,FALSE)</f>
        <v>B</v>
      </c>
      <c r="K121" s="14" t="e">
        <f>VLOOKUP(G121,'Data Akademik'!$E$14:$H$315,3,FALSE)</f>
        <v>#N/A</v>
      </c>
      <c r="L121" s="14">
        <f>VLOOKUP(G121,'Data Akademik'!$O$15:$Q$315,3,FALSE)</f>
        <v>0</v>
      </c>
      <c r="M121" s="14" t="str">
        <f t="shared" si="26"/>
        <v>B</v>
      </c>
      <c r="N121" s="14" t="str">
        <f t="shared" si="27"/>
        <v>B</v>
      </c>
      <c r="O121" s="204" t="str">
        <f t="shared" si="39"/>
        <v>B</v>
      </c>
      <c r="P121" s="117" t="str">
        <f t="shared" ca="1" si="40"/>
        <v>B</v>
      </c>
      <c r="Q121" s="242">
        <v>3000</v>
      </c>
      <c r="R121" s="242">
        <f t="shared" si="42"/>
        <v>0</v>
      </c>
      <c r="S121" s="242">
        <f>IF(ISBLANK(O121),-1,VLOOKUP(O121,'Nilai Kurikulum 2013'!$B$178:$C$183,2,FALSE))</f>
        <v>3</v>
      </c>
      <c r="T121" s="242">
        <f ca="1">IF(AND(ISNA(MATCH(E121,'Hapus MK'!$N$13:$N$32,0)),ISNA(MATCH(E121,'Hapus MK'!$Q$13:$Q$30,0)))=TRUE,S121,-1)</f>
        <v>3</v>
      </c>
      <c r="U121" s="242">
        <f t="shared" si="28"/>
        <v>3</v>
      </c>
      <c r="V121" s="242">
        <f t="shared" ca="1" si="29"/>
        <v>3</v>
      </c>
      <c r="W121" s="242">
        <f t="shared" ca="1" si="41"/>
        <v>0</v>
      </c>
      <c r="X121" s="242" t="str">
        <f t="shared" si="21"/>
        <v>AIF469</v>
      </c>
    </row>
    <row r="122" spans="2:24" ht="15.75" x14ac:dyDescent="0.25">
      <c r="B122" s="208">
        <v>118</v>
      </c>
      <c r="C122" s="348"/>
      <c r="D122" s="14">
        <v>20</v>
      </c>
      <c r="E122" s="17" t="s">
        <v>187</v>
      </c>
      <c r="F122" s="14">
        <v>3</v>
      </c>
      <c r="G122" s="116" t="str">
        <f t="shared" si="38"/>
        <v>AIF481-3</v>
      </c>
      <c r="H122" s="14" t="s">
        <v>282</v>
      </c>
      <c r="I122" s="15" t="s">
        <v>407</v>
      </c>
      <c r="J122" s="14" t="e">
        <f>VLOOKUP(G122,'Data Akademik'!$A$14:$D$315,3,FALSE)</f>
        <v>#N/A</v>
      </c>
      <c r="K122" s="14" t="e">
        <f>VLOOKUP(G122,'Data Akademik'!$E$14:$H$315,3,FALSE)</f>
        <v>#N/A</v>
      </c>
      <c r="L122" s="14">
        <f>VLOOKUP(G122,'Data Akademik'!$O$15:$Q$315,3,FALSE)</f>
        <v>0</v>
      </c>
      <c r="M122" s="14" t="str">
        <f t="shared" si="26"/>
        <v/>
      </c>
      <c r="N122" s="14" t="str">
        <f t="shared" si="27"/>
        <v/>
      </c>
      <c r="O122" s="204" t="str">
        <f t="shared" si="39"/>
        <v/>
      </c>
      <c r="P122" s="117" t="str">
        <f t="shared" ca="1" si="40"/>
        <v/>
      </c>
      <c r="Q122" s="242">
        <v>3000</v>
      </c>
      <c r="R122" s="242">
        <f t="shared" si="42"/>
        <v>0</v>
      </c>
      <c r="S122" s="242">
        <f>IF(ISBLANK(O122),-1,VLOOKUP(O122,'Nilai Kurikulum 2013'!$B$178:$C$183,2,FALSE))</f>
        <v>-1</v>
      </c>
      <c r="T122" s="242">
        <f ca="1">IF(AND(ISNA(MATCH(E122,'Hapus MK'!$N$13:$N$32,0)),ISNA(MATCH(E122,'Hapus MK'!$Q$13:$Q$30,0)))=TRUE,S122,-1)</f>
        <v>-1</v>
      </c>
      <c r="U122" s="242">
        <f t="shared" si="28"/>
        <v>0</v>
      </c>
      <c r="V122" s="242">
        <f t="shared" ca="1" si="29"/>
        <v>0</v>
      </c>
      <c r="W122" s="242">
        <f t="shared" ca="1" si="41"/>
        <v>0</v>
      </c>
      <c r="X122" s="242" t="str">
        <f t="shared" ref="X122:X175" si="43">IF(U122&gt;0,E122,"")</f>
        <v/>
      </c>
    </row>
    <row r="123" spans="2:24" ht="15.75" x14ac:dyDescent="0.25">
      <c r="B123" s="208">
        <v>119</v>
      </c>
      <c r="C123" s="348"/>
      <c r="D123" s="14">
        <v>21</v>
      </c>
      <c r="E123" s="17" t="s">
        <v>188</v>
      </c>
      <c r="F123" s="14">
        <v>2</v>
      </c>
      <c r="G123" s="116" t="str">
        <f t="shared" si="38"/>
        <v>AIF483-2</v>
      </c>
      <c r="H123" s="14" t="s">
        <v>282</v>
      </c>
      <c r="I123" s="15" t="s">
        <v>408</v>
      </c>
      <c r="J123" s="14" t="e">
        <f>VLOOKUP(G123,'Data Akademik'!$A$14:$D$315,3,FALSE)</f>
        <v>#N/A</v>
      </c>
      <c r="K123" s="14" t="e">
        <f>VLOOKUP(G123,'Data Akademik'!$E$14:$H$315,3,FALSE)</f>
        <v>#N/A</v>
      </c>
      <c r="L123" s="14">
        <f>VLOOKUP(G123,'Data Akademik'!$O$15:$Q$315,3,FALSE)</f>
        <v>0</v>
      </c>
      <c r="M123" s="14" t="str">
        <f t="shared" si="26"/>
        <v/>
      </c>
      <c r="N123" s="14" t="str">
        <f t="shared" si="27"/>
        <v/>
      </c>
      <c r="O123" s="204" t="str">
        <f t="shared" si="39"/>
        <v/>
      </c>
      <c r="P123" s="117" t="str">
        <f t="shared" ca="1" si="40"/>
        <v/>
      </c>
      <c r="Q123" s="242">
        <v>3000</v>
      </c>
      <c r="R123" s="242">
        <f t="shared" si="42"/>
        <v>0</v>
      </c>
      <c r="S123" s="242">
        <f>IF(ISBLANK(O123),-1,VLOOKUP(O123,'Nilai Kurikulum 2013'!$B$178:$C$183,2,FALSE))</f>
        <v>-1</v>
      </c>
      <c r="T123" s="242">
        <f ca="1">IF(AND(ISNA(MATCH(E123,'Hapus MK'!$N$13:$N$32,0)),ISNA(MATCH(E123,'Hapus MK'!$Q$13:$Q$30,0)))=TRUE,S123,-1)</f>
        <v>-1</v>
      </c>
      <c r="U123" s="242">
        <f t="shared" si="28"/>
        <v>0</v>
      </c>
      <c r="V123" s="242">
        <f t="shared" ca="1" si="29"/>
        <v>0</v>
      </c>
      <c r="W123" s="242">
        <f t="shared" ca="1" si="41"/>
        <v>0</v>
      </c>
      <c r="X123" s="242" t="str">
        <f t="shared" si="43"/>
        <v/>
      </c>
    </row>
    <row r="124" spans="2:24" ht="15.75" x14ac:dyDescent="0.25">
      <c r="B124" s="208">
        <v>120</v>
      </c>
      <c r="C124" s="348"/>
      <c r="D124" s="14">
        <v>22</v>
      </c>
      <c r="E124" s="17" t="s">
        <v>189</v>
      </c>
      <c r="F124" s="14">
        <v>2</v>
      </c>
      <c r="G124" s="116" t="str">
        <f t="shared" si="38"/>
        <v>AIF485-2</v>
      </c>
      <c r="H124" s="14" t="s">
        <v>282</v>
      </c>
      <c r="I124" s="15" t="s">
        <v>409</v>
      </c>
      <c r="J124" s="14" t="e">
        <f>VLOOKUP(G124,'Data Akademik'!$A$14:$D$315,3,FALSE)</f>
        <v>#N/A</v>
      </c>
      <c r="K124" s="14" t="e">
        <f>VLOOKUP(G124,'Data Akademik'!$E$14:$H$315,3,FALSE)</f>
        <v>#N/A</v>
      </c>
      <c r="L124" s="14">
        <f>VLOOKUP(G124,'Data Akademik'!$O$15:$Q$315,3,FALSE)</f>
        <v>0</v>
      </c>
      <c r="M124" s="14" t="str">
        <f t="shared" si="26"/>
        <v/>
      </c>
      <c r="N124" s="14" t="str">
        <f t="shared" si="27"/>
        <v/>
      </c>
      <c r="O124" s="204" t="str">
        <f t="shared" si="39"/>
        <v/>
      </c>
      <c r="P124" s="117" t="str">
        <f t="shared" ca="1" si="40"/>
        <v/>
      </c>
      <c r="Q124" s="242">
        <v>3000</v>
      </c>
      <c r="R124" s="242">
        <f t="shared" si="42"/>
        <v>0</v>
      </c>
      <c r="S124" s="242">
        <f>IF(ISBLANK(O124),-1,VLOOKUP(O124,'Nilai Kurikulum 2013'!$B$178:$C$183,2,FALSE))</f>
        <v>-1</v>
      </c>
      <c r="T124" s="242">
        <f ca="1">IF(AND(ISNA(MATCH(E124,'Hapus MK'!$N$13:$N$32,0)),ISNA(MATCH(E124,'Hapus MK'!$Q$13:$Q$30,0)))=TRUE,S124,-1)</f>
        <v>-1</v>
      </c>
      <c r="U124" s="242">
        <f t="shared" si="28"/>
        <v>0</v>
      </c>
      <c r="V124" s="242">
        <f t="shared" ca="1" si="29"/>
        <v>0</v>
      </c>
      <c r="W124" s="242">
        <f t="shared" ca="1" si="41"/>
        <v>0</v>
      </c>
      <c r="X124" s="242" t="str">
        <f t="shared" si="43"/>
        <v/>
      </c>
    </row>
    <row r="125" spans="2:24" ht="15.75" x14ac:dyDescent="0.25">
      <c r="B125" s="208">
        <v>121</v>
      </c>
      <c r="C125" s="348"/>
      <c r="D125" s="14">
        <v>23</v>
      </c>
      <c r="E125" s="17" t="s">
        <v>190</v>
      </c>
      <c r="F125" s="14">
        <v>2</v>
      </c>
      <c r="G125" s="116" t="str">
        <f t="shared" si="38"/>
        <v>AIF487-2</v>
      </c>
      <c r="H125" s="14" t="s">
        <v>282</v>
      </c>
      <c r="I125" s="15" t="s">
        <v>410</v>
      </c>
      <c r="J125" s="14" t="e">
        <f>VLOOKUP(G125,'Data Akademik'!$A$14:$D$315,3,FALSE)</f>
        <v>#N/A</v>
      </c>
      <c r="K125" s="14" t="e">
        <f>VLOOKUP(G125,'Data Akademik'!$E$14:$H$315,3,FALSE)</f>
        <v>#N/A</v>
      </c>
      <c r="L125" s="14">
        <f>VLOOKUP(G125,'Data Akademik'!$O$15:$Q$315,3,FALSE)</f>
        <v>0</v>
      </c>
      <c r="M125" s="14" t="str">
        <f t="shared" si="26"/>
        <v/>
      </c>
      <c r="N125" s="14" t="str">
        <f t="shared" si="27"/>
        <v/>
      </c>
      <c r="O125" s="204" t="str">
        <f t="shared" si="39"/>
        <v/>
      </c>
      <c r="P125" s="117" t="str">
        <f t="shared" ca="1" si="40"/>
        <v/>
      </c>
      <c r="Q125" s="242">
        <v>3000</v>
      </c>
      <c r="R125" s="242">
        <f t="shared" si="42"/>
        <v>0</v>
      </c>
      <c r="S125" s="242">
        <f>IF(ISBLANK(O125),-1,VLOOKUP(O125,'Nilai Kurikulum 2013'!$B$178:$C$183,2,FALSE))</f>
        <v>-1</v>
      </c>
      <c r="T125" s="242">
        <f ca="1">IF(AND(ISNA(MATCH(E125,'Hapus MK'!$N$13:$N$32,0)),ISNA(MATCH(E125,'Hapus MK'!$Q$13:$Q$30,0)))=TRUE,S125,-1)</f>
        <v>-1</v>
      </c>
      <c r="U125" s="242">
        <f t="shared" si="28"/>
        <v>0</v>
      </c>
      <c r="V125" s="242">
        <f t="shared" ca="1" si="29"/>
        <v>0</v>
      </c>
      <c r="W125" s="242">
        <f t="shared" ca="1" si="41"/>
        <v>0</v>
      </c>
      <c r="X125" s="242" t="str">
        <f t="shared" si="43"/>
        <v/>
      </c>
    </row>
    <row r="126" spans="2:24" ht="16.5" thickBot="1" x14ac:dyDescent="0.3">
      <c r="B126" s="209">
        <v>122</v>
      </c>
      <c r="C126" s="348"/>
      <c r="D126" s="14">
        <v>24</v>
      </c>
      <c r="E126" s="17" t="s">
        <v>191</v>
      </c>
      <c r="F126" s="14">
        <v>2</v>
      </c>
      <c r="G126" s="116" t="str">
        <f t="shared" si="38"/>
        <v>AIF489-2</v>
      </c>
      <c r="H126" s="14" t="s">
        <v>282</v>
      </c>
      <c r="I126" s="15" t="s">
        <v>411</v>
      </c>
      <c r="J126" s="14" t="e">
        <f>VLOOKUP(G126,'Data Akademik'!$A$14:$D$315,3,FALSE)</f>
        <v>#N/A</v>
      </c>
      <c r="K126" s="14" t="e">
        <f>VLOOKUP(G126,'Data Akademik'!$E$14:$H$315,3,FALSE)</f>
        <v>#N/A</v>
      </c>
      <c r="L126" s="14">
        <f>VLOOKUP(G126,'Data Akademik'!$O$15:$Q$315,3,FALSE)</f>
        <v>0</v>
      </c>
      <c r="M126" s="14" t="str">
        <f t="shared" si="26"/>
        <v/>
      </c>
      <c r="N126" s="14" t="str">
        <f t="shared" si="27"/>
        <v/>
      </c>
      <c r="O126" s="204" t="str">
        <f t="shared" si="39"/>
        <v/>
      </c>
      <c r="P126" s="117" t="str">
        <f t="shared" ca="1" si="40"/>
        <v/>
      </c>
      <c r="Q126" s="242">
        <v>3000</v>
      </c>
      <c r="R126" s="242">
        <f t="shared" si="42"/>
        <v>0</v>
      </c>
      <c r="S126" s="242">
        <f>IF(ISBLANK(O126),-1,VLOOKUP(O126,'Nilai Kurikulum 2013'!$B$178:$C$183,2,FALSE))</f>
        <v>-1</v>
      </c>
      <c r="T126" s="242">
        <f ca="1">IF(AND(ISNA(MATCH(E126,'Hapus MK'!$N$13:$N$32,0)),ISNA(MATCH(E126,'Hapus MK'!$Q$13:$Q$30,0)))=TRUE,S126,-1)</f>
        <v>-1</v>
      </c>
      <c r="U126" s="242">
        <f t="shared" si="28"/>
        <v>0</v>
      </c>
      <c r="V126" s="242">
        <f t="shared" ca="1" si="29"/>
        <v>0</v>
      </c>
      <c r="W126" s="242">
        <f t="shared" ca="1" si="41"/>
        <v>0</v>
      </c>
      <c r="X126" s="242" t="str">
        <f t="shared" si="43"/>
        <v/>
      </c>
    </row>
    <row r="127" spans="2:24" ht="16.5" thickTop="1" x14ac:dyDescent="0.25">
      <c r="B127" s="207">
        <v>123</v>
      </c>
      <c r="C127" s="348">
        <v>8</v>
      </c>
      <c r="D127" s="14">
        <v>1</v>
      </c>
      <c r="E127" s="17" t="s">
        <v>192</v>
      </c>
      <c r="F127" s="14">
        <v>2</v>
      </c>
      <c r="G127" s="116" t="str">
        <f t="shared" si="38"/>
        <v>AIF432-2</v>
      </c>
      <c r="H127" s="14" t="s">
        <v>282</v>
      </c>
      <c r="I127" s="15" t="s">
        <v>412</v>
      </c>
      <c r="J127" s="14" t="e">
        <f>VLOOKUP(G127,'Data Akademik'!$A$14:$D$315,3,FALSE)</f>
        <v>#N/A</v>
      </c>
      <c r="K127" s="14" t="e">
        <f>VLOOKUP(G127,'Data Akademik'!$E$14:$H$315,3,FALSE)</f>
        <v>#N/A</v>
      </c>
      <c r="L127" s="14">
        <f>VLOOKUP(G127,'Data Akademik'!$O$15:$Q$315,3,FALSE)</f>
        <v>0</v>
      </c>
      <c r="M127" s="14" t="str">
        <f t="shared" si="26"/>
        <v/>
      </c>
      <c r="N127" s="14" t="str">
        <f t="shared" si="27"/>
        <v/>
      </c>
      <c r="O127" s="204" t="str">
        <f t="shared" si="39"/>
        <v/>
      </c>
      <c r="P127" s="117" t="str">
        <f t="shared" ca="1" si="40"/>
        <v/>
      </c>
      <c r="Q127" s="242">
        <v>3000</v>
      </c>
      <c r="R127" s="242">
        <f t="shared" si="42"/>
        <v>0</v>
      </c>
      <c r="S127" s="242">
        <f>IF(ISBLANK(O127),-1,VLOOKUP(O127,'Nilai Kurikulum 2013'!$B$178:$C$183,2,FALSE))</f>
        <v>-1</v>
      </c>
      <c r="T127" s="242">
        <f ca="1">IF(AND(ISNA(MATCH(E127,'Hapus MK'!$N$13:$N$32,0)),ISNA(MATCH(E127,'Hapus MK'!$Q$13:$Q$30,0)))=TRUE,S127,-1)</f>
        <v>-1</v>
      </c>
      <c r="U127" s="242">
        <f t="shared" si="28"/>
        <v>0</v>
      </c>
      <c r="V127" s="242">
        <f t="shared" ca="1" si="29"/>
        <v>0</v>
      </c>
      <c r="W127" s="242">
        <f t="shared" ca="1" si="41"/>
        <v>0</v>
      </c>
      <c r="X127" s="242" t="str">
        <f t="shared" si="43"/>
        <v/>
      </c>
    </row>
    <row r="128" spans="2:24" ht="15.75" x14ac:dyDescent="0.25">
      <c r="B128" s="208">
        <v>124</v>
      </c>
      <c r="C128" s="348"/>
      <c r="D128" s="14">
        <v>2</v>
      </c>
      <c r="E128" s="17" t="s">
        <v>193</v>
      </c>
      <c r="F128" s="14">
        <v>2</v>
      </c>
      <c r="G128" s="116" t="str">
        <f t="shared" si="38"/>
        <v>AIF434-2</v>
      </c>
      <c r="H128" s="14" t="s">
        <v>282</v>
      </c>
      <c r="I128" s="15" t="s">
        <v>413</v>
      </c>
      <c r="J128" s="14" t="e">
        <f>VLOOKUP(G128,'Data Akademik'!$A$14:$D$315,3,FALSE)</f>
        <v>#N/A</v>
      </c>
      <c r="K128" s="14" t="e">
        <f>VLOOKUP(G128,'Data Akademik'!$E$14:$H$315,3,FALSE)</f>
        <v>#N/A</v>
      </c>
      <c r="L128" s="14">
        <f>VLOOKUP(G128,'Data Akademik'!$O$15:$Q$315,3,FALSE)</f>
        <v>0</v>
      </c>
      <c r="M128" s="14" t="str">
        <f t="shared" si="26"/>
        <v/>
      </c>
      <c r="N128" s="14" t="str">
        <f t="shared" si="27"/>
        <v/>
      </c>
      <c r="O128" s="204" t="str">
        <f t="shared" si="39"/>
        <v/>
      </c>
      <c r="P128" s="117" t="str">
        <f t="shared" ca="1" si="40"/>
        <v/>
      </c>
      <c r="Q128" s="242">
        <v>3000</v>
      </c>
      <c r="R128" s="242">
        <f t="shared" si="42"/>
        <v>0</v>
      </c>
      <c r="S128" s="242">
        <f>IF(ISBLANK(O128),-1,VLOOKUP(O128,'Nilai Kurikulum 2013'!$B$178:$C$183,2,FALSE))</f>
        <v>-1</v>
      </c>
      <c r="T128" s="242">
        <f ca="1">IF(AND(ISNA(MATCH(E128,'Hapus MK'!$N$13:$N$32,0)),ISNA(MATCH(E128,'Hapus MK'!$Q$13:$Q$30,0)))=TRUE,S128,-1)</f>
        <v>-1</v>
      </c>
      <c r="U128" s="242">
        <f t="shared" si="28"/>
        <v>0</v>
      </c>
      <c r="V128" s="242">
        <f t="shared" ca="1" si="29"/>
        <v>0</v>
      </c>
      <c r="W128" s="242">
        <f t="shared" ca="1" si="41"/>
        <v>0</v>
      </c>
      <c r="X128" s="242" t="str">
        <f t="shared" si="43"/>
        <v/>
      </c>
    </row>
    <row r="129" spans="2:24" ht="15.75" x14ac:dyDescent="0.25">
      <c r="B129" s="208">
        <v>125</v>
      </c>
      <c r="C129" s="348"/>
      <c r="D129" s="14">
        <v>3</v>
      </c>
      <c r="E129" s="17" t="s">
        <v>194</v>
      </c>
      <c r="F129" s="14">
        <v>3</v>
      </c>
      <c r="G129" s="116" t="str">
        <f t="shared" si="38"/>
        <v>AIF436-3</v>
      </c>
      <c r="H129" s="14" t="s">
        <v>282</v>
      </c>
      <c r="I129" s="15" t="s">
        <v>414</v>
      </c>
      <c r="J129" s="14" t="e">
        <f>VLOOKUP(G129,'Data Akademik'!$A$14:$D$315,3,FALSE)</f>
        <v>#N/A</v>
      </c>
      <c r="K129" s="14" t="e">
        <f>VLOOKUP(G129,'Data Akademik'!$E$14:$H$315,3,FALSE)</f>
        <v>#N/A</v>
      </c>
      <c r="L129" s="14">
        <f>VLOOKUP(G129,'Data Akademik'!$O$15:$Q$315,3,FALSE)</f>
        <v>0</v>
      </c>
      <c r="M129" s="14" t="str">
        <f t="shared" si="26"/>
        <v/>
      </c>
      <c r="N129" s="14" t="str">
        <f t="shared" si="27"/>
        <v/>
      </c>
      <c r="O129" s="204" t="str">
        <f t="shared" si="39"/>
        <v/>
      </c>
      <c r="P129" s="117" t="str">
        <f t="shared" ca="1" si="40"/>
        <v/>
      </c>
      <c r="Q129" s="242">
        <v>3000</v>
      </c>
      <c r="R129" s="242">
        <f t="shared" si="42"/>
        <v>0</v>
      </c>
      <c r="S129" s="242">
        <f>IF(ISBLANK(O129),-1,VLOOKUP(O129,'Nilai Kurikulum 2013'!$B$178:$C$183,2,FALSE))</f>
        <v>-1</v>
      </c>
      <c r="T129" s="242">
        <f ca="1">IF(AND(ISNA(MATCH(E129,'Hapus MK'!$N$13:$N$32,0)),ISNA(MATCH(E129,'Hapus MK'!$Q$13:$Q$30,0)))=TRUE,S129,-1)</f>
        <v>-1</v>
      </c>
      <c r="U129" s="242">
        <f t="shared" si="28"/>
        <v>0</v>
      </c>
      <c r="V129" s="242">
        <f t="shared" ca="1" si="29"/>
        <v>0</v>
      </c>
      <c r="W129" s="242">
        <f t="shared" ca="1" si="41"/>
        <v>0</v>
      </c>
      <c r="X129" s="242" t="str">
        <f t="shared" si="43"/>
        <v/>
      </c>
    </row>
    <row r="130" spans="2:24" ht="15.75" x14ac:dyDescent="0.25">
      <c r="B130" s="208">
        <v>126</v>
      </c>
      <c r="C130" s="348"/>
      <c r="D130" s="14">
        <v>4</v>
      </c>
      <c r="E130" s="17" t="s">
        <v>195</v>
      </c>
      <c r="F130" s="14">
        <v>3</v>
      </c>
      <c r="G130" s="116" t="str">
        <f t="shared" si="38"/>
        <v>AIF438-3</v>
      </c>
      <c r="H130" s="14" t="s">
        <v>282</v>
      </c>
      <c r="I130" s="15" t="s">
        <v>415</v>
      </c>
      <c r="J130" s="14" t="e">
        <f>VLOOKUP(G130,'Data Akademik'!$A$14:$D$315,3,FALSE)</f>
        <v>#N/A</v>
      </c>
      <c r="K130" s="14" t="e">
        <f>VLOOKUP(G130,'Data Akademik'!$E$14:$H$315,3,FALSE)</f>
        <v>#N/A</v>
      </c>
      <c r="L130" s="14">
        <f>VLOOKUP(G130,'Data Akademik'!$O$15:$Q$315,3,FALSE)</f>
        <v>0</v>
      </c>
      <c r="M130" s="14" t="str">
        <f t="shared" si="26"/>
        <v/>
      </c>
      <c r="N130" s="14" t="str">
        <f t="shared" si="27"/>
        <v/>
      </c>
      <c r="O130" s="204" t="str">
        <f t="shared" si="39"/>
        <v/>
      </c>
      <c r="P130" s="117" t="str">
        <f t="shared" ca="1" si="40"/>
        <v/>
      </c>
      <c r="Q130" s="242">
        <v>3000</v>
      </c>
      <c r="R130" s="242">
        <f t="shared" si="42"/>
        <v>0</v>
      </c>
      <c r="S130" s="242">
        <f>IF(ISBLANK(O130),-1,VLOOKUP(O130,'Nilai Kurikulum 2013'!$B$178:$C$183,2,FALSE))</f>
        <v>-1</v>
      </c>
      <c r="T130" s="242">
        <f ca="1">IF(AND(ISNA(MATCH(E130,'Hapus MK'!$N$13:$N$32,0)),ISNA(MATCH(E130,'Hapus MK'!$Q$13:$Q$30,0)))=TRUE,S130,-1)</f>
        <v>-1</v>
      </c>
      <c r="U130" s="242">
        <f t="shared" si="28"/>
        <v>0</v>
      </c>
      <c r="V130" s="242">
        <f t="shared" ca="1" si="29"/>
        <v>0</v>
      </c>
      <c r="W130" s="242">
        <f t="shared" ca="1" si="41"/>
        <v>0</v>
      </c>
      <c r="X130" s="242" t="str">
        <f t="shared" si="43"/>
        <v/>
      </c>
    </row>
    <row r="131" spans="2:24" ht="15.75" x14ac:dyDescent="0.25">
      <c r="B131" s="208">
        <v>127</v>
      </c>
      <c r="C131" s="348"/>
      <c r="D131" s="14">
        <v>5</v>
      </c>
      <c r="E131" s="17" t="s">
        <v>196</v>
      </c>
      <c r="F131" s="14">
        <v>4</v>
      </c>
      <c r="G131" s="116" t="str">
        <f t="shared" si="38"/>
        <v>AIF440-4</v>
      </c>
      <c r="H131" s="14" t="s">
        <v>282</v>
      </c>
      <c r="I131" s="15" t="s">
        <v>416</v>
      </c>
      <c r="J131" s="14" t="e">
        <f>VLOOKUP(G131,'Data Akademik'!$A$14:$D$315,3,FALSE)</f>
        <v>#N/A</v>
      </c>
      <c r="K131" s="14" t="e">
        <f>VLOOKUP(G131,'Data Akademik'!$E$14:$H$315,3,FALSE)</f>
        <v>#N/A</v>
      </c>
      <c r="L131" s="14">
        <f>VLOOKUP(G131,'Data Akademik'!$O$15:$Q$315,3,FALSE)</f>
        <v>0</v>
      </c>
      <c r="M131" s="14" t="str">
        <f t="shared" si="26"/>
        <v/>
      </c>
      <c r="N131" s="14" t="str">
        <f t="shared" si="27"/>
        <v/>
      </c>
      <c r="O131" s="204" t="str">
        <f t="shared" si="39"/>
        <v/>
      </c>
      <c r="P131" s="117" t="str">
        <f t="shared" ca="1" si="40"/>
        <v/>
      </c>
      <c r="Q131" s="242">
        <v>3000</v>
      </c>
      <c r="R131" s="242">
        <f t="shared" si="42"/>
        <v>0</v>
      </c>
      <c r="S131" s="242">
        <f>IF(ISBLANK(O131),-1,VLOOKUP(O131,'Nilai Kurikulum 2013'!$B$178:$C$183,2,FALSE))</f>
        <v>-1</v>
      </c>
      <c r="T131" s="242">
        <f ca="1">IF(AND(ISNA(MATCH(E131,'Hapus MK'!$N$13:$N$32,0)),ISNA(MATCH(E131,'Hapus MK'!$Q$13:$Q$30,0)))=TRUE,S131,-1)</f>
        <v>-1</v>
      </c>
      <c r="U131" s="242">
        <f t="shared" si="28"/>
        <v>0</v>
      </c>
      <c r="V131" s="242">
        <f t="shared" ca="1" si="29"/>
        <v>0</v>
      </c>
      <c r="W131" s="242">
        <f t="shared" ca="1" si="41"/>
        <v>0</v>
      </c>
      <c r="X131" s="242" t="str">
        <f t="shared" si="43"/>
        <v/>
      </c>
    </row>
    <row r="132" spans="2:24" ht="15.75" x14ac:dyDescent="0.25">
      <c r="B132" s="208">
        <v>128</v>
      </c>
      <c r="C132" s="348"/>
      <c r="D132" s="14">
        <v>6</v>
      </c>
      <c r="E132" s="17" t="s">
        <v>197</v>
      </c>
      <c r="F132" s="14">
        <v>3</v>
      </c>
      <c r="G132" s="116" t="str">
        <f t="shared" si="38"/>
        <v>AIF442-3</v>
      </c>
      <c r="H132" s="14" t="s">
        <v>282</v>
      </c>
      <c r="I132" s="15" t="s">
        <v>417</v>
      </c>
      <c r="J132" s="14" t="e">
        <f>VLOOKUP(G132,'Data Akademik'!$A$14:$D$315,3,FALSE)</f>
        <v>#N/A</v>
      </c>
      <c r="K132" s="14" t="e">
        <f>VLOOKUP(G132,'Data Akademik'!$E$14:$H$315,3,FALSE)</f>
        <v>#N/A</v>
      </c>
      <c r="L132" s="14">
        <f>VLOOKUP(G132,'Data Akademik'!$O$15:$Q$315,3,FALSE)</f>
        <v>0</v>
      </c>
      <c r="M132" s="14" t="str">
        <f t="shared" si="26"/>
        <v/>
      </c>
      <c r="N132" s="14" t="str">
        <f t="shared" si="27"/>
        <v/>
      </c>
      <c r="O132" s="204" t="str">
        <f t="shared" si="39"/>
        <v/>
      </c>
      <c r="P132" s="117" t="str">
        <f t="shared" ca="1" si="40"/>
        <v/>
      </c>
      <c r="Q132" s="242">
        <v>3000</v>
      </c>
      <c r="R132" s="242">
        <f t="shared" si="42"/>
        <v>0</v>
      </c>
      <c r="S132" s="242">
        <f>IF(ISBLANK(O132),-1,VLOOKUP(O132,'Nilai Kurikulum 2013'!$B$178:$C$183,2,FALSE))</f>
        <v>-1</v>
      </c>
      <c r="T132" s="242">
        <f ca="1">IF(AND(ISNA(MATCH(E132,'Hapus MK'!$N$13:$N$32,0)),ISNA(MATCH(E132,'Hapus MK'!$Q$13:$Q$30,0)))=TRUE,S132,-1)</f>
        <v>-1</v>
      </c>
      <c r="U132" s="242">
        <f t="shared" si="28"/>
        <v>0</v>
      </c>
      <c r="V132" s="242">
        <f t="shared" ca="1" si="29"/>
        <v>0</v>
      </c>
      <c r="W132" s="242">
        <f t="shared" ca="1" si="41"/>
        <v>0</v>
      </c>
      <c r="X132" s="242" t="str">
        <f t="shared" si="43"/>
        <v/>
      </c>
    </row>
    <row r="133" spans="2:24" ht="15.75" x14ac:dyDescent="0.25">
      <c r="B133" s="208">
        <v>129</v>
      </c>
      <c r="C133" s="348"/>
      <c r="D133" s="14">
        <v>7</v>
      </c>
      <c r="E133" s="17" t="s">
        <v>198</v>
      </c>
      <c r="F133" s="14">
        <v>3</v>
      </c>
      <c r="G133" s="116" t="str">
        <f t="shared" ref="G133:G166" si="44">E133&amp;"-"&amp;F133</f>
        <v>AIF444-3</v>
      </c>
      <c r="H133" s="14" t="s">
        <v>282</v>
      </c>
      <c r="I133" s="15" t="s">
        <v>418</v>
      </c>
      <c r="J133" s="14" t="e">
        <f>VLOOKUP(G133,'Data Akademik'!$A$14:$D$315,3,FALSE)</f>
        <v>#N/A</v>
      </c>
      <c r="K133" s="14" t="e">
        <f>VLOOKUP(G133,'Data Akademik'!$E$14:$H$315,3,FALSE)</f>
        <v>#N/A</v>
      </c>
      <c r="L133" s="14">
        <f>VLOOKUP(G133,'Data Akademik'!$O$15:$Q$315,3,FALSE)</f>
        <v>0</v>
      </c>
      <c r="M133" s="14" t="str">
        <f t="shared" si="26"/>
        <v/>
      </c>
      <c r="N133" s="14" t="str">
        <f t="shared" si="27"/>
        <v/>
      </c>
      <c r="O133" s="204" t="str">
        <f t="shared" ref="O133:O166" si="45">N133</f>
        <v/>
      </c>
      <c r="P133" s="117" t="str">
        <f t="shared" ref="P133:P165" ca="1" si="46">IF(T133&gt;0,VLOOKUP(T133,$C$178:$D$183,2,),"")</f>
        <v/>
      </c>
      <c r="Q133" s="242">
        <v>3000</v>
      </c>
      <c r="R133" s="242">
        <f t="shared" si="42"/>
        <v>0</v>
      </c>
      <c r="S133" s="242">
        <f>IF(ISBLANK(O133),-1,VLOOKUP(O133,'Nilai Kurikulum 2013'!$B$178:$C$183,2,FALSE))</f>
        <v>-1</v>
      </c>
      <c r="T133" s="242">
        <f ca="1">IF(AND(ISNA(MATCH(E133,'Hapus MK'!$N$13:$N$32,0)),ISNA(MATCH(E133,'Hapus MK'!$Q$13:$Q$30,0)))=TRUE,S133,-1)</f>
        <v>-1</v>
      </c>
      <c r="U133" s="242">
        <f t="shared" si="28"/>
        <v>0</v>
      </c>
      <c r="V133" s="242">
        <f t="shared" ca="1" si="29"/>
        <v>0</v>
      </c>
      <c r="W133" s="242">
        <f t="shared" ref="W133:W166" ca="1" si="47">IF(AND(Q133&lt;=$O$1,T133&gt;0),1,0)</f>
        <v>0</v>
      </c>
      <c r="X133" s="242" t="str">
        <f t="shared" si="43"/>
        <v/>
      </c>
    </row>
    <row r="134" spans="2:24" ht="15.75" x14ac:dyDescent="0.25">
      <c r="B134" s="208">
        <v>130</v>
      </c>
      <c r="C134" s="348"/>
      <c r="D134" s="14">
        <v>8</v>
      </c>
      <c r="E134" s="17" t="s">
        <v>199</v>
      </c>
      <c r="F134" s="14">
        <v>3</v>
      </c>
      <c r="G134" s="116" t="str">
        <f t="shared" si="44"/>
        <v>AIF446-3</v>
      </c>
      <c r="H134" s="14" t="s">
        <v>282</v>
      </c>
      <c r="I134" s="15" t="s">
        <v>419</v>
      </c>
      <c r="J134" s="14" t="e">
        <f>VLOOKUP(G134,'Data Akademik'!$A$14:$D$315,3,FALSE)</f>
        <v>#N/A</v>
      </c>
      <c r="K134" s="14" t="e">
        <f>VLOOKUP(G134,'Data Akademik'!$E$14:$H$315,3,FALSE)</f>
        <v>#N/A</v>
      </c>
      <c r="L134" s="14">
        <f>VLOOKUP(G134,'Data Akademik'!$O$15:$Q$315,3,FALSE)</f>
        <v>0</v>
      </c>
      <c r="M134" s="14" t="str">
        <f t="shared" ref="M134:M175" si="48">IF(L134&lt;&gt;0,L134,IF(ISNA(J134),IF(ISNA(K134),"",K134),J134))</f>
        <v/>
      </c>
      <c r="N134" s="14" t="str">
        <f t="shared" ref="N134:N174" si="49">IF(ISERR(FIND("A",M134)),IF(ISERR(FIND("B",M134)),IF(ISERR(FIND("C",M134)),IF(ISERR(FIND("D",M134)),IF(ISERR(FIND("E",M134)),"","E"),"D"),"C"),"B"),"A")</f>
        <v/>
      </c>
      <c r="O134" s="204" t="str">
        <f t="shared" si="45"/>
        <v/>
      </c>
      <c r="P134" s="117" t="str">
        <f t="shared" ca="1" si="46"/>
        <v/>
      </c>
      <c r="Q134" s="242">
        <v>3000</v>
      </c>
      <c r="R134" s="242">
        <f t="shared" si="42"/>
        <v>0</v>
      </c>
      <c r="S134" s="242">
        <f>IF(ISBLANK(O134),-1,VLOOKUP(O134,'Nilai Kurikulum 2013'!$B$178:$C$183,2,FALSE))</f>
        <v>-1</v>
      </c>
      <c r="T134" s="242">
        <f ca="1">IF(AND(ISNA(MATCH(E134,'Hapus MK'!$N$13:$N$32,0)),ISNA(MATCH(E134,'Hapus MK'!$Q$13:$Q$30,0)))=TRUE,S134,-1)</f>
        <v>-1</v>
      </c>
      <c r="U134" s="242">
        <f t="shared" ref="U134:U176" si="50">IF(S134&gt;0,F134,0)</f>
        <v>0</v>
      </c>
      <c r="V134" s="242">
        <f t="shared" ref="V134:V176" ca="1" si="51">IF(T134&gt;0,F134,0)</f>
        <v>0</v>
      </c>
      <c r="W134" s="242">
        <f t="shared" ca="1" si="47"/>
        <v>0</v>
      </c>
      <c r="X134" s="242" t="str">
        <f t="shared" si="43"/>
        <v/>
      </c>
    </row>
    <row r="135" spans="2:24" ht="15.75" x14ac:dyDescent="0.25">
      <c r="B135" s="208">
        <v>131</v>
      </c>
      <c r="C135" s="348"/>
      <c r="D135" s="14">
        <v>9</v>
      </c>
      <c r="E135" s="17" t="s">
        <v>200</v>
      </c>
      <c r="F135" s="14">
        <v>3</v>
      </c>
      <c r="G135" s="116" t="str">
        <f t="shared" si="44"/>
        <v>AIF448-3</v>
      </c>
      <c r="H135" s="14" t="s">
        <v>282</v>
      </c>
      <c r="I135" s="15" t="s">
        <v>420</v>
      </c>
      <c r="J135" s="14" t="e">
        <f>VLOOKUP(G135,'Data Akademik'!$A$14:$D$315,3,FALSE)</f>
        <v>#N/A</v>
      </c>
      <c r="K135" s="14" t="e">
        <f>VLOOKUP(G135,'Data Akademik'!$E$14:$H$315,3,FALSE)</f>
        <v>#N/A</v>
      </c>
      <c r="L135" s="14">
        <f>VLOOKUP(G135,'Data Akademik'!$O$15:$Q$315,3,FALSE)</f>
        <v>0</v>
      </c>
      <c r="M135" s="14" t="str">
        <f t="shared" si="48"/>
        <v/>
      </c>
      <c r="N135" s="14" t="str">
        <f t="shared" si="49"/>
        <v/>
      </c>
      <c r="O135" s="204" t="str">
        <f t="shared" si="45"/>
        <v/>
      </c>
      <c r="P135" s="117" t="str">
        <f t="shared" ca="1" si="46"/>
        <v/>
      </c>
      <c r="Q135" s="242">
        <v>3000</v>
      </c>
      <c r="R135" s="242">
        <f t="shared" si="42"/>
        <v>0</v>
      </c>
      <c r="S135" s="242">
        <f>IF(ISBLANK(O135),-1,VLOOKUP(O135,'Nilai Kurikulum 2013'!$B$178:$C$183,2,FALSE))</f>
        <v>-1</v>
      </c>
      <c r="T135" s="242">
        <f ca="1">IF(AND(ISNA(MATCH(E135,'Hapus MK'!$N$13:$N$32,0)),ISNA(MATCH(E135,'Hapus MK'!$Q$13:$Q$30,0)))=TRUE,S135,-1)</f>
        <v>-1</v>
      </c>
      <c r="U135" s="242">
        <f t="shared" si="50"/>
        <v>0</v>
      </c>
      <c r="V135" s="242">
        <f t="shared" ca="1" si="51"/>
        <v>0</v>
      </c>
      <c r="W135" s="242">
        <f t="shared" ca="1" si="47"/>
        <v>0</v>
      </c>
      <c r="X135" s="242" t="str">
        <f t="shared" si="43"/>
        <v/>
      </c>
    </row>
    <row r="136" spans="2:24" ht="15.75" x14ac:dyDescent="0.25">
      <c r="B136" s="208">
        <v>132</v>
      </c>
      <c r="C136" s="348"/>
      <c r="D136" s="14">
        <v>10</v>
      </c>
      <c r="E136" s="17" t="s">
        <v>201</v>
      </c>
      <c r="F136" s="14">
        <v>3</v>
      </c>
      <c r="G136" s="116" t="str">
        <f t="shared" si="44"/>
        <v>AIF450-3</v>
      </c>
      <c r="H136" s="14" t="s">
        <v>282</v>
      </c>
      <c r="I136" s="15" t="s">
        <v>421</v>
      </c>
      <c r="J136" s="14" t="str">
        <f>VLOOKUP(G136,'Data Akademik'!$A$14:$D$315,3,FALSE)</f>
        <v>A</v>
      </c>
      <c r="K136" s="14" t="e">
        <f>VLOOKUP(G136,'Data Akademik'!$E$14:$H$315,3,FALSE)</f>
        <v>#N/A</v>
      </c>
      <c r="L136" s="14">
        <f>VLOOKUP(G136,'Data Akademik'!$O$15:$Q$315,3,FALSE)</f>
        <v>0</v>
      </c>
      <c r="M136" s="14" t="str">
        <f t="shared" si="48"/>
        <v>A</v>
      </c>
      <c r="N136" s="14" t="str">
        <f t="shared" si="49"/>
        <v>A</v>
      </c>
      <c r="O136" s="204" t="str">
        <f t="shared" si="45"/>
        <v>A</v>
      </c>
      <c r="P136" s="117" t="str">
        <f t="shared" ca="1" si="46"/>
        <v>A</v>
      </c>
      <c r="Q136" s="242">
        <v>3000</v>
      </c>
      <c r="R136" s="242">
        <f t="shared" si="42"/>
        <v>0</v>
      </c>
      <c r="S136" s="242">
        <f>IF(ISBLANK(O136),-1,VLOOKUP(O136,'Nilai Kurikulum 2013'!$B$178:$C$183,2,FALSE))</f>
        <v>4</v>
      </c>
      <c r="T136" s="242">
        <f ca="1">IF(AND(ISNA(MATCH(E136,'Hapus MK'!$N$13:$N$32,0)),ISNA(MATCH(E136,'Hapus MK'!$Q$13:$Q$30,0)))=TRUE,S136,-1)</f>
        <v>4</v>
      </c>
      <c r="U136" s="242">
        <f t="shared" si="50"/>
        <v>3</v>
      </c>
      <c r="V136" s="242">
        <f t="shared" ca="1" si="51"/>
        <v>3</v>
      </c>
      <c r="W136" s="242">
        <f t="shared" ca="1" si="47"/>
        <v>0</v>
      </c>
      <c r="X136" s="242" t="str">
        <f t="shared" si="43"/>
        <v>AIF450</v>
      </c>
    </row>
    <row r="137" spans="2:24" ht="15.75" x14ac:dyDescent="0.25">
      <c r="B137" s="208">
        <v>133</v>
      </c>
      <c r="C137" s="348"/>
      <c r="D137" s="14">
        <v>11</v>
      </c>
      <c r="E137" s="17" t="s">
        <v>202</v>
      </c>
      <c r="F137" s="14">
        <v>2</v>
      </c>
      <c r="G137" s="116" t="str">
        <f t="shared" si="44"/>
        <v>AIF452-2</v>
      </c>
      <c r="H137" s="14" t="s">
        <v>282</v>
      </c>
      <c r="I137" s="15" t="s">
        <v>422</v>
      </c>
      <c r="J137" s="14" t="e">
        <f>VLOOKUP(G137,'Data Akademik'!$A$14:$D$315,3,FALSE)</f>
        <v>#N/A</v>
      </c>
      <c r="K137" s="14" t="e">
        <f>VLOOKUP(G137,'Data Akademik'!$E$14:$H$315,3,FALSE)</f>
        <v>#N/A</v>
      </c>
      <c r="L137" s="14">
        <f>VLOOKUP(G137,'Data Akademik'!$O$15:$Q$315,3,FALSE)</f>
        <v>0</v>
      </c>
      <c r="M137" s="14" t="str">
        <f t="shared" si="48"/>
        <v/>
      </c>
      <c r="N137" s="14" t="str">
        <f t="shared" si="49"/>
        <v/>
      </c>
      <c r="O137" s="204" t="str">
        <f t="shared" si="45"/>
        <v/>
      </c>
      <c r="P137" s="117" t="str">
        <f t="shared" ca="1" si="46"/>
        <v/>
      </c>
      <c r="Q137" s="242">
        <v>3000</v>
      </c>
      <c r="R137" s="242">
        <f t="shared" si="42"/>
        <v>0</v>
      </c>
      <c r="S137" s="242">
        <f>IF(ISBLANK(O137),-1,VLOOKUP(O137,'Nilai Kurikulum 2013'!$B$178:$C$183,2,FALSE))</f>
        <v>-1</v>
      </c>
      <c r="T137" s="242">
        <f ca="1">IF(AND(ISNA(MATCH(E137,'Hapus MK'!$N$13:$N$32,0)),ISNA(MATCH(E137,'Hapus MK'!$Q$13:$Q$30,0)))=TRUE,S137,-1)</f>
        <v>-1</v>
      </c>
      <c r="U137" s="242">
        <f t="shared" si="50"/>
        <v>0</v>
      </c>
      <c r="V137" s="242">
        <f t="shared" ca="1" si="51"/>
        <v>0</v>
      </c>
      <c r="W137" s="242">
        <f t="shared" ca="1" si="47"/>
        <v>0</v>
      </c>
      <c r="X137" s="242" t="str">
        <f t="shared" si="43"/>
        <v/>
      </c>
    </row>
    <row r="138" spans="2:24" ht="15.75" x14ac:dyDescent="0.25">
      <c r="B138" s="208">
        <v>134</v>
      </c>
      <c r="C138" s="348"/>
      <c r="D138" s="14">
        <v>12</v>
      </c>
      <c r="E138" s="17" t="s">
        <v>203</v>
      </c>
      <c r="F138" s="14">
        <v>2</v>
      </c>
      <c r="G138" s="116" t="str">
        <f t="shared" si="44"/>
        <v>AIF454-2</v>
      </c>
      <c r="H138" s="14" t="s">
        <v>282</v>
      </c>
      <c r="I138" s="15" t="s">
        <v>423</v>
      </c>
      <c r="J138" s="14" t="e">
        <f>VLOOKUP(G138,'Data Akademik'!$A$14:$D$315,3,FALSE)</f>
        <v>#N/A</v>
      </c>
      <c r="K138" s="14" t="e">
        <f>VLOOKUP(G138,'Data Akademik'!$E$14:$H$315,3,FALSE)</f>
        <v>#N/A</v>
      </c>
      <c r="L138" s="14">
        <f>VLOOKUP(G138,'Data Akademik'!$O$15:$Q$315,3,FALSE)</f>
        <v>0</v>
      </c>
      <c r="M138" s="14" t="str">
        <f t="shared" si="48"/>
        <v/>
      </c>
      <c r="N138" s="14" t="str">
        <f t="shared" si="49"/>
        <v/>
      </c>
      <c r="O138" s="204" t="str">
        <f t="shared" si="45"/>
        <v/>
      </c>
      <c r="P138" s="117" t="str">
        <f t="shared" ca="1" si="46"/>
        <v/>
      </c>
      <c r="Q138" s="242">
        <v>3000</v>
      </c>
      <c r="R138" s="242">
        <f t="shared" si="42"/>
        <v>0</v>
      </c>
      <c r="S138" s="242">
        <f>IF(ISBLANK(O138),-1,VLOOKUP(O138,'Nilai Kurikulum 2013'!$B$178:$C$183,2,FALSE))</f>
        <v>-1</v>
      </c>
      <c r="T138" s="242">
        <f ca="1">IF(AND(ISNA(MATCH(E138,'Hapus MK'!$N$13:$N$32,0)),ISNA(MATCH(E138,'Hapus MK'!$Q$13:$Q$30,0)))=TRUE,S138,-1)</f>
        <v>-1</v>
      </c>
      <c r="U138" s="242">
        <f t="shared" si="50"/>
        <v>0</v>
      </c>
      <c r="V138" s="242">
        <f t="shared" ca="1" si="51"/>
        <v>0</v>
      </c>
      <c r="W138" s="242">
        <f t="shared" ca="1" si="47"/>
        <v>0</v>
      </c>
      <c r="X138" s="242" t="str">
        <f t="shared" si="43"/>
        <v/>
      </c>
    </row>
    <row r="139" spans="2:24" ht="15.75" x14ac:dyDescent="0.25">
      <c r="B139" s="208">
        <v>135</v>
      </c>
      <c r="C139" s="348"/>
      <c r="D139" s="14">
        <v>13</v>
      </c>
      <c r="E139" s="17" t="s">
        <v>204</v>
      </c>
      <c r="F139" s="14">
        <v>3</v>
      </c>
      <c r="G139" s="116" t="str">
        <f t="shared" si="44"/>
        <v>AIF456-3</v>
      </c>
      <c r="H139" s="14" t="s">
        <v>282</v>
      </c>
      <c r="I139" s="15" t="s">
        <v>424</v>
      </c>
      <c r="J139" s="14" t="e">
        <f>VLOOKUP(G139,'Data Akademik'!$A$14:$D$315,3,FALSE)</f>
        <v>#N/A</v>
      </c>
      <c r="K139" s="14" t="e">
        <f>VLOOKUP(G139,'Data Akademik'!$E$14:$H$315,3,FALSE)</f>
        <v>#N/A</v>
      </c>
      <c r="L139" s="14">
        <f>VLOOKUP(G139,'Data Akademik'!$O$15:$Q$315,3,FALSE)</f>
        <v>0</v>
      </c>
      <c r="M139" s="14" t="str">
        <f t="shared" si="48"/>
        <v/>
      </c>
      <c r="N139" s="14" t="str">
        <f t="shared" si="49"/>
        <v/>
      </c>
      <c r="O139" s="204" t="str">
        <f t="shared" si="45"/>
        <v/>
      </c>
      <c r="P139" s="117" t="str">
        <f t="shared" ca="1" si="46"/>
        <v/>
      </c>
      <c r="Q139" s="242">
        <v>3000</v>
      </c>
      <c r="R139" s="242">
        <f t="shared" si="42"/>
        <v>0</v>
      </c>
      <c r="S139" s="242">
        <f>IF(ISBLANK(O139),-1,VLOOKUP(O139,'Nilai Kurikulum 2013'!$B$178:$C$183,2,FALSE))</f>
        <v>-1</v>
      </c>
      <c r="T139" s="242">
        <f ca="1">IF(AND(ISNA(MATCH(E139,'Hapus MK'!$N$13:$N$32,0)),ISNA(MATCH(E139,'Hapus MK'!$Q$13:$Q$30,0)))=TRUE,S139,-1)</f>
        <v>-1</v>
      </c>
      <c r="U139" s="242">
        <f t="shared" si="50"/>
        <v>0</v>
      </c>
      <c r="V139" s="242">
        <f t="shared" ca="1" si="51"/>
        <v>0</v>
      </c>
      <c r="W139" s="242">
        <f t="shared" ca="1" si="47"/>
        <v>0</v>
      </c>
      <c r="X139" s="242" t="str">
        <f t="shared" si="43"/>
        <v/>
      </c>
    </row>
    <row r="140" spans="2:24" ht="15.75" x14ac:dyDescent="0.25">
      <c r="B140" s="208">
        <v>136</v>
      </c>
      <c r="C140" s="348"/>
      <c r="D140" s="14">
        <v>14</v>
      </c>
      <c r="E140" s="17" t="s">
        <v>205</v>
      </c>
      <c r="F140" s="14">
        <v>3</v>
      </c>
      <c r="G140" s="116" t="str">
        <f t="shared" si="44"/>
        <v>AIF458-3</v>
      </c>
      <c r="H140" s="14" t="s">
        <v>282</v>
      </c>
      <c r="I140" s="15" t="s">
        <v>425</v>
      </c>
      <c r="J140" s="14" t="e">
        <f>VLOOKUP(G140,'Data Akademik'!$A$14:$D$315,3,FALSE)</f>
        <v>#N/A</v>
      </c>
      <c r="K140" s="14" t="e">
        <f>VLOOKUP(G140,'Data Akademik'!$E$14:$H$315,3,FALSE)</f>
        <v>#N/A</v>
      </c>
      <c r="L140" s="14">
        <f>VLOOKUP(G140,'Data Akademik'!$O$15:$Q$315,3,FALSE)</f>
        <v>0</v>
      </c>
      <c r="M140" s="14" t="str">
        <f t="shared" si="48"/>
        <v/>
      </c>
      <c r="N140" s="14" t="str">
        <f t="shared" si="49"/>
        <v/>
      </c>
      <c r="O140" s="204" t="str">
        <f t="shared" si="45"/>
        <v/>
      </c>
      <c r="P140" s="117" t="str">
        <f t="shared" ca="1" si="46"/>
        <v/>
      </c>
      <c r="Q140" s="242">
        <v>3000</v>
      </c>
      <c r="R140" s="242">
        <f t="shared" si="42"/>
        <v>0</v>
      </c>
      <c r="S140" s="242">
        <f>IF(ISBLANK(O140),-1,VLOOKUP(O140,'Nilai Kurikulum 2013'!$B$178:$C$183,2,FALSE))</f>
        <v>-1</v>
      </c>
      <c r="T140" s="242">
        <f ca="1">IF(AND(ISNA(MATCH(E140,'Hapus MK'!$N$13:$N$32,0)),ISNA(MATCH(E140,'Hapus MK'!$Q$13:$Q$30,0)))=TRUE,S140,-1)</f>
        <v>-1</v>
      </c>
      <c r="U140" s="242">
        <f t="shared" si="50"/>
        <v>0</v>
      </c>
      <c r="V140" s="242">
        <f t="shared" ca="1" si="51"/>
        <v>0</v>
      </c>
      <c r="W140" s="242">
        <f t="shared" ca="1" si="47"/>
        <v>0</v>
      </c>
      <c r="X140" s="242" t="str">
        <f t="shared" si="43"/>
        <v/>
      </c>
    </row>
    <row r="141" spans="2:24" ht="15.75" x14ac:dyDescent="0.25">
      <c r="B141" s="208">
        <v>137</v>
      </c>
      <c r="C141" s="348"/>
      <c r="D141" s="14">
        <v>15</v>
      </c>
      <c r="E141" s="17" t="s">
        <v>206</v>
      </c>
      <c r="F141" s="14">
        <v>3</v>
      </c>
      <c r="G141" s="116" t="str">
        <f t="shared" si="44"/>
        <v>AIF460-3</v>
      </c>
      <c r="H141" s="14" t="s">
        <v>282</v>
      </c>
      <c r="I141" s="15" t="s">
        <v>426</v>
      </c>
      <c r="J141" s="14" t="str">
        <f>VLOOKUP(G141,'Data Akademik'!$A$14:$D$315,3,FALSE)</f>
        <v>A</v>
      </c>
      <c r="K141" s="14" t="e">
        <f>VLOOKUP(G141,'Data Akademik'!$E$14:$H$315,3,FALSE)</f>
        <v>#N/A</v>
      </c>
      <c r="L141" s="14">
        <f>VLOOKUP(G141,'Data Akademik'!$O$15:$Q$315,3,FALSE)</f>
        <v>0</v>
      </c>
      <c r="M141" s="14" t="str">
        <f t="shared" si="48"/>
        <v>A</v>
      </c>
      <c r="N141" s="14" t="str">
        <f t="shared" si="49"/>
        <v>A</v>
      </c>
      <c r="O141" s="204" t="str">
        <f t="shared" si="45"/>
        <v>A</v>
      </c>
      <c r="P141" s="117" t="str">
        <f t="shared" ca="1" si="46"/>
        <v>A</v>
      </c>
      <c r="Q141" s="242">
        <v>3000</v>
      </c>
      <c r="R141" s="242">
        <f t="shared" si="42"/>
        <v>0</v>
      </c>
      <c r="S141" s="242">
        <f>IF(ISBLANK(O141),-1,VLOOKUP(O141,'Nilai Kurikulum 2013'!$B$178:$C$183,2,FALSE))</f>
        <v>4</v>
      </c>
      <c r="T141" s="242">
        <f ca="1">IF(AND(ISNA(MATCH(E141,'Hapus MK'!$N$13:$N$32,0)),ISNA(MATCH(E141,'Hapus MK'!$Q$13:$Q$30,0)))=TRUE,S141,-1)</f>
        <v>4</v>
      </c>
      <c r="U141" s="242">
        <f t="shared" si="50"/>
        <v>3</v>
      </c>
      <c r="V141" s="242">
        <f t="shared" ca="1" si="51"/>
        <v>3</v>
      </c>
      <c r="W141" s="242">
        <f t="shared" ca="1" si="47"/>
        <v>0</v>
      </c>
      <c r="X141" s="242" t="str">
        <f t="shared" si="43"/>
        <v>AIF460</v>
      </c>
    </row>
    <row r="142" spans="2:24" ht="15.75" x14ac:dyDescent="0.25">
      <c r="B142" s="208">
        <v>138</v>
      </c>
      <c r="C142" s="348"/>
      <c r="D142" s="14">
        <v>16</v>
      </c>
      <c r="E142" s="17" t="s">
        <v>207</v>
      </c>
      <c r="F142" s="14">
        <v>3</v>
      </c>
      <c r="G142" s="116" t="str">
        <f t="shared" si="44"/>
        <v>AIF462-3</v>
      </c>
      <c r="H142" s="14" t="s">
        <v>282</v>
      </c>
      <c r="I142" s="15" t="s">
        <v>427</v>
      </c>
      <c r="J142" s="14" t="str">
        <f>VLOOKUP(G142,'Data Akademik'!$A$14:$D$315,3,FALSE)</f>
        <v>A</v>
      </c>
      <c r="K142" s="14" t="e">
        <f>VLOOKUP(G142,'Data Akademik'!$E$14:$H$315,3,FALSE)</f>
        <v>#N/A</v>
      </c>
      <c r="L142" s="14">
        <f>VLOOKUP(G142,'Data Akademik'!$O$15:$Q$315,3,FALSE)</f>
        <v>0</v>
      </c>
      <c r="M142" s="14" t="str">
        <f t="shared" si="48"/>
        <v>A</v>
      </c>
      <c r="N142" s="14" t="str">
        <f t="shared" si="49"/>
        <v>A</v>
      </c>
      <c r="O142" s="204" t="str">
        <f t="shared" si="45"/>
        <v>A</v>
      </c>
      <c r="P142" s="117" t="str">
        <f t="shared" ca="1" si="46"/>
        <v>A</v>
      </c>
      <c r="Q142" s="242">
        <v>3000</v>
      </c>
      <c r="R142" s="242">
        <f t="shared" si="42"/>
        <v>0</v>
      </c>
      <c r="S142" s="242">
        <f>IF(ISBLANK(O142),-1,VLOOKUP(O142,'Nilai Kurikulum 2013'!$B$178:$C$183,2,FALSE))</f>
        <v>4</v>
      </c>
      <c r="T142" s="242">
        <f ca="1">IF(AND(ISNA(MATCH(E142,'Hapus MK'!$N$13:$N$32,0)),ISNA(MATCH(E142,'Hapus MK'!$Q$13:$Q$30,0)))=TRUE,S142,-1)</f>
        <v>4</v>
      </c>
      <c r="U142" s="242">
        <f t="shared" si="50"/>
        <v>3</v>
      </c>
      <c r="V142" s="242">
        <f t="shared" ca="1" si="51"/>
        <v>3</v>
      </c>
      <c r="W142" s="242">
        <f t="shared" ca="1" si="47"/>
        <v>0</v>
      </c>
      <c r="X142" s="242" t="str">
        <f t="shared" si="43"/>
        <v>AIF462</v>
      </c>
    </row>
    <row r="143" spans="2:24" ht="15.75" x14ac:dyDescent="0.25">
      <c r="B143" s="208">
        <v>139</v>
      </c>
      <c r="C143" s="348"/>
      <c r="D143" s="14">
        <v>17</v>
      </c>
      <c r="E143" s="17" t="s">
        <v>208</v>
      </c>
      <c r="F143" s="14">
        <v>2</v>
      </c>
      <c r="G143" s="116" t="str">
        <f t="shared" si="44"/>
        <v>AIF464-2</v>
      </c>
      <c r="H143" s="14" t="s">
        <v>282</v>
      </c>
      <c r="I143" s="15" t="s">
        <v>428</v>
      </c>
      <c r="J143" s="14" t="e">
        <f>VLOOKUP(G143,'Data Akademik'!$A$14:$D$315,3,FALSE)</f>
        <v>#N/A</v>
      </c>
      <c r="K143" s="14" t="e">
        <f>VLOOKUP(G143,'Data Akademik'!$E$14:$H$315,3,FALSE)</f>
        <v>#N/A</v>
      </c>
      <c r="L143" s="14">
        <f>VLOOKUP(G143,'Data Akademik'!$O$15:$Q$315,3,FALSE)</f>
        <v>0</v>
      </c>
      <c r="M143" s="14" t="str">
        <f t="shared" si="48"/>
        <v/>
      </c>
      <c r="N143" s="14" t="str">
        <f t="shared" si="49"/>
        <v/>
      </c>
      <c r="O143" s="204" t="str">
        <f t="shared" si="45"/>
        <v/>
      </c>
      <c r="P143" s="117" t="str">
        <f t="shared" ca="1" si="46"/>
        <v/>
      </c>
      <c r="Q143" s="242">
        <v>3000</v>
      </c>
      <c r="R143" s="242">
        <f t="shared" si="42"/>
        <v>0</v>
      </c>
      <c r="S143" s="242">
        <f>IF(ISBLANK(O143),-1,VLOOKUP(O143,'Nilai Kurikulum 2013'!$B$178:$C$183,2,FALSE))</f>
        <v>-1</v>
      </c>
      <c r="T143" s="242">
        <f ca="1">IF(AND(ISNA(MATCH(E143,'Hapus MK'!$N$13:$N$32,0)),ISNA(MATCH(E143,'Hapus MK'!$Q$13:$Q$30,0)))=TRUE,S143,-1)</f>
        <v>-1</v>
      </c>
      <c r="U143" s="242">
        <f t="shared" si="50"/>
        <v>0</v>
      </c>
      <c r="V143" s="242">
        <f t="shared" ca="1" si="51"/>
        <v>0</v>
      </c>
      <c r="W143" s="242">
        <f t="shared" ca="1" si="47"/>
        <v>0</v>
      </c>
      <c r="X143" s="242" t="str">
        <f t="shared" si="43"/>
        <v/>
      </c>
    </row>
    <row r="144" spans="2:24" ht="15.75" x14ac:dyDescent="0.25">
      <c r="B144" s="208">
        <v>140</v>
      </c>
      <c r="C144" s="348"/>
      <c r="D144" s="14">
        <v>18</v>
      </c>
      <c r="E144" s="17" t="s">
        <v>209</v>
      </c>
      <c r="F144" s="14">
        <v>3</v>
      </c>
      <c r="G144" s="116" t="str">
        <f t="shared" si="44"/>
        <v>AIF466-3</v>
      </c>
      <c r="H144" s="14" t="s">
        <v>282</v>
      </c>
      <c r="I144" s="15" t="s">
        <v>429</v>
      </c>
      <c r="J144" s="14" t="e">
        <f>VLOOKUP(G144,'Data Akademik'!$A$14:$D$315,3,FALSE)</f>
        <v>#N/A</v>
      </c>
      <c r="K144" s="14" t="e">
        <f>VLOOKUP(G144,'Data Akademik'!$E$14:$H$315,3,FALSE)</f>
        <v>#N/A</v>
      </c>
      <c r="L144" s="14">
        <f>VLOOKUP(G144,'Data Akademik'!$O$15:$Q$315,3,FALSE)</f>
        <v>0</v>
      </c>
      <c r="M144" s="14" t="str">
        <f t="shared" si="48"/>
        <v/>
      </c>
      <c r="N144" s="14" t="str">
        <f t="shared" si="49"/>
        <v/>
      </c>
      <c r="O144" s="204" t="str">
        <f t="shared" si="45"/>
        <v/>
      </c>
      <c r="P144" s="117" t="str">
        <f t="shared" ca="1" si="46"/>
        <v/>
      </c>
      <c r="Q144" s="242">
        <v>3000</v>
      </c>
      <c r="R144" s="242">
        <f t="shared" si="42"/>
        <v>0</v>
      </c>
      <c r="S144" s="242">
        <f>IF(ISBLANK(O144),-1,VLOOKUP(O144,'Nilai Kurikulum 2013'!$B$178:$C$183,2,FALSE))</f>
        <v>-1</v>
      </c>
      <c r="T144" s="242">
        <f ca="1">IF(AND(ISNA(MATCH(E144,'Hapus MK'!$N$13:$N$32,0)),ISNA(MATCH(E144,'Hapus MK'!$Q$13:$Q$30,0)))=TRUE,S144,-1)</f>
        <v>-1</v>
      </c>
      <c r="U144" s="242">
        <f t="shared" si="50"/>
        <v>0</v>
      </c>
      <c r="V144" s="242">
        <f t="shared" ca="1" si="51"/>
        <v>0</v>
      </c>
      <c r="W144" s="242">
        <f t="shared" ca="1" si="47"/>
        <v>0</v>
      </c>
      <c r="X144" s="242" t="str">
        <f t="shared" si="43"/>
        <v/>
      </c>
    </row>
    <row r="145" spans="2:26" ht="15.75" x14ac:dyDescent="0.25">
      <c r="B145" s="208">
        <v>141</v>
      </c>
      <c r="C145" s="348"/>
      <c r="D145" s="14">
        <v>19</v>
      </c>
      <c r="E145" s="17" t="s">
        <v>210</v>
      </c>
      <c r="F145" s="14">
        <v>3</v>
      </c>
      <c r="G145" s="116" t="str">
        <f t="shared" si="44"/>
        <v>AIF468-3</v>
      </c>
      <c r="H145" s="14" t="s">
        <v>282</v>
      </c>
      <c r="I145" s="15" t="s">
        <v>430</v>
      </c>
      <c r="J145" s="14" t="e">
        <f>VLOOKUP(G145,'Data Akademik'!$A$14:$D$315,3,FALSE)</f>
        <v>#N/A</v>
      </c>
      <c r="K145" s="14" t="e">
        <f>VLOOKUP(G145,'Data Akademik'!$E$14:$H$315,3,FALSE)</f>
        <v>#N/A</v>
      </c>
      <c r="L145" s="14">
        <f>VLOOKUP(G145,'Data Akademik'!$O$15:$Q$315,3,FALSE)</f>
        <v>0</v>
      </c>
      <c r="M145" s="14" t="str">
        <f t="shared" si="48"/>
        <v/>
      </c>
      <c r="N145" s="14" t="str">
        <f t="shared" si="49"/>
        <v/>
      </c>
      <c r="O145" s="204" t="str">
        <f t="shared" si="45"/>
        <v/>
      </c>
      <c r="P145" s="117" t="str">
        <f t="shared" ca="1" si="46"/>
        <v/>
      </c>
      <c r="Q145" s="242">
        <v>3000</v>
      </c>
      <c r="R145" s="242">
        <f t="shared" si="42"/>
        <v>0</v>
      </c>
      <c r="S145" s="242">
        <f>IF(ISBLANK(O145),-1,VLOOKUP(O145,'Nilai Kurikulum 2013'!$B$178:$C$183,2,FALSE))</f>
        <v>-1</v>
      </c>
      <c r="T145" s="242">
        <f ca="1">IF(AND(ISNA(MATCH(E145,'Hapus MK'!$N$13:$N$32,0)),ISNA(MATCH(E145,'Hapus MK'!$Q$13:$Q$30,0)))=TRUE,S145,-1)</f>
        <v>-1</v>
      </c>
      <c r="U145" s="242">
        <f t="shared" si="50"/>
        <v>0</v>
      </c>
      <c r="V145" s="242">
        <f t="shared" ca="1" si="51"/>
        <v>0</v>
      </c>
      <c r="W145" s="242">
        <f t="shared" ca="1" si="47"/>
        <v>0</v>
      </c>
      <c r="X145" s="242" t="str">
        <f t="shared" si="43"/>
        <v/>
      </c>
    </row>
    <row r="146" spans="2:26" ht="15.75" x14ac:dyDescent="0.25">
      <c r="B146" s="208">
        <v>142</v>
      </c>
      <c r="C146" s="348"/>
      <c r="D146" s="14">
        <v>20</v>
      </c>
      <c r="E146" s="17" t="s">
        <v>211</v>
      </c>
      <c r="F146" s="14">
        <v>2</v>
      </c>
      <c r="G146" s="116" t="str">
        <f t="shared" si="44"/>
        <v>AIF470-2</v>
      </c>
      <c r="H146" s="14" t="s">
        <v>282</v>
      </c>
      <c r="I146" s="15" t="s">
        <v>431</v>
      </c>
      <c r="J146" s="14" t="e">
        <f>VLOOKUP(G146,'Data Akademik'!$A$14:$D$315,3,FALSE)</f>
        <v>#N/A</v>
      </c>
      <c r="K146" s="14" t="e">
        <f>VLOOKUP(G146,'Data Akademik'!$E$14:$H$315,3,FALSE)</f>
        <v>#N/A</v>
      </c>
      <c r="L146" s="14">
        <f>VLOOKUP(G146,'Data Akademik'!$O$15:$Q$315,3,FALSE)</f>
        <v>0</v>
      </c>
      <c r="M146" s="14" t="str">
        <f t="shared" si="48"/>
        <v/>
      </c>
      <c r="N146" s="14" t="str">
        <f t="shared" si="49"/>
        <v/>
      </c>
      <c r="O146" s="204" t="str">
        <f t="shared" si="45"/>
        <v/>
      </c>
      <c r="P146" s="117" t="str">
        <f t="shared" ca="1" si="46"/>
        <v/>
      </c>
      <c r="Q146" s="242">
        <v>3000</v>
      </c>
      <c r="R146" s="242">
        <f t="shared" si="42"/>
        <v>0</v>
      </c>
      <c r="S146" s="242">
        <f>IF(ISBLANK(O146),-1,VLOOKUP(O146,'Nilai Kurikulum 2013'!$B$178:$C$183,2,FALSE))</f>
        <v>-1</v>
      </c>
      <c r="T146" s="242">
        <f ca="1">IF(AND(ISNA(MATCH(E146,'Hapus MK'!$N$13:$N$32,0)),ISNA(MATCH(E146,'Hapus MK'!$Q$13:$Q$30,0)))=TRUE,S146,-1)</f>
        <v>-1</v>
      </c>
      <c r="U146" s="242">
        <f t="shared" si="50"/>
        <v>0</v>
      </c>
      <c r="V146" s="242">
        <f t="shared" ca="1" si="51"/>
        <v>0</v>
      </c>
      <c r="W146" s="242">
        <f t="shared" ca="1" si="47"/>
        <v>0</v>
      </c>
      <c r="X146" s="242" t="str">
        <f t="shared" si="43"/>
        <v/>
      </c>
      <c r="Y146" s="242"/>
      <c r="Z146" s="242"/>
    </row>
    <row r="147" spans="2:26" ht="15.75" x14ac:dyDescent="0.25">
      <c r="B147" s="208"/>
      <c r="C147" s="348"/>
      <c r="D147" s="14">
        <v>21</v>
      </c>
      <c r="E147" s="17" t="s">
        <v>606</v>
      </c>
      <c r="F147" s="14">
        <v>3</v>
      </c>
      <c r="G147" s="116" t="str">
        <f t="shared" si="44"/>
        <v>AIF471-3</v>
      </c>
      <c r="H147" s="14" t="s">
        <v>282</v>
      </c>
      <c r="I147" s="15" t="s">
        <v>607</v>
      </c>
      <c r="J147" s="14" t="e">
        <f>VLOOKUP(G147,'Data Akademik'!$A$14:$D$315,3,FALSE)</f>
        <v>#N/A</v>
      </c>
      <c r="K147" s="14" t="e">
        <f>VLOOKUP(G147,'Data Akademik'!$E$14:$H$315,3,FALSE)</f>
        <v>#N/A</v>
      </c>
      <c r="L147" s="14">
        <f>VLOOKUP(G147,'Data Akademik'!$O$15:$Q$315,3,FALSE)</f>
        <v>0</v>
      </c>
      <c r="M147" s="14" t="str">
        <f t="shared" ref="M147" si="52">IF(L147&lt;&gt;0,L147,IF(ISNA(J147),IF(ISNA(K147),"",K147),J147))</f>
        <v/>
      </c>
      <c r="N147" s="14" t="str">
        <f t="shared" ref="N147" si="53">IF(ISERR(FIND("A",M147)),IF(ISERR(FIND("B",M147)),IF(ISERR(FIND("C",M147)),IF(ISERR(FIND("D",M147)),IF(ISERR(FIND("E",M147)),"","E"),"D"),"C"),"B"),"A")</f>
        <v/>
      </c>
      <c r="O147" s="204" t="str">
        <f t="shared" ref="O147" si="54">N147</f>
        <v/>
      </c>
      <c r="P147" s="117" t="str">
        <f t="shared" ca="1" si="46"/>
        <v/>
      </c>
      <c r="Q147" s="281">
        <v>3000</v>
      </c>
      <c r="R147" s="281">
        <f t="shared" ref="R147" si="55">IF($O$1&gt;=Q147,F147,0)</f>
        <v>0</v>
      </c>
      <c r="S147" s="281">
        <f>IF(ISBLANK(O147),-1,VLOOKUP(O147,'Nilai Kurikulum 2013'!$B$178:$C$183,2,FALSE))</f>
        <v>-1</v>
      </c>
      <c r="T147" s="281">
        <f ca="1">IF(AND(ISNA(MATCH(E147,'Hapus MK'!$N$13:$N$32,0)),ISNA(MATCH(E147,'Hapus MK'!$Q$13:$Q$30,0)))=TRUE,S147,-1)</f>
        <v>-1</v>
      </c>
      <c r="U147" s="281">
        <f t="shared" ref="U147" si="56">IF(S147&gt;0,F147,0)</f>
        <v>0</v>
      </c>
      <c r="V147" s="281">
        <f t="shared" ref="V147" ca="1" si="57">IF(T147&gt;0,F147,0)</f>
        <v>0</v>
      </c>
      <c r="W147" s="281">
        <f t="shared" ref="W147" ca="1" si="58">IF(AND(Q147&lt;=$O$1,T147&gt;0),1,0)</f>
        <v>0</v>
      </c>
      <c r="X147" s="281" t="str">
        <f t="shared" si="43"/>
        <v/>
      </c>
      <c r="Y147" s="281"/>
      <c r="Z147" s="281"/>
    </row>
    <row r="148" spans="2:26" ht="15.75" x14ac:dyDescent="0.25">
      <c r="B148" s="208">
        <v>143</v>
      </c>
      <c r="C148" s="348"/>
      <c r="D148" s="14">
        <v>22</v>
      </c>
      <c r="E148" s="17" t="s">
        <v>212</v>
      </c>
      <c r="F148" s="14">
        <v>2</v>
      </c>
      <c r="G148" s="116" t="str">
        <f t="shared" si="44"/>
        <v>AIF480-2</v>
      </c>
      <c r="H148" s="14" t="s">
        <v>282</v>
      </c>
      <c r="I148" s="15" t="s">
        <v>432</v>
      </c>
      <c r="J148" s="14" t="e">
        <f>VLOOKUP(G148,'Data Akademik'!$A$14:$D$315,3,FALSE)</f>
        <v>#N/A</v>
      </c>
      <c r="K148" s="14" t="e">
        <f>VLOOKUP(G148,'Data Akademik'!$E$14:$H$315,3,FALSE)</f>
        <v>#N/A</v>
      </c>
      <c r="L148" s="14">
        <f>VLOOKUP(G148,'Data Akademik'!$O$15:$Q$315,3,FALSE)</f>
        <v>0</v>
      </c>
      <c r="M148" s="14" t="str">
        <f t="shared" si="48"/>
        <v/>
      </c>
      <c r="N148" s="14" t="str">
        <f t="shared" si="49"/>
        <v/>
      </c>
      <c r="O148" s="204" t="str">
        <f t="shared" si="45"/>
        <v/>
      </c>
      <c r="P148" s="117" t="str">
        <f t="shared" ca="1" si="46"/>
        <v/>
      </c>
      <c r="Q148" s="242">
        <v>3000</v>
      </c>
      <c r="R148" s="242">
        <f t="shared" si="42"/>
        <v>0</v>
      </c>
      <c r="S148" s="242">
        <f>IF(ISBLANK(O148),-1,VLOOKUP(O148,'Nilai Kurikulum 2013'!$B$178:$C$183,2,FALSE))</f>
        <v>-1</v>
      </c>
      <c r="T148" s="242">
        <f ca="1">IF(AND(ISNA(MATCH(E148,'Hapus MK'!$N$13:$N$32,0)),ISNA(MATCH(E148,'Hapus MK'!$Q$13:$Q$30,0)))=TRUE,S148,-1)</f>
        <v>-1</v>
      </c>
      <c r="U148" s="242">
        <f t="shared" si="50"/>
        <v>0</v>
      </c>
      <c r="V148" s="242">
        <f t="shared" ca="1" si="51"/>
        <v>0</v>
      </c>
      <c r="W148" s="242">
        <f t="shared" ca="1" si="47"/>
        <v>0</v>
      </c>
      <c r="X148" s="242" t="str">
        <f t="shared" si="43"/>
        <v/>
      </c>
      <c r="Y148" s="242"/>
      <c r="Z148" s="242"/>
    </row>
    <row r="149" spans="2:26" ht="15.75" x14ac:dyDescent="0.25">
      <c r="B149" s="208">
        <v>144</v>
      </c>
      <c r="C149" s="348"/>
      <c r="D149" s="14">
        <v>23</v>
      </c>
      <c r="E149" s="17" t="s">
        <v>213</v>
      </c>
      <c r="F149" s="14">
        <v>2</v>
      </c>
      <c r="G149" s="116" t="str">
        <f t="shared" si="44"/>
        <v>AIF482-2</v>
      </c>
      <c r="H149" s="14" t="s">
        <v>282</v>
      </c>
      <c r="I149" s="15" t="s">
        <v>433</v>
      </c>
      <c r="J149" s="14" t="e">
        <f>VLOOKUP(G149,'Data Akademik'!$A$14:$D$315,3,FALSE)</f>
        <v>#N/A</v>
      </c>
      <c r="K149" s="14" t="e">
        <f>VLOOKUP(G149,'Data Akademik'!$E$14:$H$315,3,FALSE)</f>
        <v>#N/A</v>
      </c>
      <c r="L149" s="14">
        <f>VLOOKUP(G149,'Data Akademik'!$O$15:$Q$315,3,FALSE)</f>
        <v>0</v>
      </c>
      <c r="M149" s="14" t="str">
        <f t="shared" si="48"/>
        <v/>
      </c>
      <c r="N149" s="14" t="str">
        <f t="shared" si="49"/>
        <v/>
      </c>
      <c r="O149" s="204" t="str">
        <f t="shared" si="45"/>
        <v/>
      </c>
      <c r="P149" s="117" t="str">
        <f t="shared" ca="1" si="46"/>
        <v/>
      </c>
      <c r="Q149" s="242">
        <v>3000</v>
      </c>
      <c r="R149" s="242">
        <f t="shared" si="42"/>
        <v>0</v>
      </c>
      <c r="S149" s="242">
        <f>IF(ISBLANK(O149),-1,VLOOKUP(O149,'Nilai Kurikulum 2013'!$B$178:$C$183,2,FALSE))</f>
        <v>-1</v>
      </c>
      <c r="T149" s="242">
        <f ca="1">IF(AND(ISNA(MATCH(E149,'Hapus MK'!$N$13:$N$32,0)),ISNA(MATCH(E149,'Hapus MK'!$Q$13:$Q$30,0)))=TRUE,S149,-1)</f>
        <v>-1</v>
      </c>
      <c r="U149" s="242">
        <f t="shared" si="50"/>
        <v>0</v>
      </c>
      <c r="V149" s="242">
        <f t="shared" ca="1" si="51"/>
        <v>0</v>
      </c>
      <c r="W149" s="242">
        <f t="shared" ca="1" si="47"/>
        <v>0</v>
      </c>
      <c r="X149" s="242" t="str">
        <f t="shared" si="43"/>
        <v/>
      </c>
      <c r="Y149" s="242"/>
      <c r="Z149" s="242"/>
    </row>
    <row r="150" spans="2:26" ht="15.75" x14ac:dyDescent="0.25">
      <c r="B150" s="208">
        <v>145</v>
      </c>
      <c r="C150" s="348"/>
      <c r="D150" s="14">
        <v>24</v>
      </c>
      <c r="E150" s="17" t="s">
        <v>214</v>
      </c>
      <c r="F150" s="14">
        <v>3</v>
      </c>
      <c r="G150" s="116" t="str">
        <f t="shared" si="44"/>
        <v>AIF484-3</v>
      </c>
      <c r="H150" s="14" t="s">
        <v>282</v>
      </c>
      <c r="I150" s="15" t="s">
        <v>434</v>
      </c>
      <c r="J150" s="14" t="e">
        <f>VLOOKUP(G150,'Data Akademik'!$A$14:$D$315,3,FALSE)</f>
        <v>#N/A</v>
      </c>
      <c r="K150" s="14" t="e">
        <f>VLOOKUP(G150,'Data Akademik'!$E$14:$H$315,3,FALSE)</f>
        <v>#N/A</v>
      </c>
      <c r="L150" s="14">
        <f>VLOOKUP(G150,'Data Akademik'!$O$15:$Q$315,3,FALSE)</f>
        <v>0</v>
      </c>
      <c r="M150" s="14" t="str">
        <f t="shared" si="48"/>
        <v/>
      </c>
      <c r="N150" s="14" t="str">
        <f t="shared" si="49"/>
        <v/>
      </c>
      <c r="O150" s="204" t="str">
        <f t="shared" si="45"/>
        <v/>
      </c>
      <c r="P150" s="117" t="str">
        <f t="shared" ca="1" si="46"/>
        <v/>
      </c>
      <c r="Q150" s="242">
        <v>3000</v>
      </c>
      <c r="R150" s="242">
        <f t="shared" si="42"/>
        <v>0</v>
      </c>
      <c r="S150" s="242">
        <f>IF(ISBLANK(O150),-1,VLOOKUP(O150,'Nilai Kurikulum 2013'!$B$178:$C$183,2,FALSE))</f>
        <v>-1</v>
      </c>
      <c r="T150" s="242">
        <f ca="1">IF(AND(ISNA(MATCH(E150,'Hapus MK'!$N$13:$N$32,0)),ISNA(MATCH(E150,'Hapus MK'!$Q$13:$Q$30,0)))=TRUE,S150,-1)</f>
        <v>-1</v>
      </c>
      <c r="U150" s="242">
        <f t="shared" si="50"/>
        <v>0</v>
      </c>
      <c r="V150" s="242">
        <f t="shared" ca="1" si="51"/>
        <v>0</v>
      </c>
      <c r="W150" s="242">
        <f t="shared" ca="1" si="47"/>
        <v>0</v>
      </c>
      <c r="X150" s="242" t="str">
        <f t="shared" si="43"/>
        <v/>
      </c>
      <c r="Y150" s="242"/>
      <c r="Z150" s="242"/>
    </row>
    <row r="151" spans="2:26" ht="16.5" thickBot="1" x14ac:dyDescent="0.3">
      <c r="B151" s="212">
        <v>146</v>
      </c>
      <c r="C151" s="348"/>
      <c r="D151" s="14">
        <v>25</v>
      </c>
      <c r="E151" s="17" t="s">
        <v>215</v>
      </c>
      <c r="F151" s="14">
        <v>3</v>
      </c>
      <c r="G151" s="116" t="str">
        <f t="shared" si="44"/>
        <v>AIF486-3</v>
      </c>
      <c r="H151" s="14" t="s">
        <v>282</v>
      </c>
      <c r="I151" s="15" t="s">
        <v>435</v>
      </c>
      <c r="J151" s="14" t="e">
        <f>VLOOKUP(G151,'Data Akademik'!$A$14:$D$315,3,FALSE)</f>
        <v>#N/A</v>
      </c>
      <c r="K151" s="14" t="e">
        <f>VLOOKUP(G151,'Data Akademik'!$E$14:$H$315,3,FALSE)</f>
        <v>#N/A</v>
      </c>
      <c r="L151" s="14">
        <f>VLOOKUP(G151,'Data Akademik'!$O$15:$Q$315,3,FALSE)</f>
        <v>0</v>
      </c>
      <c r="M151" s="14" t="str">
        <f t="shared" si="48"/>
        <v/>
      </c>
      <c r="N151" s="14" t="str">
        <f t="shared" si="49"/>
        <v/>
      </c>
      <c r="O151" s="204" t="str">
        <f t="shared" si="45"/>
        <v/>
      </c>
      <c r="P151" s="117" t="str">
        <f t="shared" ca="1" si="46"/>
        <v/>
      </c>
      <c r="Q151" s="242">
        <v>3000</v>
      </c>
      <c r="R151" s="242">
        <f t="shared" si="42"/>
        <v>0</v>
      </c>
      <c r="S151" s="242">
        <f>IF(ISBLANK(O151),-1,VLOOKUP(O151,'Nilai Kurikulum 2013'!$B$178:$C$183,2,FALSE))</f>
        <v>-1</v>
      </c>
      <c r="T151" s="242">
        <f ca="1">IF(AND(ISNA(MATCH(E151,'Hapus MK'!$N$13:$N$32,0)),ISNA(MATCH(E151,'Hapus MK'!$Q$13:$Q$30,0)))=TRUE,S151,-1)</f>
        <v>-1</v>
      </c>
      <c r="U151" s="242">
        <f t="shared" si="50"/>
        <v>0</v>
      </c>
      <c r="V151" s="242">
        <f t="shared" ca="1" si="51"/>
        <v>0</v>
      </c>
      <c r="W151" s="242">
        <f t="shared" ca="1" si="47"/>
        <v>0</v>
      </c>
      <c r="X151" s="242" t="str">
        <f t="shared" si="43"/>
        <v/>
      </c>
      <c r="Y151" s="242"/>
      <c r="Z151" s="242"/>
    </row>
    <row r="152" spans="2:26" ht="16.5" thickTop="1" x14ac:dyDescent="0.25">
      <c r="B152" s="207">
        <v>147</v>
      </c>
      <c r="C152" s="348">
        <v>9</v>
      </c>
      <c r="D152" s="14">
        <v>1</v>
      </c>
      <c r="E152" s="17" t="s">
        <v>217</v>
      </c>
      <c r="F152" s="14">
        <v>3</v>
      </c>
      <c r="G152" s="116" t="str">
        <f t="shared" si="44"/>
        <v>AMS390-3</v>
      </c>
      <c r="H152" s="14" t="s">
        <v>436</v>
      </c>
      <c r="I152" s="15" t="s">
        <v>437</v>
      </c>
      <c r="J152" s="14" t="e">
        <f>VLOOKUP(G152,'Data Akademik'!$A$14:$D$315,3,FALSE)</f>
        <v>#N/A</v>
      </c>
      <c r="K152" s="14" t="e">
        <f>VLOOKUP(G152,'Data Akademik'!$E$14:$H$315,3,FALSE)</f>
        <v>#N/A</v>
      </c>
      <c r="L152" s="14">
        <f>VLOOKUP(G152,'Data Akademik'!$O$15:$Q$315,3,FALSE)</f>
        <v>0</v>
      </c>
      <c r="M152" s="14" t="str">
        <f t="shared" si="48"/>
        <v/>
      </c>
      <c r="N152" s="14" t="str">
        <f t="shared" si="49"/>
        <v/>
      </c>
      <c r="O152" s="204" t="str">
        <f t="shared" si="45"/>
        <v/>
      </c>
      <c r="P152" s="117" t="str">
        <f t="shared" ca="1" si="46"/>
        <v/>
      </c>
      <c r="Q152" s="242">
        <v>3000</v>
      </c>
      <c r="R152" s="242">
        <f t="shared" si="42"/>
        <v>0</v>
      </c>
      <c r="S152" s="242">
        <f>IF(ISBLANK(O152),-1,VLOOKUP(O152,'Nilai Kurikulum 2013'!$B$178:$C$183,2,FALSE))</f>
        <v>-1</v>
      </c>
      <c r="T152" s="242">
        <f ca="1">IF(AND(ISNA(MATCH(E152,'Hapus MK'!$N$13:$N$32,0)),ISNA(MATCH(E152,'Hapus MK'!$Q$13:$Q$30,0)))=TRUE,S152,-1)</f>
        <v>-1</v>
      </c>
      <c r="U152" s="242">
        <f t="shared" si="50"/>
        <v>0</v>
      </c>
      <c r="V152" s="242">
        <f t="shared" ca="1" si="51"/>
        <v>0</v>
      </c>
      <c r="W152" s="242">
        <f t="shared" ca="1" si="47"/>
        <v>0</v>
      </c>
      <c r="X152" s="242" t="str">
        <f t="shared" si="43"/>
        <v/>
      </c>
      <c r="Y152" s="242"/>
      <c r="Z152" s="242"/>
    </row>
    <row r="153" spans="2:26" ht="15.75" x14ac:dyDescent="0.25">
      <c r="B153" s="208">
        <v>148</v>
      </c>
      <c r="C153" s="348"/>
      <c r="D153" s="14">
        <v>2</v>
      </c>
      <c r="E153" s="17" t="s">
        <v>218</v>
      </c>
      <c r="F153" s="14">
        <v>3</v>
      </c>
      <c r="G153" s="116" t="str">
        <f t="shared" si="44"/>
        <v>AMS391-3</v>
      </c>
      <c r="H153" s="14" t="s">
        <v>436</v>
      </c>
      <c r="I153" s="15" t="s">
        <v>438</v>
      </c>
      <c r="J153" s="14" t="e">
        <f>VLOOKUP(G153,'Data Akademik'!$A$14:$D$315,3,FALSE)</f>
        <v>#N/A</v>
      </c>
      <c r="K153" s="14" t="e">
        <f>VLOOKUP(G153,'Data Akademik'!$E$14:$H$315,3,FALSE)</f>
        <v>#N/A</v>
      </c>
      <c r="L153" s="14">
        <f>VLOOKUP(G153,'Data Akademik'!$O$15:$Q$315,3,FALSE)</f>
        <v>0</v>
      </c>
      <c r="M153" s="14" t="str">
        <f t="shared" si="48"/>
        <v/>
      </c>
      <c r="N153" s="14" t="str">
        <f t="shared" si="49"/>
        <v/>
      </c>
      <c r="O153" s="204" t="str">
        <f t="shared" si="45"/>
        <v/>
      </c>
      <c r="P153" s="117" t="str">
        <f t="shared" ca="1" si="46"/>
        <v/>
      </c>
      <c r="Q153" s="242">
        <v>3000</v>
      </c>
      <c r="R153" s="242">
        <f t="shared" si="42"/>
        <v>0</v>
      </c>
      <c r="S153" s="242">
        <f>IF(ISBLANK(O153),-1,VLOOKUP(O153,'Nilai Kurikulum 2013'!$B$178:$C$183,2,FALSE))</f>
        <v>-1</v>
      </c>
      <c r="T153" s="242">
        <f ca="1">IF(AND(ISNA(MATCH(E153,'Hapus MK'!$N$13:$N$32,0)),ISNA(MATCH(E153,'Hapus MK'!$Q$13:$Q$30,0)))=TRUE,S153,-1)</f>
        <v>-1</v>
      </c>
      <c r="U153" s="242">
        <f t="shared" si="50"/>
        <v>0</v>
      </c>
      <c r="V153" s="242">
        <f t="shared" ca="1" si="51"/>
        <v>0</v>
      </c>
      <c r="W153" s="242">
        <f t="shared" ca="1" si="47"/>
        <v>0</v>
      </c>
      <c r="X153" s="242" t="str">
        <f t="shared" si="43"/>
        <v/>
      </c>
      <c r="Y153" s="242"/>
      <c r="Z153" s="242"/>
    </row>
    <row r="154" spans="2:26" ht="15.75" x14ac:dyDescent="0.25">
      <c r="B154" s="208">
        <v>149</v>
      </c>
      <c r="C154" s="348"/>
      <c r="D154" s="14">
        <v>3</v>
      </c>
      <c r="E154" s="17" t="s">
        <v>594</v>
      </c>
      <c r="F154" s="14">
        <v>2</v>
      </c>
      <c r="G154" s="116" t="str">
        <f t="shared" si="44"/>
        <v>APS302-2</v>
      </c>
      <c r="H154" s="14" t="s">
        <v>436</v>
      </c>
      <c r="I154" s="17" t="s">
        <v>439</v>
      </c>
      <c r="J154" s="14" t="e">
        <f>VLOOKUP(G154,'Data Akademik'!$A$14:$D$315,3,FALSE)</f>
        <v>#N/A</v>
      </c>
      <c r="K154" s="14" t="e">
        <f>VLOOKUP(G154,'Data Akademik'!$E$14:$H$315,3,FALSE)</f>
        <v>#N/A</v>
      </c>
      <c r="L154" s="14">
        <f>VLOOKUP(G154,'Data Akademik'!$O$15:$Q$315,3,FALSE)</f>
        <v>0</v>
      </c>
      <c r="M154" s="14" t="str">
        <f t="shared" si="48"/>
        <v/>
      </c>
      <c r="N154" s="14" t="str">
        <f t="shared" si="49"/>
        <v/>
      </c>
      <c r="O154" s="204" t="str">
        <f t="shared" si="45"/>
        <v/>
      </c>
      <c r="P154" s="117" t="str">
        <f t="shared" ca="1" si="46"/>
        <v/>
      </c>
      <c r="Q154" s="242">
        <v>3000</v>
      </c>
      <c r="R154" s="242">
        <f t="shared" si="42"/>
        <v>0</v>
      </c>
      <c r="S154" s="242">
        <f>IF(ISBLANK(O154),-1,VLOOKUP(O154,'Nilai Kurikulum 2013'!$B$178:$C$183,2,FALSE))</f>
        <v>-1</v>
      </c>
      <c r="T154" s="242">
        <f ca="1">IF(AND(ISNA(MATCH(E154,'Hapus MK'!$N$13:$N$32,0)),ISNA(MATCH(E154,'Hapus MK'!$Q$13:$Q$30,0)))=TRUE,S154,-1)</f>
        <v>-1</v>
      </c>
      <c r="U154" s="242">
        <f t="shared" si="50"/>
        <v>0</v>
      </c>
      <c r="V154" s="242">
        <f t="shared" ca="1" si="51"/>
        <v>0</v>
      </c>
      <c r="W154" s="242">
        <f t="shared" ca="1" si="47"/>
        <v>0</v>
      </c>
      <c r="X154" s="242" t="str">
        <f t="shared" si="43"/>
        <v/>
      </c>
      <c r="Y154" s="242"/>
      <c r="Z154" s="242"/>
    </row>
    <row r="155" spans="2:26" ht="15.75" x14ac:dyDescent="0.25">
      <c r="B155" s="208">
        <v>150</v>
      </c>
      <c r="C155" s="348"/>
      <c r="D155" s="14">
        <v>4</v>
      </c>
      <c r="E155" s="15" t="s">
        <v>219</v>
      </c>
      <c r="F155" s="14">
        <v>2</v>
      </c>
      <c r="G155" s="116" t="str">
        <f t="shared" si="44"/>
        <v>EAA101-2</v>
      </c>
      <c r="H155" s="14" t="s">
        <v>436</v>
      </c>
      <c r="I155" s="17" t="s">
        <v>440</v>
      </c>
      <c r="J155" s="14" t="e">
        <f>VLOOKUP(G155,'Data Akademik'!$A$14:$D$315,3,FALSE)</f>
        <v>#N/A</v>
      </c>
      <c r="K155" s="14" t="e">
        <f>VLOOKUP(G155,'Data Akademik'!$E$14:$H$315,3,FALSE)</f>
        <v>#N/A</v>
      </c>
      <c r="L155" s="14">
        <f>VLOOKUP(G155,'Data Akademik'!$O$15:$Q$315,3,FALSE)</f>
        <v>0</v>
      </c>
      <c r="M155" s="14" t="str">
        <f t="shared" si="48"/>
        <v/>
      </c>
      <c r="N155" s="14" t="str">
        <f t="shared" si="49"/>
        <v/>
      </c>
      <c r="O155" s="204" t="str">
        <f t="shared" si="45"/>
        <v/>
      </c>
      <c r="P155" s="117" t="str">
        <f t="shared" ca="1" si="46"/>
        <v/>
      </c>
      <c r="Q155" s="242">
        <v>3000</v>
      </c>
      <c r="R155" s="242">
        <f t="shared" si="42"/>
        <v>0</v>
      </c>
      <c r="S155" s="242">
        <f>IF(ISBLANK(O155),-1,VLOOKUP(O155,'Nilai Kurikulum 2013'!$B$178:$C$183,2,FALSE))</f>
        <v>-1</v>
      </c>
      <c r="T155" s="242">
        <f ca="1">IF(AND(ISNA(MATCH(E155,'Hapus MK'!$N$13:$N$32,0)),ISNA(MATCH(E155,'Hapus MK'!$Q$13:$Q$30,0)))=TRUE,S155,-1)</f>
        <v>-1</v>
      </c>
      <c r="U155" s="242">
        <f t="shared" si="50"/>
        <v>0</v>
      </c>
      <c r="V155" s="242">
        <f t="shared" ca="1" si="51"/>
        <v>0</v>
      </c>
      <c r="W155" s="242">
        <f t="shared" ca="1" si="47"/>
        <v>0</v>
      </c>
      <c r="X155" s="242" t="str">
        <f t="shared" si="43"/>
        <v/>
      </c>
      <c r="Y155" s="242"/>
      <c r="Z155" s="242"/>
    </row>
    <row r="156" spans="2:26" ht="15.75" x14ac:dyDescent="0.25">
      <c r="B156" s="208">
        <v>151</v>
      </c>
      <c r="C156" s="348"/>
      <c r="D156" s="14">
        <v>5</v>
      </c>
      <c r="E156" s="15" t="s">
        <v>220</v>
      </c>
      <c r="F156" s="14">
        <v>2</v>
      </c>
      <c r="G156" s="116" t="str">
        <f t="shared" si="44"/>
        <v>EAA102-2</v>
      </c>
      <c r="H156" s="14" t="s">
        <v>436</v>
      </c>
      <c r="I156" s="17" t="s">
        <v>441</v>
      </c>
      <c r="J156" s="14" t="e">
        <f>VLOOKUP(G156,'Data Akademik'!$A$14:$D$315,3,FALSE)</f>
        <v>#N/A</v>
      </c>
      <c r="K156" s="14" t="e">
        <f>VLOOKUP(G156,'Data Akademik'!$E$14:$H$315,3,FALSE)</f>
        <v>#N/A</v>
      </c>
      <c r="L156" s="14">
        <f>VLOOKUP(G156,'Data Akademik'!$O$15:$Q$315,3,FALSE)</f>
        <v>0</v>
      </c>
      <c r="M156" s="14" t="str">
        <f t="shared" si="48"/>
        <v/>
      </c>
      <c r="N156" s="14" t="str">
        <f t="shared" si="49"/>
        <v/>
      </c>
      <c r="O156" s="204" t="str">
        <f t="shared" si="45"/>
        <v/>
      </c>
      <c r="P156" s="117" t="str">
        <f t="shared" ca="1" si="46"/>
        <v/>
      </c>
      <c r="Q156" s="242">
        <v>3000</v>
      </c>
      <c r="R156" s="242">
        <f t="shared" si="42"/>
        <v>0</v>
      </c>
      <c r="S156" s="242">
        <f>IF(ISBLANK(O156),-1,VLOOKUP(O156,'Nilai Kurikulum 2013'!$B$178:$C$183,2,FALSE))</f>
        <v>-1</v>
      </c>
      <c r="T156" s="242">
        <f ca="1">IF(AND(ISNA(MATCH(E156,'Hapus MK'!$N$13:$N$32,0)),ISNA(MATCH(E156,'Hapus MK'!$Q$13:$Q$30,0)))=TRUE,S156,-1)</f>
        <v>-1</v>
      </c>
      <c r="U156" s="242">
        <f t="shared" si="50"/>
        <v>0</v>
      </c>
      <c r="V156" s="242">
        <f t="shared" ca="1" si="51"/>
        <v>0</v>
      </c>
      <c r="W156" s="242">
        <f t="shared" ca="1" si="47"/>
        <v>0</v>
      </c>
      <c r="X156" s="242" t="str">
        <f t="shared" si="43"/>
        <v/>
      </c>
      <c r="Y156" s="242"/>
      <c r="Z156" s="242"/>
    </row>
    <row r="157" spans="2:26" ht="15.75" x14ac:dyDescent="0.25">
      <c r="B157" s="208">
        <v>152</v>
      </c>
      <c r="C157" s="348"/>
      <c r="D157" s="14">
        <v>6</v>
      </c>
      <c r="E157" s="15" t="s">
        <v>221</v>
      </c>
      <c r="F157" s="14">
        <v>3</v>
      </c>
      <c r="G157" s="116" t="str">
        <f t="shared" si="44"/>
        <v>EMS101-3</v>
      </c>
      <c r="H157" s="14" t="s">
        <v>436</v>
      </c>
      <c r="I157" s="17" t="s">
        <v>442</v>
      </c>
      <c r="J157" s="14" t="e">
        <f>VLOOKUP(G157,'Data Akademik'!$A$14:$D$315,3,FALSE)</f>
        <v>#N/A</v>
      </c>
      <c r="K157" s="14" t="e">
        <f>VLOOKUP(G157,'Data Akademik'!$E$14:$H$315,3,FALSE)</f>
        <v>#N/A</v>
      </c>
      <c r="L157" s="14">
        <f>VLOOKUP(G157,'Data Akademik'!$O$15:$Q$315,3,FALSE)</f>
        <v>0</v>
      </c>
      <c r="M157" s="14" t="str">
        <f t="shared" si="48"/>
        <v/>
      </c>
      <c r="N157" s="14" t="str">
        <f t="shared" si="49"/>
        <v/>
      </c>
      <c r="O157" s="204" t="str">
        <f t="shared" si="45"/>
        <v/>
      </c>
      <c r="P157" s="117" t="str">
        <f t="shared" ca="1" si="46"/>
        <v/>
      </c>
      <c r="Q157" s="242">
        <v>3000</v>
      </c>
      <c r="R157" s="242">
        <f t="shared" si="42"/>
        <v>0</v>
      </c>
      <c r="S157" s="242">
        <f>IF(ISBLANK(O157),-1,VLOOKUP(O157,'Nilai Kurikulum 2013'!$B$178:$C$183,2,FALSE))</f>
        <v>-1</v>
      </c>
      <c r="T157" s="242">
        <f ca="1">IF(AND(ISNA(MATCH(E157,'Hapus MK'!$N$13:$N$32,0)),ISNA(MATCH(E157,'Hapus MK'!$Q$13:$Q$30,0)))=TRUE,S157,-1)</f>
        <v>-1</v>
      </c>
      <c r="U157" s="242">
        <f t="shared" si="50"/>
        <v>0</v>
      </c>
      <c r="V157" s="242">
        <f t="shared" ca="1" si="51"/>
        <v>0</v>
      </c>
      <c r="W157" s="242">
        <f t="shared" ca="1" si="47"/>
        <v>0</v>
      </c>
      <c r="X157" s="242" t="str">
        <f t="shared" si="43"/>
        <v/>
      </c>
      <c r="Y157" s="242"/>
      <c r="Z157" s="242"/>
    </row>
    <row r="158" spans="2:26" ht="15.75" x14ac:dyDescent="0.25">
      <c r="B158" s="208">
        <v>153</v>
      </c>
      <c r="C158" s="348"/>
      <c r="D158" s="14">
        <v>7</v>
      </c>
      <c r="E158" s="15" t="s">
        <v>222</v>
      </c>
      <c r="F158" s="14">
        <v>3</v>
      </c>
      <c r="G158" s="116" t="str">
        <f t="shared" si="44"/>
        <v>EMS105-3</v>
      </c>
      <c r="H158" s="14" t="s">
        <v>436</v>
      </c>
      <c r="I158" s="17" t="s">
        <v>443</v>
      </c>
      <c r="J158" s="14" t="e">
        <f>VLOOKUP(G158,'Data Akademik'!$A$14:$D$315,3,FALSE)</f>
        <v>#N/A</v>
      </c>
      <c r="K158" s="14" t="e">
        <f>VLOOKUP(G158,'Data Akademik'!$E$14:$H$315,3,FALSE)</f>
        <v>#N/A</v>
      </c>
      <c r="L158" s="14">
        <f>VLOOKUP(G158,'Data Akademik'!$O$15:$Q$315,3,FALSE)</f>
        <v>0</v>
      </c>
      <c r="M158" s="14" t="str">
        <f t="shared" si="48"/>
        <v/>
      </c>
      <c r="N158" s="14" t="str">
        <f t="shared" si="49"/>
        <v/>
      </c>
      <c r="O158" s="204" t="str">
        <f t="shared" si="45"/>
        <v/>
      </c>
      <c r="P158" s="117" t="str">
        <f t="shared" ca="1" si="46"/>
        <v/>
      </c>
      <c r="Q158" s="242">
        <v>3000</v>
      </c>
      <c r="R158" s="242">
        <f t="shared" si="42"/>
        <v>0</v>
      </c>
      <c r="S158" s="242">
        <f>IF(ISBLANK(O158),-1,VLOOKUP(O158,'Nilai Kurikulum 2013'!$B$178:$C$183,2,FALSE))</f>
        <v>-1</v>
      </c>
      <c r="T158" s="242">
        <f ca="1">IF(AND(ISNA(MATCH(E158,'Hapus MK'!$N$13:$N$32,0)),ISNA(MATCH(E158,'Hapus MK'!$Q$13:$Q$30,0)))=TRUE,S158,-1)</f>
        <v>-1</v>
      </c>
      <c r="U158" s="242">
        <f t="shared" si="50"/>
        <v>0</v>
      </c>
      <c r="V158" s="242">
        <f t="shared" ca="1" si="51"/>
        <v>0</v>
      </c>
      <c r="W158" s="242">
        <f t="shared" ca="1" si="47"/>
        <v>0</v>
      </c>
      <c r="X158" s="242" t="str">
        <f t="shared" si="43"/>
        <v/>
      </c>
      <c r="Y158" s="242"/>
      <c r="Z158" s="242"/>
    </row>
    <row r="159" spans="2:26" ht="15.75" x14ac:dyDescent="0.25">
      <c r="B159" s="208"/>
      <c r="C159" s="348"/>
      <c r="D159" s="14">
        <v>8</v>
      </c>
      <c r="E159" s="15" t="s">
        <v>223</v>
      </c>
      <c r="F159" s="14">
        <v>3</v>
      </c>
      <c r="G159" s="116" t="str">
        <f t="shared" si="44"/>
        <v>EMS206-3</v>
      </c>
      <c r="H159" s="14"/>
      <c r="I159" s="17" t="s">
        <v>444</v>
      </c>
      <c r="J159" s="14" t="e">
        <f>VLOOKUP(G159,'Data Akademik'!$A$14:$D$315,3,FALSE)</f>
        <v>#N/A</v>
      </c>
      <c r="K159" s="14" t="e">
        <f>VLOOKUP(G159,'Data Akademik'!$E$14:$H$315,3,FALSE)</f>
        <v>#N/A</v>
      </c>
      <c r="L159" s="14">
        <f>VLOOKUP(G159,'Data Akademik'!$O$15:$Q$315,3,FALSE)</f>
        <v>0</v>
      </c>
      <c r="M159" s="14" t="str">
        <f t="shared" ref="M159" si="59">IF(L159&lt;&gt;0,L159,IF(ISNA(J159),IF(ISNA(K159),"",K159),J159))</f>
        <v/>
      </c>
      <c r="N159" s="14" t="str">
        <f t="shared" ref="N159" si="60">IF(ISERR(FIND("A",M159)),IF(ISERR(FIND("B",M159)),IF(ISERR(FIND("C",M159)),IF(ISERR(FIND("D",M159)),IF(ISERR(FIND("E",M159)),"","E"),"D"),"C"),"B"),"A")</f>
        <v/>
      </c>
      <c r="O159" s="204" t="str">
        <f t="shared" ref="O159" si="61">N159</f>
        <v/>
      </c>
      <c r="P159" s="117" t="str">
        <f t="shared" ca="1" si="46"/>
        <v/>
      </c>
      <c r="Q159" s="242">
        <v>3000</v>
      </c>
      <c r="R159" s="242">
        <f t="shared" ref="R159" si="62">IF($O$1&gt;=Q159,F159,0)</f>
        <v>0</v>
      </c>
      <c r="S159" s="242">
        <f>IF(ISBLANK(O159),-1,VLOOKUP(O159,'Nilai Kurikulum 2013'!$B$178:$C$183,2,FALSE))</f>
        <v>-1</v>
      </c>
      <c r="T159" s="242">
        <f ca="1">IF(AND(ISNA(MATCH(E159,'Hapus MK'!$N$13:$N$32,0)),ISNA(MATCH(E159,'Hapus MK'!$Q$13:$Q$30,0)))=TRUE,S159,-1)</f>
        <v>-1</v>
      </c>
      <c r="U159" s="242">
        <f t="shared" ref="U159" si="63">IF(S159&gt;0,F159,0)</f>
        <v>0</v>
      </c>
      <c r="V159" s="242">
        <f t="shared" ref="V159" ca="1" si="64">IF(T159&gt;0,F159,0)</f>
        <v>0</v>
      </c>
      <c r="W159" s="242">
        <f t="shared" ref="W159" ca="1" si="65">IF(AND(Q159&lt;=$O$1,T159&gt;0),1,0)</f>
        <v>0</v>
      </c>
      <c r="X159" s="242" t="str">
        <f t="shared" si="43"/>
        <v/>
      </c>
      <c r="Y159" s="242"/>
      <c r="Z159" s="242"/>
    </row>
    <row r="160" spans="2:26" ht="15.75" x14ac:dyDescent="0.25">
      <c r="B160" s="208">
        <v>154</v>
      </c>
      <c r="C160" s="348"/>
      <c r="D160" s="14">
        <v>9</v>
      </c>
      <c r="E160" s="15" t="s">
        <v>224</v>
      </c>
      <c r="F160" s="14">
        <v>2</v>
      </c>
      <c r="G160" s="116" t="str">
        <f t="shared" si="44"/>
        <v>EMS208-2</v>
      </c>
      <c r="H160" s="14" t="s">
        <v>436</v>
      </c>
      <c r="I160" s="17" t="s">
        <v>445</v>
      </c>
      <c r="J160" s="14" t="e">
        <f>VLOOKUP(G160,'Data Akademik'!$A$14:$D$315,3,FALSE)</f>
        <v>#N/A</v>
      </c>
      <c r="K160" s="14" t="e">
        <f>VLOOKUP(G160,'Data Akademik'!$E$14:$H$315,3,FALSE)</f>
        <v>#N/A</v>
      </c>
      <c r="L160" s="14">
        <f>VLOOKUP(G160,'Data Akademik'!$O$15:$Q$315,3,FALSE)</f>
        <v>0</v>
      </c>
      <c r="M160" s="14" t="str">
        <f t="shared" si="48"/>
        <v/>
      </c>
      <c r="N160" s="14" t="str">
        <f t="shared" si="49"/>
        <v/>
      </c>
      <c r="O160" s="204" t="str">
        <f t="shared" si="45"/>
        <v/>
      </c>
      <c r="P160" s="117" t="str">
        <f t="shared" ca="1" si="46"/>
        <v/>
      </c>
      <c r="Q160" s="242">
        <v>3000</v>
      </c>
      <c r="R160" s="242">
        <f t="shared" si="42"/>
        <v>0</v>
      </c>
      <c r="S160" s="242">
        <f>IF(ISBLANK(O160),-1,VLOOKUP(O160,'Nilai Kurikulum 2013'!$B$178:$C$183,2,FALSE))</f>
        <v>-1</v>
      </c>
      <c r="T160" s="242">
        <f ca="1">IF(AND(ISNA(MATCH(E160,'Hapus MK'!$N$13:$N$32,0)),ISNA(MATCH(E160,'Hapus MK'!$Q$13:$Q$30,0)))=TRUE,S160,-1)</f>
        <v>-1</v>
      </c>
      <c r="U160" s="242">
        <f t="shared" si="50"/>
        <v>0</v>
      </c>
      <c r="V160" s="242">
        <f t="shared" ca="1" si="51"/>
        <v>0</v>
      </c>
      <c r="W160" s="242">
        <f t="shared" ca="1" si="47"/>
        <v>0</v>
      </c>
      <c r="X160" s="242" t="str">
        <f t="shared" si="43"/>
        <v/>
      </c>
      <c r="Y160" s="242"/>
      <c r="Z160" s="242"/>
    </row>
    <row r="161" spans="2:26" ht="15.75" x14ac:dyDescent="0.25">
      <c r="B161" s="208">
        <v>155</v>
      </c>
      <c r="C161" s="348"/>
      <c r="D161" s="14">
        <v>10</v>
      </c>
      <c r="E161" s="17" t="s">
        <v>225</v>
      </c>
      <c r="F161" s="14">
        <v>2</v>
      </c>
      <c r="G161" s="116" t="str">
        <f t="shared" si="44"/>
        <v>EMS307-2</v>
      </c>
      <c r="H161" s="14" t="s">
        <v>436</v>
      </c>
      <c r="I161" s="17" t="s">
        <v>446</v>
      </c>
      <c r="J161" s="14" t="e">
        <f>VLOOKUP(G161,'Data Akademik'!$A$14:$D$315,3,FALSE)</f>
        <v>#N/A</v>
      </c>
      <c r="K161" s="14" t="e">
        <f>VLOOKUP(G161,'Data Akademik'!$E$14:$H$315,3,FALSE)</f>
        <v>#N/A</v>
      </c>
      <c r="L161" s="14">
        <f>VLOOKUP(G161,'Data Akademik'!$O$15:$Q$315,3,FALSE)</f>
        <v>0</v>
      </c>
      <c r="M161" s="14" t="str">
        <f t="shared" si="48"/>
        <v/>
      </c>
      <c r="N161" s="14" t="str">
        <f t="shared" si="49"/>
        <v/>
      </c>
      <c r="O161" s="204" t="str">
        <f t="shared" si="45"/>
        <v/>
      </c>
      <c r="P161" s="117" t="str">
        <f t="shared" ca="1" si="46"/>
        <v/>
      </c>
      <c r="Q161" s="242">
        <v>3000</v>
      </c>
      <c r="R161" s="242">
        <f t="shared" si="42"/>
        <v>0</v>
      </c>
      <c r="S161" s="242">
        <f>IF(ISBLANK(O161),-1,VLOOKUP(O161,'Nilai Kurikulum 2013'!$B$178:$C$183,2,FALSE))</f>
        <v>-1</v>
      </c>
      <c r="T161" s="242">
        <f ca="1">IF(AND(ISNA(MATCH(E161,'Hapus MK'!$N$13:$N$32,0)),ISNA(MATCH(E161,'Hapus MK'!$Q$13:$Q$30,0)))=TRUE,S161,-1)</f>
        <v>-1</v>
      </c>
      <c r="U161" s="242">
        <f t="shared" si="50"/>
        <v>0</v>
      </c>
      <c r="V161" s="242">
        <f t="shared" ca="1" si="51"/>
        <v>0</v>
      </c>
      <c r="W161" s="242">
        <f t="shared" ca="1" si="47"/>
        <v>0</v>
      </c>
      <c r="X161" s="242" t="str">
        <f t="shared" si="43"/>
        <v/>
      </c>
      <c r="Y161" s="242"/>
      <c r="Z161" s="242"/>
    </row>
    <row r="162" spans="2:26" ht="15.75" x14ac:dyDescent="0.25">
      <c r="B162" s="208">
        <v>156</v>
      </c>
      <c r="C162" s="348"/>
      <c r="D162" s="14">
        <v>11</v>
      </c>
      <c r="E162" s="17" t="s">
        <v>226</v>
      </c>
      <c r="F162" s="14">
        <v>4</v>
      </c>
      <c r="G162" s="116" t="str">
        <f t="shared" si="44"/>
        <v>ESA101-4</v>
      </c>
      <c r="H162" s="14" t="s">
        <v>436</v>
      </c>
      <c r="I162" s="17" t="s">
        <v>447</v>
      </c>
      <c r="J162" s="14" t="e">
        <f>VLOOKUP(G162,'Data Akademik'!$A$14:$D$315,3,FALSE)</f>
        <v>#N/A</v>
      </c>
      <c r="K162" s="14" t="e">
        <f>VLOOKUP(G162,'Data Akademik'!$E$14:$H$315,3,FALSE)</f>
        <v>#N/A</v>
      </c>
      <c r="L162" s="14">
        <f>VLOOKUP(G162,'Data Akademik'!$O$15:$Q$315,3,FALSE)</f>
        <v>0</v>
      </c>
      <c r="M162" s="14" t="str">
        <f t="shared" si="48"/>
        <v/>
      </c>
      <c r="N162" s="14" t="str">
        <f t="shared" si="49"/>
        <v/>
      </c>
      <c r="O162" s="204" t="str">
        <f t="shared" si="45"/>
        <v/>
      </c>
      <c r="P162" s="117" t="str">
        <f t="shared" ca="1" si="46"/>
        <v/>
      </c>
      <c r="Q162" s="242">
        <v>3000</v>
      </c>
      <c r="R162" s="242">
        <f t="shared" si="42"/>
        <v>0</v>
      </c>
      <c r="S162" s="242">
        <f>IF(ISBLANK(O162),-1,VLOOKUP(O162,'Nilai Kurikulum 2013'!$B$178:$C$183,2,FALSE))</f>
        <v>-1</v>
      </c>
      <c r="T162" s="242">
        <f ca="1">IF(AND(ISNA(MATCH(E162,'Hapus MK'!$N$13:$N$32,0)),ISNA(MATCH(E162,'Hapus MK'!$Q$13:$Q$30,0)))=TRUE,S162,-1)</f>
        <v>-1</v>
      </c>
      <c r="U162" s="242">
        <f t="shared" si="50"/>
        <v>0</v>
      </c>
      <c r="V162" s="242">
        <f t="shared" ca="1" si="51"/>
        <v>0</v>
      </c>
      <c r="W162" s="242">
        <f t="shared" ca="1" si="47"/>
        <v>0</v>
      </c>
      <c r="X162" s="242" t="str">
        <f t="shared" si="43"/>
        <v/>
      </c>
      <c r="Y162" s="242"/>
      <c r="Z162" s="242"/>
    </row>
    <row r="163" spans="2:26" ht="15.75" x14ac:dyDescent="0.25">
      <c r="B163" s="208">
        <v>157</v>
      </c>
      <c r="C163" s="348"/>
      <c r="D163" s="14">
        <v>12</v>
      </c>
      <c r="E163" s="15" t="s">
        <v>227</v>
      </c>
      <c r="F163" s="14">
        <v>3</v>
      </c>
      <c r="G163" s="116" t="str">
        <f t="shared" si="44"/>
        <v>ESM104-3</v>
      </c>
      <c r="H163" s="14" t="s">
        <v>436</v>
      </c>
      <c r="I163" s="17" t="s">
        <v>448</v>
      </c>
      <c r="J163" s="14" t="e">
        <f>VLOOKUP(G163,'Data Akademik'!$A$14:$D$315,3,FALSE)</f>
        <v>#N/A</v>
      </c>
      <c r="K163" s="14" t="e">
        <f>VLOOKUP(G163,'Data Akademik'!$E$14:$H$315,3,FALSE)</f>
        <v>#N/A</v>
      </c>
      <c r="L163" s="14">
        <f>VLOOKUP(G163,'Data Akademik'!$O$15:$Q$315,3,FALSE)</f>
        <v>0</v>
      </c>
      <c r="M163" s="14" t="str">
        <f t="shared" si="48"/>
        <v/>
      </c>
      <c r="N163" s="14" t="str">
        <f t="shared" si="49"/>
        <v/>
      </c>
      <c r="O163" s="204" t="str">
        <f t="shared" si="45"/>
        <v/>
      </c>
      <c r="P163" s="117" t="str">
        <f t="shared" ca="1" si="46"/>
        <v/>
      </c>
      <c r="Q163" s="242">
        <v>3000</v>
      </c>
      <c r="R163" s="242">
        <f t="shared" si="42"/>
        <v>0</v>
      </c>
      <c r="S163" s="242">
        <f>IF(ISBLANK(O163),-1,VLOOKUP(O163,'Nilai Kurikulum 2013'!$B$178:$C$183,2,FALSE))</f>
        <v>-1</v>
      </c>
      <c r="T163" s="242">
        <f ca="1">IF(AND(ISNA(MATCH(E163,'Hapus MK'!$N$13:$N$32,0)),ISNA(MATCH(E163,'Hapus MK'!$Q$13:$Q$30,0)))=TRUE,S163,-1)</f>
        <v>-1</v>
      </c>
      <c r="U163" s="242">
        <f t="shared" si="50"/>
        <v>0</v>
      </c>
      <c r="V163" s="242">
        <f t="shared" ca="1" si="51"/>
        <v>0</v>
      </c>
      <c r="W163" s="242">
        <f t="shared" ca="1" si="47"/>
        <v>0</v>
      </c>
      <c r="X163" s="242" t="str">
        <f t="shared" si="43"/>
        <v/>
      </c>
    </row>
    <row r="164" spans="2:26" ht="15.75" x14ac:dyDescent="0.25">
      <c r="B164" s="208">
        <v>158</v>
      </c>
      <c r="C164" s="348"/>
      <c r="D164" s="14">
        <v>13</v>
      </c>
      <c r="E164" s="15" t="s">
        <v>228</v>
      </c>
      <c r="F164" s="14">
        <v>3</v>
      </c>
      <c r="G164" s="116" t="str">
        <f t="shared" si="44"/>
        <v>ESM201-3</v>
      </c>
      <c r="H164" s="14" t="s">
        <v>436</v>
      </c>
      <c r="I164" s="17" t="s">
        <v>449</v>
      </c>
      <c r="J164" s="14" t="e">
        <f>VLOOKUP(G164,'Data Akademik'!$A$14:$D$315,3,FALSE)</f>
        <v>#N/A</v>
      </c>
      <c r="K164" s="14" t="e">
        <f>VLOOKUP(G164,'Data Akademik'!$E$14:$H$315,3,FALSE)</f>
        <v>#N/A</v>
      </c>
      <c r="L164" s="14">
        <f>VLOOKUP(G164,'Data Akademik'!$O$15:$Q$315,3,FALSE)</f>
        <v>0</v>
      </c>
      <c r="M164" s="14" t="str">
        <f t="shared" si="48"/>
        <v/>
      </c>
      <c r="N164" s="14" t="str">
        <f t="shared" si="49"/>
        <v/>
      </c>
      <c r="O164" s="204" t="str">
        <f t="shared" si="45"/>
        <v/>
      </c>
      <c r="P164" s="117" t="str">
        <f t="shared" ca="1" si="46"/>
        <v/>
      </c>
      <c r="Q164" s="242">
        <v>3000</v>
      </c>
      <c r="R164" s="242">
        <f t="shared" si="42"/>
        <v>0</v>
      </c>
      <c r="S164" s="242">
        <f>IF(ISBLANK(O164),-1,VLOOKUP(O164,'Nilai Kurikulum 2013'!$B$178:$C$183,2,FALSE))</f>
        <v>-1</v>
      </c>
      <c r="T164" s="242">
        <f ca="1">IF(AND(ISNA(MATCH(E164,'Hapus MK'!$N$13:$N$32,0)),ISNA(MATCH(E164,'Hapus MK'!$Q$13:$Q$30,0)))=TRUE,S164,-1)</f>
        <v>-1</v>
      </c>
      <c r="U164" s="242">
        <f t="shared" si="50"/>
        <v>0</v>
      </c>
      <c r="V164" s="242">
        <f t="shared" ca="1" si="51"/>
        <v>0</v>
      </c>
      <c r="W164" s="242">
        <f t="shared" ca="1" si="47"/>
        <v>0</v>
      </c>
      <c r="X164" s="242" t="str">
        <f t="shared" si="43"/>
        <v/>
      </c>
    </row>
    <row r="165" spans="2:26" ht="15.75" x14ac:dyDescent="0.25">
      <c r="B165" s="208">
        <v>159</v>
      </c>
      <c r="C165" s="348"/>
      <c r="D165" s="14">
        <v>14</v>
      </c>
      <c r="E165" s="17" t="s">
        <v>229</v>
      </c>
      <c r="F165" s="14">
        <v>3</v>
      </c>
      <c r="G165" s="116" t="str">
        <f t="shared" si="44"/>
        <v>ESM202-3</v>
      </c>
      <c r="H165" s="14" t="s">
        <v>436</v>
      </c>
      <c r="I165" s="17" t="s">
        <v>450</v>
      </c>
      <c r="J165" s="14" t="e">
        <f>VLOOKUP(G165,'Data Akademik'!$A$14:$D$315,3,FALSE)</f>
        <v>#N/A</v>
      </c>
      <c r="K165" s="14" t="e">
        <f>VLOOKUP(G165,'Data Akademik'!$E$14:$H$315,3,FALSE)</f>
        <v>#N/A</v>
      </c>
      <c r="L165" s="14">
        <f>VLOOKUP(G165,'Data Akademik'!$O$15:$Q$315,3,FALSE)</f>
        <v>0</v>
      </c>
      <c r="M165" s="14" t="str">
        <f t="shared" si="48"/>
        <v/>
      </c>
      <c r="N165" s="14" t="str">
        <f t="shared" si="49"/>
        <v/>
      </c>
      <c r="O165" s="204" t="str">
        <f t="shared" si="45"/>
        <v/>
      </c>
      <c r="P165" s="117" t="str">
        <f t="shared" ca="1" si="46"/>
        <v/>
      </c>
      <c r="Q165" s="242">
        <v>3000</v>
      </c>
      <c r="R165" s="242">
        <f t="shared" si="42"/>
        <v>0</v>
      </c>
      <c r="S165" s="242">
        <f>IF(ISBLANK(O165),-1,VLOOKUP(O165,'Nilai Kurikulum 2013'!$B$178:$C$183,2,FALSE))</f>
        <v>-1</v>
      </c>
      <c r="T165" s="242">
        <f ca="1">IF(AND(ISNA(MATCH(E165,'Hapus MK'!$N$13:$N$32,0)),ISNA(MATCH(E165,'Hapus MK'!$Q$13:$Q$30,0)))=TRUE,S165,-1)</f>
        <v>-1</v>
      </c>
      <c r="U165" s="242">
        <f t="shared" si="50"/>
        <v>0</v>
      </c>
      <c r="V165" s="242">
        <f t="shared" ca="1" si="51"/>
        <v>0</v>
      </c>
      <c r="W165" s="242">
        <f t="shared" ca="1" si="47"/>
        <v>0</v>
      </c>
      <c r="X165" s="242" t="str">
        <f t="shared" si="43"/>
        <v/>
      </c>
    </row>
    <row r="166" spans="2:26" ht="15.75" x14ac:dyDescent="0.25">
      <c r="B166" s="208">
        <v>160</v>
      </c>
      <c r="C166" s="348"/>
      <c r="D166" s="14">
        <v>15</v>
      </c>
      <c r="E166" s="15" t="s">
        <v>230</v>
      </c>
      <c r="F166" s="14">
        <v>3</v>
      </c>
      <c r="G166" s="116" t="str">
        <f t="shared" si="44"/>
        <v>ESM203-3</v>
      </c>
      <c r="H166" s="14" t="s">
        <v>436</v>
      </c>
      <c r="I166" s="17" t="s">
        <v>451</v>
      </c>
      <c r="J166" s="14" t="e">
        <f>VLOOKUP(G166,'Data Akademik'!$A$14:$D$315,3,FALSE)</f>
        <v>#N/A</v>
      </c>
      <c r="K166" s="14" t="e">
        <f>VLOOKUP(G166,'Data Akademik'!$E$14:$H$315,3,FALSE)</f>
        <v>#N/A</v>
      </c>
      <c r="L166" s="14">
        <f>VLOOKUP(G166,'Data Akademik'!$O$15:$Q$315,3,FALSE)</f>
        <v>0</v>
      </c>
      <c r="M166" s="14" t="str">
        <f t="shared" si="48"/>
        <v/>
      </c>
      <c r="N166" s="14" t="str">
        <f t="shared" si="49"/>
        <v/>
      </c>
      <c r="O166" s="204" t="str">
        <f t="shared" si="45"/>
        <v/>
      </c>
      <c r="P166" s="117" t="str">
        <f t="shared" ref="P166:P174" ca="1" si="66">IF(T166&gt;0,VLOOKUP(T166,$C$178:$D$183,2,),"")</f>
        <v/>
      </c>
      <c r="Q166" s="242">
        <v>3000</v>
      </c>
      <c r="R166" s="242">
        <f t="shared" si="42"/>
        <v>0</v>
      </c>
      <c r="S166" s="242">
        <f>IF(ISBLANK(O166),-1,VLOOKUP(O166,'Nilai Kurikulum 2013'!$B$178:$C$183,2,FALSE))</f>
        <v>-1</v>
      </c>
      <c r="T166" s="242">
        <f ca="1">IF(AND(ISNA(MATCH(E166,'Hapus MK'!$N$13:$N$32,0)),ISNA(MATCH(E166,'Hapus MK'!$Q$13:$Q$30,0)))=TRUE,S166,-1)</f>
        <v>-1</v>
      </c>
      <c r="U166" s="242">
        <f t="shared" si="50"/>
        <v>0</v>
      </c>
      <c r="V166" s="242">
        <f t="shared" ca="1" si="51"/>
        <v>0</v>
      </c>
      <c r="W166" s="242">
        <f t="shared" ca="1" si="47"/>
        <v>0</v>
      </c>
      <c r="X166" s="242" t="str">
        <f t="shared" si="43"/>
        <v/>
      </c>
    </row>
    <row r="167" spans="2:26" ht="15.75" x14ac:dyDescent="0.25">
      <c r="B167" s="208">
        <v>161</v>
      </c>
      <c r="C167" s="348"/>
      <c r="D167" s="14">
        <v>16</v>
      </c>
      <c r="E167" s="15" t="s">
        <v>231</v>
      </c>
      <c r="F167" s="14">
        <v>3</v>
      </c>
      <c r="G167" s="116" t="str">
        <f t="shared" ref="G167:G174" si="67">E167&amp;"-"&amp;F167</f>
        <v>ESM204-3</v>
      </c>
      <c r="H167" s="14" t="s">
        <v>436</v>
      </c>
      <c r="I167" s="17" t="s">
        <v>452</v>
      </c>
      <c r="J167" s="14" t="e">
        <f>VLOOKUP(G167,'Data Akademik'!$A$14:$D$315,3,FALSE)</f>
        <v>#N/A</v>
      </c>
      <c r="K167" s="14" t="e">
        <f>VLOOKUP(G167,'Data Akademik'!$E$14:$H$315,3,FALSE)</f>
        <v>#N/A</v>
      </c>
      <c r="L167" s="14">
        <f>VLOOKUP(G167,'Data Akademik'!$O$15:$Q$315,3,FALSE)</f>
        <v>0</v>
      </c>
      <c r="M167" s="14" t="str">
        <f t="shared" si="48"/>
        <v/>
      </c>
      <c r="N167" s="14" t="str">
        <f t="shared" si="49"/>
        <v/>
      </c>
      <c r="O167" s="204" t="str">
        <f t="shared" ref="O167:O174" si="68">N167</f>
        <v/>
      </c>
      <c r="P167" s="117" t="str">
        <f t="shared" ca="1" si="66"/>
        <v/>
      </c>
      <c r="Q167" s="242">
        <v>3000</v>
      </c>
      <c r="R167" s="242">
        <f t="shared" si="42"/>
        <v>0</v>
      </c>
      <c r="S167" s="242">
        <f>IF(ISBLANK(O167),-1,VLOOKUP(O167,'Nilai Kurikulum 2013'!$B$178:$C$183,2,FALSE))</f>
        <v>-1</v>
      </c>
      <c r="T167" s="242">
        <f ca="1">IF(AND(ISNA(MATCH(E167,'Hapus MK'!$N$13:$N$32,0)),ISNA(MATCH(E167,'Hapus MK'!$Q$13:$Q$30,0)))=TRUE,S167,-1)</f>
        <v>-1</v>
      </c>
      <c r="U167" s="242">
        <f t="shared" si="50"/>
        <v>0</v>
      </c>
      <c r="V167" s="242">
        <f t="shared" ca="1" si="51"/>
        <v>0</v>
      </c>
      <c r="W167" s="242">
        <f t="shared" ref="W167:W174" ca="1" si="69">IF(AND(Q167&lt;=$O$1,T167&gt;0),1,0)</f>
        <v>0</v>
      </c>
      <c r="X167" s="242" t="str">
        <f t="shared" si="43"/>
        <v/>
      </c>
    </row>
    <row r="168" spans="2:26" ht="15.75" x14ac:dyDescent="0.25">
      <c r="B168" s="208">
        <v>162</v>
      </c>
      <c r="C168" s="348"/>
      <c r="D168" s="14">
        <v>17</v>
      </c>
      <c r="E168" s="15" t="s">
        <v>232</v>
      </c>
      <c r="F168" s="14">
        <v>3</v>
      </c>
      <c r="G168" s="116" t="str">
        <f t="shared" si="67"/>
        <v>ESM206-3</v>
      </c>
      <c r="H168" s="14" t="s">
        <v>436</v>
      </c>
      <c r="I168" s="17" t="s">
        <v>453</v>
      </c>
      <c r="J168" s="14" t="e">
        <f>VLOOKUP(G168,'Data Akademik'!$A$14:$D$315,3,FALSE)</f>
        <v>#N/A</v>
      </c>
      <c r="K168" s="14" t="e">
        <f>VLOOKUP(G168,'Data Akademik'!$E$14:$H$315,3,FALSE)</f>
        <v>#N/A</v>
      </c>
      <c r="L168" s="14">
        <f>VLOOKUP(G168,'Data Akademik'!$O$15:$Q$315,3,FALSE)</f>
        <v>0</v>
      </c>
      <c r="M168" s="14" t="str">
        <f t="shared" si="48"/>
        <v/>
      </c>
      <c r="N168" s="14" t="str">
        <f t="shared" si="49"/>
        <v/>
      </c>
      <c r="O168" s="204" t="str">
        <f t="shared" si="68"/>
        <v/>
      </c>
      <c r="P168" s="117" t="str">
        <f t="shared" ca="1" si="66"/>
        <v/>
      </c>
      <c r="Q168" s="242">
        <v>3000</v>
      </c>
      <c r="R168" s="242">
        <f t="shared" si="42"/>
        <v>0</v>
      </c>
      <c r="S168" s="242">
        <f>IF(ISBLANK(O168),-1,VLOOKUP(O168,'Nilai Kurikulum 2013'!$B$178:$C$183,2,FALSE))</f>
        <v>-1</v>
      </c>
      <c r="T168" s="242">
        <f ca="1">IF(AND(ISNA(MATCH(E168,'Hapus MK'!$N$13:$N$32,0)),ISNA(MATCH(E168,'Hapus MK'!$Q$13:$Q$30,0)))=TRUE,S168,-1)</f>
        <v>-1</v>
      </c>
      <c r="U168" s="242">
        <f t="shared" si="50"/>
        <v>0</v>
      </c>
      <c r="V168" s="242">
        <f t="shared" ca="1" si="51"/>
        <v>0</v>
      </c>
      <c r="W168" s="242">
        <f t="shared" ca="1" si="69"/>
        <v>0</v>
      </c>
      <c r="X168" s="242" t="str">
        <f t="shared" si="43"/>
        <v/>
      </c>
    </row>
    <row r="169" spans="2:26" ht="15.75" x14ac:dyDescent="0.25">
      <c r="B169" s="208">
        <v>163</v>
      </c>
      <c r="C169" s="348"/>
      <c r="D169" s="14">
        <v>18</v>
      </c>
      <c r="E169" s="15" t="s">
        <v>233</v>
      </c>
      <c r="F169" s="14">
        <v>3</v>
      </c>
      <c r="G169" s="116" t="str">
        <f t="shared" si="67"/>
        <v>ESM209-3</v>
      </c>
      <c r="H169" s="14" t="s">
        <v>436</v>
      </c>
      <c r="I169" s="17" t="s">
        <v>454</v>
      </c>
      <c r="J169" s="14" t="e">
        <f>VLOOKUP(G169,'Data Akademik'!$A$14:$D$315,3,FALSE)</f>
        <v>#N/A</v>
      </c>
      <c r="K169" s="14" t="e">
        <f>VLOOKUP(G169,'Data Akademik'!$E$14:$H$315,3,FALSE)</f>
        <v>#N/A</v>
      </c>
      <c r="L169" s="14">
        <f>VLOOKUP(G169,'Data Akademik'!$O$15:$Q$315,3,FALSE)</f>
        <v>0</v>
      </c>
      <c r="M169" s="14" t="str">
        <f t="shared" si="48"/>
        <v/>
      </c>
      <c r="N169" s="14" t="str">
        <f t="shared" si="49"/>
        <v/>
      </c>
      <c r="O169" s="204" t="str">
        <f t="shared" si="68"/>
        <v/>
      </c>
      <c r="P169" s="117" t="str">
        <f t="shared" ca="1" si="66"/>
        <v/>
      </c>
      <c r="Q169" s="242">
        <v>3000</v>
      </c>
      <c r="R169" s="242">
        <f t="shared" si="42"/>
        <v>0</v>
      </c>
      <c r="S169" s="242">
        <f>IF(ISBLANK(O169),-1,VLOOKUP(O169,'Nilai Kurikulum 2013'!$B$178:$C$183,2,FALSE))</f>
        <v>-1</v>
      </c>
      <c r="T169" s="242">
        <f ca="1">IF(AND(ISNA(MATCH(E169,'Hapus MK'!$N$13:$N$32,0)),ISNA(MATCH(E169,'Hapus MK'!$Q$13:$Q$30,0)))=TRUE,S169,-1)</f>
        <v>-1</v>
      </c>
      <c r="U169" s="242">
        <f t="shared" si="50"/>
        <v>0</v>
      </c>
      <c r="V169" s="242">
        <f t="shared" ca="1" si="51"/>
        <v>0</v>
      </c>
      <c r="W169" s="242">
        <f t="shared" ca="1" si="69"/>
        <v>0</v>
      </c>
      <c r="X169" s="242" t="str">
        <f t="shared" si="43"/>
        <v/>
      </c>
    </row>
    <row r="170" spans="2:26" ht="15.75" x14ac:dyDescent="0.25">
      <c r="B170" s="208">
        <v>164</v>
      </c>
      <c r="C170" s="348"/>
      <c r="D170" s="14">
        <v>19</v>
      </c>
      <c r="E170" s="15" t="s">
        <v>234</v>
      </c>
      <c r="F170" s="37">
        <v>2</v>
      </c>
      <c r="G170" s="116" t="str">
        <f t="shared" si="67"/>
        <v>ESM314-2</v>
      </c>
      <c r="H170" s="14" t="s">
        <v>436</v>
      </c>
      <c r="I170" s="17" t="s">
        <v>455</v>
      </c>
      <c r="J170" s="14" t="e">
        <f>VLOOKUP(G170,'Data Akademik'!$A$14:$D$315,3,FALSE)</f>
        <v>#N/A</v>
      </c>
      <c r="K170" s="14" t="e">
        <f>VLOOKUP(G170,'Data Akademik'!$E$14:$H$315,3,FALSE)</f>
        <v>#N/A</v>
      </c>
      <c r="L170" s="14">
        <f>VLOOKUP(G170,'Data Akademik'!$O$15:$Q$315,3,FALSE)</f>
        <v>0</v>
      </c>
      <c r="M170" s="14" t="str">
        <f t="shared" si="48"/>
        <v/>
      </c>
      <c r="N170" s="14" t="str">
        <f t="shared" si="49"/>
        <v/>
      </c>
      <c r="O170" s="204" t="str">
        <f t="shared" si="68"/>
        <v/>
      </c>
      <c r="P170" s="117" t="str">
        <f t="shared" ca="1" si="66"/>
        <v/>
      </c>
      <c r="Q170" s="242">
        <v>3000</v>
      </c>
      <c r="R170" s="242">
        <f t="shared" si="42"/>
        <v>0</v>
      </c>
      <c r="S170" s="242">
        <f>IF(ISBLANK(O170),-1,VLOOKUP(O170,'Nilai Kurikulum 2013'!$B$178:$C$183,2,FALSE))</f>
        <v>-1</v>
      </c>
      <c r="T170" s="242">
        <f ca="1">IF(AND(ISNA(MATCH(E170,'Hapus MK'!$N$13:$N$32,0)),ISNA(MATCH(E170,'Hapus MK'!$Q$13:$Q$30,0)))=TRUE,S170,-1)</f>
        <v>-1</v>
      </c>
      <c r="U170" s="242">
        <f t="shared" si="50"/>
        <v>0</v>
      </c>
      <c r="V170" s="242">
        <f t="shared" ca="1" si="51"/>
        <v>0</v>
      </c>
      <c r="W170" s="242">
        <f t="shared" ca="1" si="69"/>
        <v>0</v>
      </c>
      <c r="X170" s="242" t="str">
        <f t="shared" si="43"/>
        <v/>
      </c>
    </row>
    <row r="171" spans="2:26" ht="15.75" x14ac:dyDescent="0.25">
      <c r="B171" s="208">
        <v>165</v>
      </c>
      <c r="C171" s="348"/>
      <c r="D171" s="14">
        <v>20</v>
      </c>
      <c r="E171" s="15" t="s">
        <v>235</v>
      </c>
      <c r="F171" s="14">
        <v>3</v>
      </c>
      <c r="G171" s="116" t="str">
        <f t="shared" si="67"/>
        <v>IND463-3</v>
      </c>
      <c r="H171" s="14" t="s">
        <v>436</v>
      </c>
      <c r="I171" s="17" t="s">
        <v>456</v>
      </c>
      <c r="J171" s="14" t="e">
        <f>VLOOKUP(G171,'Data Akademik'!$A$14:$D$315,3,FALSE)</f>
        <v>#N/A</v>
      </c>
      <c r="K171" s="14" t="e">
        <f>VLOOKUP(G171,'Data Akademik'!$E$14:$H$315,3,FALSE)</f>
        <v>#N/A</v>
      </c>
      <c r="L171" s="14">
        <f>VLOOKUP(G171,'Data Akademik'!$O$15:$Q$315,3,FALSE)</f>
        <v>0</v>
      </c>
      <c r="M171" s="14" t="str">
        <f t="shared" si="48"/>
        <v/>
      </c>
      <c r="N171" s="14" t="str">
        <f t="shared" si="49"/>
        <v/>
      </c>
      <c r="O171" s="204" t="str">
        <f t="shared" si="68"/>
        <v/>
      </c>
      <c r="P171" s="117" t="str">
        <f t="shared" ca="1" si="66"/>
        <v/>
      </c>
      <c r="Q171" s="242">
        <v>3000</v>
      </c>
      <c r="R171" s="242">
        <f t="shared" si="42"/>
        <v>0</v>
      </c>
      <c r="S171" s="242">
        <f>IF(ISBLANK(O171),-1,VLOOKUP(O171,'Nilai Kurikulum 2013'!$B$178:$C$183,2,FALSE))</f>
        <v>-1</v>
      </c>
      <c r="T171" s="242">
        <f ca="1">IF(AND(ISNA(MATCH(E171,'Hapus MK'!$N$13:$N$32,0)),ISNA(MATCH(E171,'Hapus MK'!$Q$13:$Q$30,0)))=TRUE,S171,-1)</f>
        <v>-1</v>
      </c>
      <c r="U171" s="242">
        <f t="shared" si="50"/>
        <v>0</v>
      </c>
      <c r="V171" s="242">
        <f t="shared" ca="1" si="51"/>
        <v>0</v>
      </c>
      <c r="W171" s="242">
        <f t="shared" ca="1" si="69"/>
        <v>0</v>
      </c>
      <c r="X171" s="242" t="str">
        <f t="shared" si="43"/>
        <v/>
      </c>
    </row>
    <row r="172" spans="2:26" ht="15.75" x14ac:dyDescent="0.25">
      <c r="B172" s="208">
        <v>166</v>
      </c>
      <c r="C172" s="348"/>
      <c r="D172" s="14">
        <v>21</v>
      </c>
      <c r="E172" s="15" t="s">
        <v>236</v>
      </c>
      <c r="F172" s="14">
        <v>3</v>
      </c>
      <c r="G172" s="116" t="str">
        <f t="shared" si="67"/>
        <v>SIR103-3</v>
      </c>
      <c r="H172" s="14" t="s">
        <v>436</v>
      </c>
      <c r="I172" s="17" t="s">
        <v>457</v>
      </c>
      <c r="J172" s="14" t="e">
        <f>VLOOKUP(G172,'Data Akademik'!$A$14:$D$315,3,FALSE)</f>
        <v>#N/A</v>
      </c>
      <c r="K172" s="14" t="e">
        <f>VLOOKUP(G172,'Data Akademik'!$E$14:$H$315,3,FALSE)</f>
        <v>#N/A</v>
      </c>
      <c r="L172" s="14">
        <f>VLOOKUP(G172,'Data Akademik'!$O$15:$Q$315,3,FALSE)</f>
        <v>0</v>
      </c>
      <c r="M172" s="14" t="str">
        <f t="shared" si="48"/>
        <v/>
      </c>
      <c r="N172" s="14" t="str">
        <f t="shared" si="49"/>
        <v/>
      </c>
      <c r="O172" s="204" t="str">
        <f t="shared" si="68"/>
        <v/>
      </c>
      <c r="P172" s="117" t="str">
        <f t="shared" ca="1" si="66"/>
        <v/>
      </c>
      <c r="Q172" s="242">
        <v>3000</v>
      </c>
      <c r="R172" s="242">
        <f t="shared" si="42"/>
        <v>0</v>
      </c>
      <c r="S172" s="242">
        <f>IF(ISBLANK(O172),-1,VLOOKUP(O172,'Nilai Kurikulum 2013'!$B$178:$C$183,2,FALSE))</f>
        <v>-1</v>
      </c>
      <c r="T172" s="242">
        <f ca="1">IF(AND(ISNA(MATCH(E172,'Hapus MK'!$N$13:$N$32,0)),ISNA(MATCH(E172,'Hapus MK'!$Q$13:$Q$30,0)))=TRUE,S172,-1)</f>
        <v>-1</v>
      </c>
      <c r="U172" s="242">
        <f t="shared" si="50"/>
        <v>0</v>
      </c>
      <c r="V172" s="242">
        <f t="shared" ca="1" si="51"/>
        <v>0</v>
      </c>
      <c r="W172" s="242">
        <f t="shared" ca="1" si="69"/>
        <v>0</v>
      </c>
      <c r="X172" s="242" t="str">
        <f t="shared" si="43"/>
        <v/>
      </c>
    </row>
    <row r="173" spans="2:26" ht="15.75" x14ac:dyDescent="0.25">
      <c r="B173" s="208">
        <v>167</v>
      </c>
      <c r="C173" s="348"/>
      <c r="D173" s="14">
        <v>22</v>
      </c>
      <c r="E173" s="15" t="s">
        <v>237</v>
      </c>
      <c r="F173" s="14">
        <v>3</v>
      </c>
      <c r="G173" s="116" t="str">
        <f t="shared" si="67"/>
        <v>SIR104-3</v>
      </c>
      <c r="H173" s="14" t="s">
        <v>436</v>
      </c>
      <c r="I173" s="17" t="s">
        <v>458</v>
      </c>
      <c r="J173" s="14" t="e">
        <f>VLOOKUP(G173,'Data Akademik'!$A$14:$D$315,3,FALSE)</f>
        <v>#N/A</v>
      </c>
      <c r="K173" s="14" t="e">
        <f>VLOOKUP(G173,'Data Akademik'!$E$14:$H$315,3,FALSE)</f>
        <v>#N/A</v>
      </c>
      <c r="L173" s="14">
        <f>VLOOKUP(G173,'Data Akademik'!$O$15:$Q$315,3,FALSE)</f>
        <v>0</v>
      </c>
      <c r="M173" s="14" t="str">
        <f t="shared" si="48"/>
        <v/>
      </c>
      <c r="N173" s="14" t="str">
        <f t="shared" si="49"/>
        <v/>
      </c>
      <c r="O173" s="204" t="str">
        <f t="shared" si="68"/>
        <v/>
      </c>
      <c r="P173" s="117" t="str">
        <f t="shared" ca="1" si="66"/>
        <v/>
      </c>
      <c r="Q173" s="242">
        <v>3000</v>
      </c>
      <c r="R173" s="242">
        <f t="shared" si="42"/>
        <v>0</v>
      </c>
      <c r="S173" s="242">
        <f>IF(ISBLANK(O173),-1,VLOOKUP(O173,'Nilai Kurikulum 2013'!$B$178:$C$183,2,FALSE))</f>
        <v>-1</v>
      </c>
      <c r="T173" s="242">
        <f ca="1">IF(AND(ISNA(MATCH(E173,'Hapus MK'!$N$13:$N$32,0)),ISNA(MATCH(E173,'Hapus MK'!$Q$13:$Q$30,0)))=TRUE,S173,-1)</f>
        <v>-1</v>
      </c>
      <c r="U173" s="242">
        <f t="shared" si="50"/>
        <v>0</v>
      </c>
      <c r="V173" s="242">
        <f t="shared" ca="1" si="51"/>
        <v>0</v>
      </c>
      <c r="W173" s="242">
        <f t="shared" ca="1" si="69"/>
        <v>0</v>
      </c>
      <c r="X173" s="242" t="str">
        <f t="shared" si="43"/>
        <v/>
      </c>
    </row>
    <row r="174" spans="2:26" ht="15.75" x14ac:dyDescent="0.25">
      <c r="B174" s="208">
        <v>168</v>
      </c>
      <c r="C174" s="348"/>
      <c r="D174" s="14">
        <v>23</v>
      </c>
      <c r="E174" s="15" t="s">
        <v>238</v>
      </c>
      <c r="F174" s="14">
        <v>3</v>
      </c>
      <c r="G174" s="116" t="str">
        <f t="shared" si="67"/>
        <v>SIR105-3</v>
      </c>
      <c r="H174" s="14" t="s">
        <v>436</v>
      </c>
      <c r="I174" s="17" t="s">
        <v>459</v>
      </c>
      <c r="J174" s="14" t="e">
        <f>VLOOKUP(G174,'Data Akademik'!$A$14:$D$315,3,FALSE)</f>
        <v>#N/A</v>
      </c>
      <c r="K174" s="14" t="e">
        <f>VLOOKUP(G174,'Data Akademik'!$E$14:$H$315,3,FALSE)</f>
        <v>#N/A</v>
      </c>
      <c r="L174" s="14">
        <f>VLOOKUP(G174,'Data Akademik'!$O$15:$Q$315,3,FALSE)</f>
        <v>0</v>
      </c>
      <c r="M174" s="14" t="str">
        <f t="shared" si="48"/>
        <v/>
      </c>
      <c r="N174" s="14" t="str">
        <f t="shared" si="49"/>
        <v/>
      </c>
      <c r="O174" s="204" t="str">
        <f t="shared" si="68"/>
        <v/>
      </c>
      <c r="P174" s="117" t="str">
        <f t="shared" ca="1" si="66"/>
        <v/>
      </c>
      <c r="Q174" s="242">
        <v>3000</v>
      </c>
      <c r="R174" s="242">
        <f t="shared" si="42"/>
        <v>0</v>
      </c>
      <c r="S174" s="242">
        <f>IF(ISBLANK(O174),-1,VLOOKUP(O174,'Nilai Kurikulum 2013'!$B$178:$C$183,2,FALSE))</f>
        <v>-1</v>
      </c>
      <c r="T174" s="242">
        <f ca="1">IF(AND(ISNA(MATCH(E174,'Hapus MK'!$N$13:$N$32,0)),ISNA(MATCH(E174,'Hapus MK'!$Q$13:$Q$30,0)))=TRUE,S174,-1)</f>
        <v>-1</v>
      </c>
      <c r="U174" s="242">
        <f t="shared" si="50"/>
        <v>0</v>
      </c>
      <c r="V174" s="242">
        <f t="shared" ca="1" si="51"/>
        <v>0</v>
      </c>
      <c r="W174" s="242">
        <f t="shared" ca="1" si="69"/>
        <v>0</v>
      </c>
      <c r="X174" s="242" t="str">
        <f t="shared" si="43"/>
        <v/>
      </c>
    </row>
    <row r="175" spans="2:26" ht="16.5" thickBot="1" x14ac:dyDescent="0.3">
      <c r="B175" s="210">
        <v>169</v>
      </c>
      <c r="C175" s="348"/>
      <c r="D175" s="14">
        <v>24</v>
      </c>
      <c r="E175" s="15" t="s">
        <v>239</v>
      </c>
      <c r="F175" s="14">
        <v>2</v>
      </c>
      <c r="G175" s="116" t="s">
        <v>460</v>
      </c>
      <c r="H175" s="14" t="s">
        <v>436</v>
      </c>
      <c r="I175" s="17" t="s">
        <v>461</v>
      </c>
      <c r="J175" s="14" t="e">
        <f>VLOOKUP(G175,'Data Akademik'!$A$14:$D$315,3,FALSE)</f>
        <v>#N/A</v>
      </c>
      <c r="K175" s="14" t="e">
        <f>VLOOKUP(G175,'Data Akademik'!$E$14:$H$315,3,FALSE)</f>
        <v>#N/A</v>
      </c>
      <c r="L175" s="14">
        <f>VLOOKUP(G175,'Data Akademik'!$O$15:$Q$315,3,FALSE)</f>
        <v>0</v>
      </c>
      <c r="M175" s="14" t="str">
        <f t="shared" si="48"/>
        <v/>
      </c>
      <c r="N175" s="14" t="str">
        <f t="shared" ref="N175" si="70">IF(ISERR(FIND("A",M175)),IF(ISERR(FIND("B",M175)),IF(ISERR(FIND("C",M175)),IF(ISERR(FIND("D",M175)),IF(ISERR(FIND("E",M175)),"","E"),"D"),"C"),"B"),"A")</f>
        <v/>
      </c>
      <c r="O175" s="204" t="str">
        <f t="shared" ref="O175" si="71">N175</f>
        <v/>
      </c>
      <c r="P175" s="117" t="str">
        <f t="shared" ref="P175" ca="1" si="72">IF(T175&gt;0,VLOOKUP(T175,$C$178:$D$183,2,),"")</f>
        <v/>
      </c>
      <c r="Q175" s="242">
        <v>3000</v>
      </c>
      <c r="R175" s="242">
        <f t="shared" si="42"/>
        <v>0</v>
      </c>
      <c r="S175" s="242">
        <f>IF(ISBLANK(O175),-1,VLOOKUP(O175,'Nilai Kurikulum 2013'!$B$178:$C$183,2,FALSE))</f>
        <v>-1</v>
      </c>
      <c r="T175" s="242">
        <f ca="1">IF(AND(ISNA(MATCH(E175,'Hapus MK'!$N$13:$N$32,0)),ISNA(MATCH(E175,'Hapus MK'!$Q$13:$Q$30,0)))=TRUE,S175,-1)</f>
        <v>-1</v>
      </c>
      <c r="U175" s="242">
        <f t="shared" si="50"/>
        <v>0</v>
      </c>
      <c r="V175" s="242">
        <f t="shared" ca="1" si="51"/>
        <v>0</v>
      </c>
      <c r="W175" s="242">
        <v>0</v>
      </c>
      <c r="X175" s="242" t="str">
        <f t="shared" si="43"/>
        <v/>
      </c>
    </row>
    <row r="176" spans="2:26" ht="16.5" thickTop="1" thickBot="1" x14ac:dyDescent="0.3">
      <c r="B176" s="212">
        <v>170</v>
      </c>
      <c r="C176" s="120">
        <v>10</v>
      </c>
      <c r="D176" s="29">
        <v>1</v>
      </c>
      <c r="E176" s="38"/>
      <c r="F176" s="29"/>
      <c r="G176" s="121" t="str">
        <f>E176&amp;"-"&amp;F176</f>
        <v>-</v>
      </c>
      <c r="H176" s="29"/>
      <c r="I176" s="38"/>
      <c r="J176" s="29"/>
      <c r="K176" s="29"/>
      <c r="L176" s="29"/>
      <c r="M176" s="29"/>
      <c r="N176" s="29"/>
      <c r="O176" s="213"/>
      <c r="P176" s="214" t="str">
        <f t="shared" ref="P176" ca="1" si="73">IF(T176&gt;0,VLOOKUP(T176,$D$178:$E$183,2,),"")</f>
        <v/>
      </c>
      <c r="Q176" s="242">
        <v>3000</v>
      </c>
      <c r="R176" s="242">
        <f t="shared" si="42"/>
        <v>0</v>
      </c>
      <c r="S176" s="242">
        <f>IF(ISBLANK(O176),-1,VLOOKUP(O176,'Nilai Kurikulum 2013'!$B$178:$C$183,2,FALSE))</f>
        <v>-1</v>
      </c>
      <c r="T176" s="242">
        <f ca="1">IF(AND(ISNA(MATCH(E176,'Hapus MK'!$N$13:$N$32,0)),ISNA(MATCH(E176,'Hapus MK'!$Q$13:$Q$30,0)))=TRUE,S176,-1)</f>
        <v>-1</v>
      </c>
      <c r="U176" s="242">
        <f t="shared" si="50"/>
        <v>0</v>
      </c>
      <c r="V176" s="242">
        <f t="shared" ca="1" si="51"/>
        <v>0</v>
      </c>
      <c r="W176" s="242">
        <f ca="1">IF(AND(Q176&lt;=$O$1,T176&gt;0),1,0)</f>
        <v>0</v>
      </c>
      <c r="X176" s="242"/>
    </row>
    <row r="177" spans="2:28" ht="15.75" thickTop="1" x14ac:dyDescent="0.25">
      <c r="B177" s="242"/>
      <c r="C177" s="242"/>
      <c r="G177" s="242"/>
      <c r="H177" s="242"/>
      <c r="J177" s="242"/>
      <c r="K177" s="242"/>
      <c r="L177" s="242"/>
      <c r="M177" s="242"/>
      <c r="N177" s="242"/>
      <c r="Q177" s="242"/>
      <c r="R177" s="242"/>
      <c r="S177" s="242"/>
      <c r="T177" s="242"/>
      <c r="U177" s="242"/>
      <c r="V177" s="242"/>
      <c r="W177" s="242"/>
      <c r="X177" s="242"/>
    </row>
    <row r="178" spans="2:28" hidden="1" x14ac:dyDescent="0.25">
      <c r="B178" s="242" t="s">
        <v>57</v>
      </c>
      <c r="C178" s="123">
        <v>4</v>
      </c>
      <c r="D178" s="123" t="s">
        <v>57</v>
      </c>
      <c r="E178" s="123" t="str">
        <f t="shared" ref="E178:P178" si="74">E20</f>
        <v>AIF203</v>
      </c>
      <c r="F178" s="80">
        <f t="shared" si="74"/>
        <v>4</v>
      </c>
      <c r="G178" s="242" t="str">
        <f t="shared" si="74"/>
        <v>AIF203-4</v>
      </c>
      <c r="H178" s="242" t="str">
        <f t="shared" si="74"/>
        <v>W</v>
      </c>
      <c r="I178" s="110" t="str">
        <f t="shared" si="74"/>
        <v>Struktur Diskret</v>
      </c>
      <c r="J178" s="242" t="str">
        <f t="shared" si="74"/>
        <v>A</v>
      </c>
      <c r="K178" s="242" t="e">
        <f t="shared" si="74"/>
        <v>#N/A</v>
      </c>
      <c r="L178" s="242">
        <f t="shared" si="74"/>
        <v>0</v>
      </c>
      <c r="M178" s="242" t="str">
        <f t="shared" si="74"/>
        <v>A</v>
      </c>
      <c r="N178" s="242" t="str">
        <f t="shared" si="74"/>
        <v>A</v>
      </c>
      <c r="O178" s="80" t="str">
        <f t="shared" si="74"/>
        <v>A</v>
      </c>
      <c r="P178" s="80" t="str">
        <f t="shared" ca="1" si="74"/>
        <v>A</v>
      </c>
      <c r="Q178" s="242"/>
      <c r="R178" s="242"/>
      <c r="S178" s="242"/>
      <c r="T178" s="242"/>
      <c r="U178" s="242"/>
      <c r="V178" s="242"/>
      <c r="W178" s="242"/>
      <c r="X178" s="242" t="str">
        <f ca="1">IF(AND(O1&lt;Q20,X20&lt;&gt;""),X20,"")</f>
        <v/>
      </c>
    </row>
    <row r="179" spans="2:28" hidden="1" x14ac:dyDescent="0.25">
      <c r="B179" s="242" t="s">
        <v>58</v>
      </c>
      <c r="C179" s="123">
        <v>3</v>
      </c>
      <c r="D179" s="123" t="s">
        <v>58</v>
      </c>
      <c r="E179" s="123" t="str">
        <f>E31</f>
        <v>AIF208</v>
      </c>
      <c r="F179" s="80">
        <f t="shared" ref="F179:P179" si="75">F31</f>
        <v>4</v>
      </c>
      <c r="G179" s="123" t="str">
        <f t="shared" si="75"/>
        <v>AIF208-4</v>
      </c>
      <c r="H179" s="123" t="str">
        <f t="shared" si="75"/>
        <v>W</v>
      </c>
      <c r="I179" s="123" t="str">
        <f t="shared" si="75"/>
        <v>Rekayasa Perangkat Lunak</v>
      </c>
      <c r="J179" s="123" t="e">
        <f t="shared" si="75"/>
        <v>#N/A</v>
      </c>
      <c r="K179" s="123" t="str">
        <f t="shared" si="75"/>
        <v>C</v>
      </c>
      <c r="L179" s="123">
        <f t="shared" si="75"/>
        <v>0</v>
      </c>
      <c r="M179" s="123" t="str">
        <f t="shared" si="75"/>
        <v>C</v>
      </c>
      <c r="N179" s="123" t="str">
        <f t="shared" si="75"/>
        <v>C</v>
      </c>
      <c r="O179" s="123" t="str">
        <f t="shared" si="75"/>
        <v>C</v>
      </c>
      <c r="P179" s="123" t="str">
        <f t="shared" ca="1" si="75"/>
        <v>C</v>
      </c>
      <c r="Q179" s="242"/>
      <c r="R179" s="242"/>
      <c r="S179" s="242"/>
      <c r="T179" s="242"/>
      <c r="U179" s="242"/>
      <c r="V179" s="242"/>
      <c r="W179" s="242"/>
      <c r="X179" s="242" t="str">
        <f ca="1">IF(AND(O1&lt;Q31,X31&lt;&gt;""),X31,"")</f>
        <v/>
      </c>
      <c r="Y179" s="242"/>
      <c r="Z179" s="242"/>
    </row>
    <row r="180" spans="2:28" hidden="1" x14ac:dyDescent="0.25">
      <c r="B180" s="242" t="s">
        <v>59</v>
      </c>
      <c r="C180" s="123">
        <v>2</v>
      </c>
      <c r="D180" s="123" t="s">
        <v>59</v>
      </c>
      <c r="E180" s="123" t="str">
        <f>E33</f>
        <v>AIF301</v>
      </c>
      <c r="F180" s="80">
        <f t="shared" ref="F180:P180" si="76">F33</f>
        <v>3</v>
      </c>
      <c r="G180" s="123" t="str">
        <f t="shared" si="76"/>
        <v>AIF301-3</v>
      </c>
      <c r="H180" s="123" t="str">
        <f t="shared" si="76"/>
        <v>W</v>
      </c>
      <c r="I180" s="123" t="str">
        <f t="shared" si="76"/>
        <v xml:space="preserve">Pengantar Sistem Cerdas </v>
      </c>
      <c r="J180" s="123" t="str">
        <f t="shared" si="76"/>
        <v>E-D</v>
      </c>
      <c r="K180" s="123" t="e">
        <f t="shared" si="76"/>
        <v>#N/A</v>
      </c>
      <c r="L180" s="123">
        <f t="shared" si="76"/>
        <v>0</v>
      </c>
      <c r="M180" s="123" t="str">
        <f t="shared" si="76"/>
        <v>E-D</v>
      </c>
      <c r="N180" s="123" t="str">
        <f t="shared" si="76"/>
        <v>D</v>
      </c>
      <c r="O180" s="123" t="str">
        <f t="shared" si="76"/>
        <v>D</v>
      </c>
      <c r="P180" s="123" t="str">
        <f t="shared" ca="1" si="76"/>
        <v>D</v>
      </c>
      <c r="Q180" s="242"/>
      <c r="R180" s="242"/>
      <c r="S180" s="242"/>
      <c r="T180" s="242"/>
      <c r="U180" s="242"/>
      <c r="V180" s="242"/>
      <c r="W180" s="242"/>
      <c r="X180" s="242" t="str">
        <f ca="1">IF(AND(O1&lt;Q33,X33&lt;&gt;""),X33,"")</f>
        <v/>
      </c>
      <c r="Y180" s="242"/>
      <c r="Z180" s="242"/>
    </row>
    <row r="181" spans="2:28" hidden="1" x14ac:dyDescent="0.25">
      <c r="B181" s="242" t="s">
        <v>60</v>
      </c>
      <c r="C181" s="123">
        <v>1</v>
      </c>
      <c r="D181" s="123" t="s">
        <v>60</v>
      </c>
      <c r="E181" s="123"/>
      <c r="G181" s="242"/>
      <c r="H181" s="242"/>
      <c r="J181" s="242"/>
      <c r="K181" s="242"/>
      <c r="L181" s="242"/>
      <c r="M181" s="242"/>
      <c r="N181" s="242"/>
      <c r="Q181" s="242"/>
      <c r="R181" s="242"/>
      <c r="S181" s="242"/>
      <c r="T181" s="242"/>
      <c r="U181" s="242"/>
      <c r="V181" s="242"/>
      <c r="W181" s="242"/>
      <c r="X181" s="242"/>
      <c r="Y181" s="242"/>
      <c r="Z181" s="242"/>
    </row>
    <row r="182" spans="2:28" hidden="1" x14ac:dyDescent="0.25">
      <c r="B182" s="242" t="s">
        <v>61</v>
      </c>
      <c r="C182" s="123">
        <v>0</v>
      </c>
      <c r="D182" s="123" t="s">
        <v>61</v>
      </c>
      <c r="E182" s="123"/>
      <c r="G182" s="242"/>
      <c r="H182" s="242"/>
      <c r="J182" s="242"/>
      <c r="K182" s="242"/>
      <c r="L182" s="242"/>
      <c r="M182" s="242"/>
      <c r="N182" s="242"/>
      <c r="Q182" s="242"/>
      <c r="R182" s="242"/>
      <c r="S182" s="242"/>
      <c r="T182" s="242"/>
      <c r="U182" s="242"/>
      <c r="V182" s="242"/>
      <c r="W182" s="242"/>
      <c r="X182" s="242"/>
      <c r="Y182" s="242"/>
      <c r="Z182" s="242"/>
    </row>
    <row r="183" spans="2:28" hidden="1" x14ac:dyDescent="0.25">
      <c r="B183" s="242" t="str">
        <f>""</f>
        <v/>
      </c>
      <c r="C183" s="123">
        <v>-1</v>
      </c>
      <c r="D183" s="123"/>
      <c r="E183" s="123" t="str">
        <f>""</f>
        <v/>
      </c>
      <c r="G183" s="242"/>
      <c r="H183" s="242"/>
      <c r="J183" s="242"/>
      <c r="K183" s="242"/>
      <c r="L183" s="242"/>
      <c r="M183" s="242"/>
      <c r="N183" s="242"/>
      <c r="Q183" s="242"/>
      <c r="R183" s="242"/>
      <c r="S183" s="242"/>
      <c r="T183" s="242"/>
      <c r="U183" s="242"/>
      <c r="V183" s="242"/>
      <c r="W183" s="242"/>
      <c r="X183" s="242"/>
      <c r="Y183" s="242"/>
      <c r="Z183" s="242"/>
    </row>
    <row r="185" spans="2:28" x14ac:dyDescent="0.25">
      <c r="B185" s="242"/>
      <c r="C185" s="242"/>
      <c r="G185" s="242"/>
      <c r="H185" s="242"/>
      <c r="J185" s="242"/>
      <c r="K185" s="242"/>
      <c r="L185" s="242"/>
      <c r="M185" s="242"/>
      <c r="N185" s="242"/>
      <c r="Q185" s="242"/>
      <c r="R185" s="242"/>
      <c r="S185" s="242"/>
      <c r="T185" s="242"/>
      <c r="U185" s="242"/>
      <c r="V185" s="242"/>
      <c r="W185" s="242"/>
      <c r="X185" s="242"/>
      <c r="Y185" s="242"/>
      <c r="Z185" s="242"/>
      <c r="AA185" s="124"/>
      <c r="AB185" s="124"/>
    </row>
    <row r="186" spans="2:28" x14ac:dyDescent="0.25">
      <c r="B186" s="242"/>
      <c r="C186" s="242"/>
      <c r="G186" s="242"/>
      <c r="H186" s="242"/>
      <c r="J186" s="242"/>
      <c r="K186" s="242"/>
      <c r="L186" s="242"/>
      <c r="M186" s="242"/>
      <c r="N186" s="242"/>
      <c r="Q186" s="242"/>
      <c r="R186" s="242"/>
      <c r="S186" s="242"/>
      <c r="T186" s="242"/>
      <c r="U186" s="242"/>
      <c r="V186" s="242"/>
      <c r="W186" s="242"/>
      <c r="X186" s="242"/>
      <c r="Y186" s="242"/>
      <c r="Z186" s="242"/>
      <c r="AA186" s="124"/>
      <c r="AB186" s="124"/>
    </row>
  </sheetData>
  <sheetProtection password="882B" sheet="1" objects="1" scenarios="1" selectLockedCells="1" selectUnlockedCells="1"/>
  <sortState ref="D160:G183">
    <sortCondition ref="E160:E183"/>
  </sortState>
  <mergeCells count="37">
    <mergeCell ref="Y11:Y12"/>
    <mergeCell ref="C81:C102"/>
    <mergeCell ref="C103:C126"/>
    <mergeCell ref="C127:C151"/>
    <mergeCell ref="C152:C175"/>
    <mergeCell ref="C37:C41"/>
    <mergeCell ref="C42:C44"/>
    <mergeCell ref="C45:C47"/>
    <mergeCell ref="C48:C51"/>
    <mergeCell ref="C52:C55"/>
    <mergeCell ref="C56:C58"/>
    <mergeCell ref="C59:C62"/>
    <mergeCell ref="C64:C65"/>
    <mergeCell ref="C66:C80"/>
    <mergeCell ref="R28:R29"/>
    <mergeCell ref="R39:R41"/>
    <mergeCell ref="C4:C10"/>
    <mergeCell ref="C11:C18"/>
    <mergeCell ref="C19:C25"/>
    <mergeCell ref="C26:C32"/>
    <mergeCell ref="C33:C36"/>
    <mergeCell ref="Q4:Q5"/>
    <mergeCell ref="Q11:Q12"/>
    <mergeCell ref="Q39:Q41"/>
    <mergeCell ref="Q42:Q43"/>
    <mergeCell ref="Q45:Q46"/>
    <mergeCell ref="Q26:Q27"/>
    <mergeCell ref="Q15:Q16"/>
    <mergeCell ref="Q28:Q29"/>
    <mergeCell ref="Q23:Q24"/>
    <mergeCell ref="R42:R43"/>
    <mergeCell ref="R45:R46"/>
    <mergeCell ref="R4:R5"/>
    <mergeCell ref="R11:R12"/>
    <mergeCell ref="R15:R16"/>
    <mergeCell ref="R23:R24"/>
    <mergeCell ref="R26:R27"/>
  </mergeCells>
  <pageMargins left="0.7" right="0.7" top="0.75" bottom="0.75" header="0.3" footer="0.3"/>
  <pageSetup paperSize="9" orientation="portrait" r:id="rId1"/>
  <ignoredErrors>
    <ignoredError sqref="AB2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34"/>
  <sheetViews>
    <sheetView workbookViewId="0">
      <selection activeCell="Q13" sqref="Q13"/>
    </sheetView>
  </sheetViews>
  <sheetFormatPr defaultColWidth="9.140625" defaultRowHeight="15" x14ac:dyDescent="0.25"/>
  <cols>
    <col min="1" max="1" width="2.85546875" style="1" bestFit="1" customWidth="1"/>
    <col min="2" max="2" width="8.140625" style="1" bestFit="1" customWidth="1"/>
    <col min="3" max="3" width="3.7109375" style="1" bestFit="1" customWidth="1"/>
    <col min="4" max="4" width="32.7109375" style="1" customWidth="1"/>
    <col min="5" max="5" width="3" style="1" bestFit="1" customWidth="1"/>
    <col min="6" max="6" width="2.7109375" style="1" hidden="1" customWidth="1"/>
    <col min="7" max="7" width="8.42578125" style="1" hidden="1" customWidth="1"/>
    <col min="8" max="9" width="9.140625" style="1" hidden="1" customWidth="1"/>
    <col min="10" max="10" width="9.7109375" style="1" hidden="1" customWidth="1"/>
    <col min="11" max="11" width="10.85546875" style="1" hidden="1" customWidth="1"/>
    <col min="12" max="12" width="8.5703125" style="1" customWidth="1"/>
    <col min="13" max="13" width="8.42578125" style="1" bestFit="1" customWidth="1"/>
    <col min="14" max="14" width="8.42578125" style="1" customWidth="1"/>
    <col min="15" max="15" width="2.140625" style="1" customWidth="1"/>
    <col min="16" max="16" width="3.7109375" style="1" bestFit="1" customWidth="1"/>
    <col min="17" max="17" width="8.42578125" style="1" customWidth="1"/>
    <col min="18" max="18" width="3.7109375" style="1" bestFit="1" customWidth="1"/>
    <col min="19" max="19" width="42.140625" style="1" customWidth="1"/>
    <col min="20" max="20" width="3" style="1" customWidth="1"/>
    <col min="21" max="21" width="2.140625" style="1" customWidth="1"/>
    <col min="22" max="22" width="13.42578125" style="1" bestFit="1" customWidth="1"/>
    <col min="23" max="26" width="5" style="1" customWidth="1"/>
    <col min="27" max="16384" width="9.140625" style="1"/>
  </cols>
  <sheetData>
    <row r="1" spans="1:26" s="76" customFormat="1" ht="12.75" x14ac:dyDescent="0.2">
      <c r="B1" s="78" t="s">
        <v>462</v>
      </c>
      <c r="C1" s="75"/>
      <c r="D1" s="75"/>
    </row>
    <row r="2" spans="1:26" s="76" customFormat="1" ht="12.75" x14ac:dyDescent="0.2">
      <c r="A2" s="75"/>
      <c r="B2" s="75">
        <v>1</v>
      </c>
      <c r="C2" s="385" t="s">
        <v>463</v>
      </c>
      <c r="D2" s="385"/>
      <c r="E2" s="385"/>
      <c r="F2" s="385"/>
      <c r="G2" s="385"/>
      <c r="H2" s="385"/>
      <c r="I2" s="385"/>
      <c r="J2" s="385"/>
      <c r="K2" s="385"/>
      <c r="L2" s="385"/>
      <c r="M2" s="385"/>
      <c r="N2" s="385"/>
      <c r="O2" s="385"/>
      <c r="P2" s="385"/>
      <c r="Q2" s="385"/>
      <c r="R2" s="385"/>
      <c r="S2" s="385"/>
      <c r="T2" s="385"/>
    </row>
    <row r="3" spans="1:26" s="76" customFormat="1" ht="12.75" x14ac:dyDescent="0.2">
      <c r="A3" s="75"/>
      <c r="B3" s="75">
        <v>2</v>
      </c>
      <c r="C3" s="385" t="s">
        <v>464</v>
      </c>
      <c r="D3" s="385"/>
      <c r="E3" s="385"/>
      <c r="F3" s="385"/>
      <c r="G3" s="385"/>
      <c r="H3" s="385"/>
      <c r="I3" s="385"/>
      <c r="J3" s="385"/>
      <c r="K3" s="385"/>
      <c r="L3" s="385"/>
      <c r="M3" s="385"/>
      <c r="N3" s="385"/>
      <c r="O3" s="385"/>
      <c r="P3" s="385"/>
      <c r="Q3" s="385"/>
      <c r="R3" s="385"/>
      <c r="S3" s="385"/>
      <c r="T3" s="385"/>
    </row>
    <row r="4" spans="1:26" s="76" customFormat="1" ht="12.75" x14ac:dyDescent="0.2">
      <c r="A4" s="75"/>
      <c r="B4" s="75"/>
      <c r="C4" s="77" t="s">
        <v>465</v>
      </c>
      <c r="D4" s="385" t="s">
        <v>466</v>
      </c>
      <c r="E4" s="385"/>
      <c r="F4" s="385"/>
      <c r="G4" s="385"/>
      <c r="H4" s="385"/>
      <c r="I4" s="385"/>
      <c r="J4" s="385"/>
      <c r="K4" s="385"/>
      <c r="L4" s="385"/>
      <c r="M4" s="385"/>
      <c r="N4" s="385"/>
      <c r="O4" s="385"/>
      <c r="P4" s="385"/>
      <c r="Q4" s="385"/>
      <c r="R4" s="385"/>
      <c r="S4" s="385"/>
      <c r="T4" s="385"/>
    </row>
    <row r="5" spans="1:26" s="76" customFormat="1" ht="12.75" x14ac:dyDescent="0.2">
      <c r="A5" s="75"/>
      <c r="B5" s="75"/>
      <c r="C5" s="77" t="s">
        <v>467</v>
      </c>
      <c r="D5" s="385" t="s">
        <v>468</v>
      </c>
      <c r="E5" s="385"/>
      <c r="F5" s="385"/>
      <c r="G5" s="385"/>
      <c r="H5" s="385"/>
      <c r="I5" s="385"/>
      <c r="J5" s="385"/>
      <c r="K5" s="385"/>
      <c r="L5" s="385"/>
      <c r="M5" s="385"/>
      <c r="N5" s="385"/>
      <c r="O5" s="385"/>
      <c r="P5" s="385"/>
      <c r="Q5" s="385"/>
      <c r="R5" s="385"/>
      <c r="S5" s="385"/>
      <c r="T5" s="385"/>
    </row>
    <row r="6" spans="1:26" s="76" customFormat="1" ht="12.75" x14ac:dyDescent="0.2">
      <c r="A6" s="75"/>
      <c r="B6" s="75">
        <v>3</v>
      </c>
      <c r="C6" s="385" t="s">
        <v>603</v>
      </c>
      <c r="D6" s="385"/>
      <c r="E6" s="385"/>
      <c r="F6" s="385"/>
      <c r="G6" s="385"/>
      <c r="H6" s="385"/>
      <c r="I6" s="385"/>
      <c r="J6" s="385"/>
      <c r="K6" s="385"/>
      <c r="L6" s="385"/>
      <c r="M6" s="385"/>
      <c r="N6" s="385"/>
      <c r="O6" s="385"/>
      <c r="P6" s="385"/>
      <c r="Q6" s="385"/>
      <c r="R6" s="385"/>
      <c r="S6" s="385"/>
      <c r="T6" s="385"/>
    </row>
    <row r="7" spans="1:26" s="76" customFormat="1" ht="12.75" x14ac:dyDescent="0.2">
      <c r="A7" s="75"/>
      <c r="B7" s="75"/>
      <c r="C7" s="77" t="s">
        <v>465</v>
      </c>
      <c r="D7" s="385" t="s">
        <v>469</v>
      </c>
      <c r="E7" s="385"/>
      <c r="F7" s="385"/>
      <c r="G7" s="385"/>
      <c r="H7" s="385"/>
      <c r="I7" s="385"/>
      <c r="J7" s="385"/>
      <c r="K7" s="385"/>
      <c r="L7" s="385"/>
      <c r="M7" s="385"/>
      <c r="N7" s="385"/>
      <c r="O7" s="385"/>
      <c r="P7" s="385"/>
      <c r="Q7" s="385"/>
      <c r="R7" s="385"/>
      <c r="S7" s="385"/>
      <c r="T7" s="385"/>
    </row>
    <row r="8" spans="1:26" s="76" customFormat="1" ht="12.75" x14ac:dyDescent="0.2">
      <c r="A8" s="75"/>
      <c r="B8" s="77"/>
      <c r="C8" s="77" t="s">
        <v>467</v>
      </c>
      <c r="D8" s="385" t="s">
        <v>470</v>
      </c>
      <c r="E8" s="385"/>
      <c r="F8" s="385"/>
      <c r="G8" s="385"/>
      <c r="H8" s="385"/>
      <c r="I8" s="385"/>
      <c r="J8" s="385"/>
      <c r="K8" s="385"/>
      <c r="L8" s="385"/>
      <c r="M8" s="385"/>
      <c r="N8" s="385"/>
      <c r="O8" s="385"/>
      <c r="P8" s="385"/>
      <c r="Q8" s="385"/>
      <c r="R8" s="385"/>
      <c r="S8" s="385"/>
      <c r="T8" s="385"/>
    </row>
    <row r="9" spans="1:26" s="76" customFormat="1" ht="12.75" x14ac:dyDescent="0.2">
      <c r="A9" s="75"/>
      <c r="B9" s="75">
        <v>4</v>
      </c>
      <c r="C9" s="385" t="s">
        <v>471</v>
      </c>
      <c r="D9" s="385"/>
      <c r="E9" s="385"/>
      <c r="F9" s="385"/>
      <c r="G9" s="385"/>
      <c r="H9" s="385"/>
      <c r="I9" s="385"/>
      <c r="J9" s="385"/>
      <c r="K9" s="385"/>
      <c r="L9" s="385"/>
      <c r="M9" s="385"/>
      <c r="N9" s="385"/>
      <c r="O9" s="385"/>
      <c r="P9" s="385"/>
      <c r="Q9" s="385"/>
      <c r="R9" s="385"/>
      <c r="S9" s="385"/>
      <c r="T9" s="385"/>
    </row>
    <row r="10" spans="1:26" ht="15.75" thickBot="1" x14ac:dyDescent="0.3"/>
    <row r="11" spans="1:26" ht="15.75" thickTop="1" x14ac:dyDescent="0.25">
      <c r="A11" s="374" t="s">
        <v>472</v>
      </c>
      <c r="B11" s="375"/>
      <c r="C11" s="375"/>
      <c r="D11" s="375"/>
      <c r="E11" s="375"/>
      <c r="F11" s="375"/>
      <c r="G11" s="375"/>
      <c r="H11" s="375"/>
      <c r="I11" s="375"/>
      <c r="J11" s="375"/>
      <c r="K11" s="375"/>
      <c r="L11" s="375"/>
      <c r="M11" s="375"/>
      <c r="N11" s="376"/>
      <c r="P11" s="360" t="s">
        <v>473</v>
      </c>
      <c r="Q11" s="360"/>
      <c r="R11" s="360"/>
      <c r="S11" s="360"/>
      <c r="T11" s="360"/>
    </row>
    <row r="12" spans="1:26" s="48" customFormat="1" ht="35.25" customHeight="1" thickBot="1" x14ac:dyDescent="0.3">
      <c r="A12" s="267" t="s">
        <v>243</v>
      </c>
      <c r="B12" s="274" t="s">
        <v>37</v>
      </c>
      <c r="C12" s="266" t="s">
        <v>38</v>
      </c>
      <c r="D12" s="19" t="s">
        <v>39</v>
      </c>
      <c r="E12" s="266" t="s">
        <v>40</v>
      </c>
      <c r="F12" s="262"/>
      <c r="G12" s="262"/>
      <c r="H12" s="262"/>
      <c r="I12" s="262"/>
      <c r="J12" s="262" t="s">
        <v>474</v>
      </c>
      <c r="K12" s="262" t="s">
        <v>475</v>
      </c>
      <c r="L12" s="276" t="s">
        <v>602</v>
      </c>
      <c r="M12" s="263" t="s">
        <v>476</v>
      </c>
      <c r="N12" s="264" t="s">
        <v>477</v>
      </c>
      <c r="O12" s="265"/>
      <c r="P12" s="268" t="s">
        <v>243</v>
      </c>
      <c r="Q12" s="275" t="s">
        <v>37</v>
      </c>
      <c r="R12" s="269" t="s">
        <v>38</v>
      </c>
      <c r="S12" s="15" t="s">
        <v>39</v>
      </c>
      <c r="T12" s="270" t="s">
        <v>40</v>
      </c>
    </row>
    <row r="13" spans="1:26" x14ac:dyDescent="0.25">
      <c r="A13" s="377">
        <v>1</v>
      </c>
      <c r="B13" s="49" t="s">
        <v>252</v>
      </c>
      <c r="C13" s="49">
        <f>VLOOKUP(B13,'Nilai Kurikulum 2013'!$E$4:$O$176,2,FALSE)</f>
        <v>6</v>
      </c>
      <c r="D13" s="50" t="str">
        <f>VLOOKUP(B13,'Nilai Kurikulum 2013'!$E$4:$O$176,5,FALSE)</f>
        <v>Pemrograman Berorientasi Objek</v>
      </c>
      <c r="E13" s="247" t="str">
        <f>VLOOKUP(B13,'Nilai Kurikulum 2013'!$E$4:$O$176,11,FALSE)</f>
        <v/>
      </c>
      <c r="F13" s="50">
        <f>VLOOKUP(E13,'Nilai Kurikulum 2013'!$B$178:$D$183,2,FALSE)</f>
        <v>-1</v>
      </c>
      <c r="G13" s="50" t="str">
        <f>IF(F13&lt;=0,"",B13)</f>
        <v/>
      </c>
      <c r="H13" s="356">
        <f>MAX(F13:F14)</f>
        <v>3</v>
      </c>
      <c r="I13" s="356">
        <f>MIN(F13:F14)</f>
        <v>-1</v>
      </c>
      <c r="J13" s="356" t="str">
        <f ca="1">IF(K13=G13,G14,G13)</f>
        <v/>
      </c>
      <c r="K13" s="356" t="str">
        <f ca="1">INDIRECT(ADDRESS(MATCH(H13,F13:F14,0)+(ROW()-1),2))</f>
        <v>AIF191</v>
      </c>
      <c r="L13" s="369"/>
      <c r="M13" s="358" t="str">
        <f ca="1">IF(L13="",K13,L13)</f>
        <v>AIF191</v>
      </c>
      <c r="N13" s="349" t="str">
        <f ca="1">IF(M13=K13,J13,K13)</f>
        <v/>
      </c>
      <c r="O13" s="51"/>
      <c r="P13" s="254">
        <v>1</v>
      </c>
      <c r="Q13" s="56" t="s">
        <v>326</v>
      </c>
      <c r="R13" s="251">
        <f>IF(Q13&lt;&gt;"",VLOOKUP(Q13,'Nilai Kurikulum 2013'!$E$48:$O$183,2,FALSE),"")</f>
        <v>2</v>
      </c>
      <c r="S13" s="52" t="str">
        <f>IF(Q13&lt;&gt;"",VLOOKUP(Q13,'Nilai Kurikulum 2013'!$E$48:$O$183,5,FALSE),"")</f>
        <v>Pemrograman Fungsional</v>
      </c>
      <c r="T13" s="53" t="str">
        <f>IF(Q13&lt;&gt;"",VLOOKUP(Q13,'Nilai Kurikulum 2013'!$E$48:$O$183,10,FALSE),"")</f>
        <v>D</v>
      </c>
    </row>
    <row r="14" spans="1:26" ht="15.75" thickBot="1" x14ac:dyDescent="0.3">
      <c r="A14" s="378"/>
      <c r="B14" s="54" t="s">
        <v>256</v>
      </c>
      <c r="C14" s="54">
        <f>VLOOKUP(B14,'Nilai Kurikulum 2013'!$E$4:$O$176,2,FALSE)</f>
        <v>3</v>
      </c>
      <c r="D14" s="55" t="str">
        <f>VLOOKUP(B14,'Nilai Kurikulum 2013'!$E$4:$O$176,5,FALSE)</f>
        <v>Pemrograman Berorientasi Objek</v>
      </c>
      <c r="E14" s="248" t="str">
        <f>VLOOKUP(B14,'Nilai Kurikulum 2013'!$E$4:$O$176,11,FALSE)</f>
        <v>B</v>
      </c>
      <c r="F14" s="55">
        <f>VLOOKUP(E14,'Nilai Kurikulum 2013'!$B$178:$D$183,2,FALSE)</f>
        <v>3</v>
      </c>
      <c r="G14" s="55" t="str">
        <f t="shared" ref="G14:G32" si="0">IF(F14&lt;=0,"",B14)</f>
        <v>AIF191</v>
      </c>
      <c r="H14" s="357"/>
      <c r="I14" s="357"/>
      <c r="J14" s="357"/>
      <c r="K14" s="357"/>
      <c r="L14" s="370"/>
      <c r="M14" s="359"/>
      <c r="N14" s="350"/>
      <c r="O14" s="51"/>
      <c r="P14" s="254">
        <v>2</v>
      </c>
      <c r="Q14" s="56"/>
      <c r="R14" s="251" t="str">
        <f>IF(Q14&lt;&gt;"",VLOOKUP(Q14,'Nilai Kurikulum 2013'!$E$48:$O$183,2,FALSE),"")</f>
        <v/>
      </c>
      <c r="S14" s="52" t="str">
        <f>IF(Q14&lt;&gt;"",VLOOKUP(Q14,'Nilai Kurikulum 2013'!$E$48:$O$183,5,FALSE),"")</f>
        <v/>
      </c>
      <c r="T14" s="53" t="str">
        <f>IF(Q14&lt;&gt;"",VLOOKUP(Q14,'Nilai Kurikulum 2013'!$E$48:$O$183,10,FALSE),"")</f>
        <v/>
      </c>
      <c r="V14" s="360" t="s">
        <v>478</v>
      </c>
      <c r="W14" s="360"/>
      <c r="X14" s="360"/>
      <c r="Y14" s="360"/>
      <c r="Z14" s="360"/>
    </row>
    <row r="15" spans="1:26" ht="15.75" x14ac:dyDescent="0.25">
      <c r="A15" s="377">
        <v>2</v>
      </c>
      <c r="B15" s="49" t="s">
        <v>264</v>
      </c>
      <c r="C15" s="49">
        <f>VLOOKUP(B15,'Nilai Kurikulum 2013'!$E$4:$O$176,2,FALSE)</f>
        <v>4</v>
      </c>
      <c r="D15" s="50" t="str">
        <f>VLOOKUP(B15,'Nilai Kurikulum 2013'!$E$4:$O$176,5,FALSE)</f>
        <v>Algoritma dan Struktur Data</v>
      </c>
      <c r="E15" s="247" t="str">
        <f>VLOOKUP(B15,'Nilai Kurikulum 2013'!$E$4:$O$176,11,FALSE)</f>
        <v>A</v>
      </c>
      <c r="F15" s="50">
        <f>VLOOKUP(E15,'Nilai Kurikulum 2013'!$B$178:$D$183,2,FALSE)</f>
        <v>4</v>
      </c>
      <c r="G15" s="50" t="str">
        <f t="shared" si="0"/>
        <v>AIF102</v>
      </c>
      <c r="H15" s="356">
        <f>MAX(F15:F16)</f>
        <v>4</v>
      </c>
      <c r="I15" s="356">
        <f>MIN(F15:F16)</f>
        <v>-1</v>
      </c>
      <c r="J15" s="356" t="str">
        <f ca="1">IF(K15=G15,G16,G15)</f>
        <v/>
      </c>
      <c r="K15" s="356" t="str">
        <f ca="1">INDIRECT(ADDRESS(MATCH(H15,F15:F16,0)+(ROW()-1),2))</f>
        <v>AIF102</v>
      </c>
      <c r="L15" s="369"/>
      <c r="M15" s="358" t="str">
        <f ca="1">IF(L15="",K15,L15)</f>
        <v>AIF102</v>
      </c>
      <c r="N15" s="349" t="str">
        <f ca="1">IF(M15=K15,J15,K15)</f>
        <v/>
      </c>
      <c r="O15" s="51"/>
      <c r="P15" s="254">
        <v>3</v>
      </c>
      <c r="Q15" s="56"/>
      <c r="R15" s="251" t="str">
        <f>IF(Q15&lt;&gt;"",VLOOKUP(Q15,'Nilai Kurikulum 2013'!$E$48:$O$183,2,FALSE),"")</f>
        <v/>
      </c>
      <c r="S15" s="52" t="str">
        <f>IF(Q15&lt;&gt;"",VLOOKUP(Q15,'Nilai Kurikulum 2013'!$E$48:$O$183,5,FALSE),"")</f>
        <v/>
      </c>
      <c r="T15" s="53" t="str">
        <f>IF(Q15&lt;&gt;"",VLOOKUP(Q15,'Nilai Kurikulum 2013'!$E$48:$O$183,10,FALSE),"")</f>
        <v/>
      </c>
      <c r="V15" s="293" t="s">
        <v>480</v>
      </c>
      <c r="W15" s="293"/>
      <c r="X15" s="293"/>
      <c r="Y15" s="293"/>
      <c r="Z15" s="57">
        <f>'Nilai Kurikulum 2013'!AA21</f>
        <v>33</v>
      </c>
    </row>
    <row r="16" spans="1:26" ht="16.5" thickBot="1" x14ac:dyDescent="0.3">
      <c r="A16" s="378"/>
      <c r="B16" s="54" t="s">
        <v>267</v>
      </c>
      <c r="C16" s="54">
        <f>VLOOKUP(B16,'Nilai Kurikulum 2013'!$E$4:$O$176,2,FALSE)</f>
        <v>3</v>
      </c>
      <c r="D16" s="55" t="str">
        <f>VLOOKUP(B16,'Nilai Kurikulum 2013'!$E$4:$O$176,5,FALSE)</f>
        <v>Algoritma dan Struktur Data</v>
      </c>
      <c r="E16" s="248" t="str">
        <f>VLOOKUP(B16,'Nilai Kurikulum 2013'!$E$4:$O$176,11,FALSE)</f>
        <v/>
      </c>
      <c r="F16" s="55">
        <f>VLOOKUP(E16,'Nilai Kurikulum 2013'!$B$178:$D$183,2,FALSE)</f>
        <v>-1</v>
      </c>
      <c r="G16" s="55" t="str">
        <f t="shared" si="0"/>
        <v/>
      </c>
      <c r="H16" s="357"/>
      <c r="I16" s="357"/>
      <c r="J16" s="357"/>
      <c r="K16" s="357"/>
      <c r="L16" s="370"/>
      <c r="M16" s="359"/>
      <c r="N16" s="350"/>
      <c r="O16" s="51"/>
      <c r="P16" s="254">
        <v>4</v>
      </c>
      <c r="Q16" s="56"/>
      <c r="R16" s="251" t="str">
        <f>IF(Q16&lt;&gt;"",VLOOKUP(Q16,'Nilai Kurikulum 2013'!$E$48:$O$183,2,FALSE),"")</f>
        <v/>
      </c>
      <c r="S16" s="52" t="str">
        <f>IF(Q16&lt;&gt;"",VLOOKUP(Q16,'Nilai Kurikulum 2013'!$E$48:$O$183,5,FALSE),"")</f>
        <v/>
      </c>
      <c r="T16" s="53" t="str">
        <f>IF(Q16&lt;&gt;"",VLOOKUP(Q16,'Nilai Kurikulum 2013'!$E$48:$O$183,10,FALSE),"")</f>
        <v/>
      </c>
      <c r="V16" s="293" t="s">
        <v>481</v>
      </c>
      <c r="W16" s="293"/>
      <c r="X16" s="293"/>
      <c r="Y16" s="293"/>
      <c r="Z16" s="57">
        <f>'Nilai Kurikulum 2013'!AA22</f>
        <v>10</v>
      </c>
    </row>
    <row r="17" spans="1:26" x14ac:dyDescent="0.25">
      <c r="A17" s="377">
        <v>3</v>
      </c>
      <c r="B17" s="49" t="s">
        <v>271</v>
      </c>
      <c r="C17" s="49">
        <f>VLOOKUP(B17,'Nilai Kurikulum 2013'!$E$4:$O$176,2,FALSE)</f>
        <v>4</v>
      </c>
      <c r="D17" s="50" t="str">
        <f>VLOOKUP(B17,'Nilai Kurikulum 2013'!$E$4:$O$176,5,FALSE)</f>
        <v>Matematika Informatika</v>
      </c>
      <c r="E17" s="247" t="str">
        <f>VLOOKUP(B17,'Nilai Kurikulum 2013'!$E$4:$O$176,11,FALSE)</f>
        <v>A</v>
      </c>
      <c r="F17" s="50">
        <f>VLOOKUP(E17,'Nilai Kurikulum 2013'!$B$178:$D$183,2,FALSE)</f>
        <v>4</v>
      </c>
      <c r="G17" s="50" t="str">
        <f t="shared" si="0"/>
        <v>AMS100</v>
      </c>
      <c r="H17" s="356">
        <f>MAX(F17:F18)</f>
        <v>4</v>
      </c>
      <c r="I17" s="356">
        <f>MIN(F17:F18)</f>
        <v>-1</v>
      </c>
      <c r="J17" s="356" t="str">
        <f ca="1">IF(K17=G17,G18,G17)</f>
        <v/>
      </c>
      <c r="K17" s="356" t="str">
        <f ca="1">INDIRECT(ADDRESS(MATCH(H17,F17:F18,0)+(ROW()-1),2))</f>
        <v>AMS100</v>
      </c>
      <c r="L17" s="369"/>
      <c r="M17" s="358" t="str">
        <f ca="1">IF(L17="",K17,L17)</f>
        <v>AMS100</v>
      </c>
      <c r="N17" s="349" t="str">
        <f ca="1">IF(M17=K17,J17,K17)</f>
        <v/>
      </c>
      <c r="O17" s="51"/>
      <c r="P17" s="254">
        <v>5</v>
      </c>
      <c r="Q17" s="56"/>
      <c r="R17" s="251" t="str">
        <f>IF(Q17&lt;&gt;"",VLOOKUP(Q17,'Nilai Kurikulum 2013'!$E$48:$O$183,2,FALSE),"")</f>
        <v/>
      </c>
      <c r="S17" s="52" t="str">
        <f>IF(Q17&lt;&gt;"",VLOOKUP(Q17,'Nilai Kurikulum 2013'!$E$48:$O$183,5,FALSE),"")</f>
        <v/>
      </c>
      <c r="T17" s="53" t="str">
        <f>IF(Q17&lt;&gt;"",VLOOKUP(Q17,'Nilai Kurikulum 2013'!$E$48:$O$183,10,FALSE),"")</f>
        <v/>
      </c>
      <c r="V17" s="52" t="s">
        <v>40</v>
      </c>
      <c r="W17" s="251" t="s">
        <v>57</v>
      </c>
      <c r="X17" s="251" t="s">
        <v>58</v>
      </c>
      <c r="Y17" s="251" t="s">
        <v>59</v>
      </c>
      <c r="Z17" s="251" t="s">
        <v>60</v>
      </c>
    </row>
    <row r="18" spans="1:26" ht="16.5" thickBot="1" x14ac:dyDescent="0.3">
      <c r="A18" s="378"/>
      <c r="B18" s="54" t="s">
        <v>273</v>
      </c>
      <c r="C18" s="54">
        <f>VLOOKUP(B18,'Nilai Kurikulum 2013'!$E$4:$O$176,2,FALSE)</f>
        <v>3</v>
      </c>
      <c r="D18" s="55" t="str">
        <f>VLOOKUP(B18,'Nilai Kurikulum 2013'!$E$4:$O$176,5,FALSE)</f>
        <v>Matematika Informatika</v>
      </c>
      <c r="E18" s="248" t="str">
        <f>VLOOKUP(B18,'Nilai Kurikulum 2013'!$E$4:$O$176,11,FALSE)</f>
        <v/>
      </c>
      <c r="F18" s="55">
        <f>VLOOKUP(E18,'Nilai Kurikulum 2013'!$B$178:$D$183,2,FALSE)</f>
        <v>-1</v>
      </c>
      <c r="G18" s="55" t="str">
        <f t="shared" si="0"/>
        <v/>
      </c>
      <c r="H18" s="357"/>
      <c r="I18" s="357"/>
      <c r="J18" s="357"/>
      <c r="K18" s="357"/>
      <c r="L18" s="370"/>
      <c r="M18" s="359"/>
      <c r="N18" s="350"/>
      <c r="O18" s="51"/>
      <c r="P18" s="254">
        <v>6</v>
      </c>
      <c r="Q18" s="56"/>
      <c r="R18" s="251" t="str">
        <f>IF(Q18&lt;&gt;"",VLOOKUP(Q18,'Nilai Kurikulum 2013'!$E$48:$O$183,2,FALSE),"")</f>
        <v/>
      </c>
      <c r="S18" s="52" t="str">
        <f>IF(Q18&lt;&gt;"",VLOOKUP(Q18,'Nilai Kurikulum 2013'!$E$48:$O$183,5,FALSE),"")</f>
        <v/>
      </c>
      <c r="T18" s="53" t="str">
        <f>IF(Q18&lt;&gt;"",VLOOKUP(Q18,'Nilai Kurikulum 2013'!$E$48:$O$183,10,FALSE),"")</f>
        <v/>
      </c>
      <c r="V18" s="52" t="s">
        <v>482</v>
      </c>
      <c r="W18" s="58">
        <f>'Nilai Kurikulum 2013'!AA36</f>
        <v>19</v>
      </c>
      <c r="X18" s="58">
        <f>'Nilai Kurikulum 2013'!AB36</f>
        <v>20</v>
      </c>
      <c r="Y18" s="58">
        <f>'Nilai Kurikulum 2013'!AC36</f>
        <v>7</v>
      </c>
      <c r="Z18" s="58">
        <f>'Nilai Kurikulum 2013'!AD36</f>
        <v>3</v>
      </c>
    </row>
    <row r="19" spans="1:26" ht="15.75" x14ac:dyDescent="0.25">
      <c r="A19" s="381">
        <v>4</v>
      </c>
      <c r="B19" s="60" t="s">
        <v>285</v>
      </c>
      <c r="C19" s="60">
        <f>VLOOKUP(B19,'Nilai Kurikulum 2013'!$E$4:$O$176,2,FALSE)</f>
        <v>2</v>
      </c>
      <c r="D19" s="61" t="str">
        <f>VLOOKUP(B19,'Nilai Kurikulum 2013'!$E$4:$O$176,5,FALSE)</f>
        <v>Agama Katolik</v>
      </c>
      <c r="E19" s="62" t="str">
        <f>VLOOKUP(B19,'Nilai Kurikulum 2013'!$E$4:$O$176,11,FALSE)</f>
        <v/>
      </c>
      <c r="F19" s="61">
        <f>VLOOKUP(E19,'Nilai Kurikulum 2013'!$B$178:$D$183,2,FALSE)</f>
        <v>-1</v>
      </c>
      <c r="G19" s="61" t="str">
        <f t="shared" ref="G19:G20" si="1">IF(F19&lt;=0,"",B19)</f>
        <v/>
      </c>
      <c r="H19" s="383">
        <f>MAX(F19:F20)</f>
        <v>4</v>
      </c>
      <c r="I19" s="383">
        <f>MIN(F19:F20)</f>
        <v>-1</v>
      </c>
      <c r="J19" s="383" t="str">
        <f ca="1">IF(K19=G19,G20,G19)</f>
        <v/>
      </c>
      <c r="K19" s="383" t="str">
        <f ca="1">INDIRECT(ADDRESS(MATCH(H19,F19:F20,0)+(ROW()-1),2))</f>
        <v>MKU004</v>
      </c>
      <c r="L19" s="361"/>
      <c r="M19" s="363" t="str">
        <f ca="1">IF(L19="",K19,L19)</f>
        <v>MKU004</v>
      </c>
      <c r="N19" s="365" t="str">
        <f ca="1">IF(M19=K19,J19,K19)</f>
        <v/>
      </c>
      <c r="O19" s="51"/>
      <c r="P19" s="254">
        <v>7</v>
      </c>
      <c r="Q19" s="56"/>
      <c r="R19" s="251" t="str">
        <f>IF(Q19&lt;&gt;"",VLOOKUP(Q19,'Nilai Kurikulum 2013'!$E$48:$O$183,2,FALSE),"")</f>
        <v/>
      </c>
      <c r="S19" s="52" t="str">
        <f>IF(Q19&lt;&gt;"",VLOOKUP(Q19,'Nilai Kurikulum 2013'!$E$48:$O$183,5,FALSE),"")</f>
        <v/>
      </c>
      <c r="T19" s="53" t="str">
        <f>IF(Q19&lt;&gt;"",VLOOKUP(Q19,'Nilai Kurikulum 2013'!$E$48:$O$183,10,FALSE),"")</f>
        <v/>
      </c>
      <c r="V19" s="52" t="s">
        <v>268</v>
      </c>
      <c r="W19" s="57">
        <f>'Nilai Kurikulum 2013'!AA37</f>
        <v>61</v>
      </c>
      <c r="X19" s="57">
        <f>'Nilai Kurikulum 2013'!AB37</f>
        <v>56</v>
      </c>
      <c r="Y19" s="57">
        <f>'Nilai Kurikulum 2013'!AC37</f>
        <v>20</v>
      </c>
      <c r="Z19" s="57">
        <f>'Nilai Kurikulum 2013'!AD37</f>
        <v>9</v>
      </c>
    </row>
    <row r="20" spans="1:26" ht="16.5" thickBot="1" x14ac:dyDescent="0.3">
      <c r="A20" s="382"/>
      <c r="B20" s="60" t="s">
        <v>287</v>
      </c>
      <c r="C20" s="60">
        <f>VLOOKUP(B20,'Nilai Kurikulum 2013'!$E$4:$O$176,2,FALSE)</f>
        <v>2</v>
      </c>
      <c r="D20" s="61" t="str">
        <f>VLOOKUP(B20,'Nilai Kurikulum 2013'!$E$4:$O$176,5,FALSE)</f>
        <v>Fenomenologi Agama</v>
      </c>
      <c r="E20" s="62" t="str">
        <f>VLOOKUP(B20,'Nilai Kurikulum 2013'!$E$4:$O$176,11,FALSE)</f>
        <v>A</v>
      </c>
      <c r="F20" s="61">
        <f>VLOOKUP(E20,'Nilai Kurikulum 2013'!$B$178:$D$183,2,FALSE)</f>
        <v>4</v>
      </c>
      <c r="G20" s="61" t="str">
        <f t="shared" si="1"/>
        <v>MKU004</v>
      </c>
      <c r="H20" s="384"/>
      <c r="I20" s="384"/>
      <c r="J20" s="384"/>
      <c r="K20" s="384"/>
      <c r="L20" s="362"/>
      <c r="M20" s="364"/>
      <c r="N20" s="366"/>
      <c r="O20" s="51"/>
      <c r="P20" s="254">
        <v>8</v>
      </c>
      <c r="Q20" s="56"/>
      <c r="R20" s="251" t="str">
        <f>IF(Q20&lt;&gt;"",VLOOKUP(Q20,'Nilai Kurikulum 2013'!$E$48:$O$183,2,FALSE),"")</f>
        <v/>
      </c>
      <c r="S20" s="52" t="str">
        <f>IF(Q20&lt;&gt;"",VLOOKUP(Q20,'Nilai Kurikulum 2013'!$E$48:$O$183,5,FALSE),"")</f>
        <v/>
      </c>
      <c r="T20" s="53" t="str">
        <f>IF(Q20&lt;&gt;"",VLOOKUP(Q20,'Nilai Kurikulum 2013'!$E$48:$O$183,10,FALSE),"")</f>
        <v/>
      </c>
      <c r="V20" s="271" t="s">
        <v>483</v>
      </c>
      <c r="W20" s="354">
        <f>SUM(W19:Z19)</f>
        <v>146</v>
      </c>
      <c r="X20" s="354"/>
      <c r="Y20" s="367">
        <f>ROUND(((W19*4)+(X19*3)+(Y19*2)+Z19)/W20,2)</f>
        <v>3.16</v>
      </c>
      <c r="Z20" s="368"/>
    </row>
    <row r="21" spans="1:26" x14ac:dyDescent="0.25">
      <c r="A21" s="377">
        <v>5</v>
      </c>
      <c r="B21" s="49" t="s">
        <v>290</v>
      </c>
      <c r="C21" s="49">
        <f>VLOOKUP(B21,'Nilai Kurikulum 2013'!$E$4:$O$176,2,FALSE)</f>
        <v>4</v>
      </c>
      <c r="D21" s="50" t="str">
        <f>VLOOKUP(B21,'Nilai Kurikulum 2013'!$E$4:$O$176,5,FALSE)</f>
        <v>Desain dan Analisis Algoritma</v>
      </c>
      <c r="E21" s="247" t="str">
        <f>VLOOKUP(B21,'Nilai Kurikulum 2013'!$E$4:$O$176,11,FALSE)</f>
        <v>B</v>
      </c>
      <c r="F21" s="50">
        <f>VLOOKUP(E21,'Nilai Kurikulum 2013'!$B$178:$D$183,2,FALSE)</f>
        <v>3</v>
      </c>
      <c r="G21" s="50" t="str">
        <f t="shared" si="0"/>
        <v>AIF202</v>
      </c>
      <c r="H21" s="356">
        <f>MAX(F21:F22)</f>
        <v>3</v>
      </c>
      <c r="I21" s="356">
        <f>MIN(F21:F22)</f>
        <v>-1</v>
      </c>
      <c r="J21" s="356" t="str">
        <f ca="1">IF(K21=G21,G22,G21)</f>
        <v/>
      </c>
      <c r="K21" s="356" t="str">
        <f ca="1">INDIRECT(ADDRESS(MATCH(H21,F21:F22,0)+(ROW()-1),2))</f>
        <v>AIF202</v>
      </c>
      <c r="L21" s="369"/>
      <c r="M21" s="358" t="str">
        <f ca="1">IF(L21="",K21,L21)</f>
        <v>AIF202</v>
      </c>
      <c r="N21" s="349" t="str">
        <f ca="1">IF(M21=K21,J21,K21)</f>
        <v/>
      </c>
      <c r="O21" s="51"/>
      <c r="P21" s="254">
        <v>9</v>
      </c>
      <c r="Q21" s="56"/>
      <c r="R21" s="251" t="str">
        <f>IF(Q21&lt;&gt;"",VLOOKUP(Q21,'Nilai Kurikulum 2013'!$E$48:$O$183,2,FALSE),"")</f>
        <v/>
      </c>
      <c r="S21" s="52" t="str">
        <f>IF(Q21&lt;&gt;"",VLOOKUP(Q21,'Nilai Kurikulum 2013'!$E$48:$O$183,5,FALSE),"")</f>
        <v/>
      </c>
      <c r="T21" s="53" t="str">
        <f>IF(Q21&lt;&gt;"",VLOOKUP(Q21,'Nilai Kurikulum 2013'!$E$48:$O$183,10,FALSE),"")</f>
        <v/>
      </c>
    </row>
    <row r="22" spans="1:26" ht="15.75" thickBot="1" x14ac:dyDescent="0.3">
      <c r="A22" s="378"/>
      <c r="B22" s="54" t="s">
        <v>292</v>
      </c>
      <c r="C22" s="54">
        <f>VLOOKUP(B22,'Nilai Kurikulum 2013'!$E$4:$O$176,2,FALSE)</f>
        <v>3</v>
      </c>
      <c r="D22" s="55" t="str">
        <f>VLOOKUP(B22,'Nilai Kurikulum 2013'!$E$4:$O$176,5,FALSE)</f>
        <v>Desain dan Analisis Algoritma</v>
      </c>
      <c r="E22" s="248" t="str">
        <f>VLOOKUP(B22,'Nilai Kurikulum 2013'!$E$4:$O$176,11,FALSE)</f>
        <v/>
      </c>
      <c r="F22" s="55">
        <f>VLOOKUP(E22,'Nilai Kurikulum 2013'!$B$178:$D$183,2,FALSE)</f>
        <v>-1</v>
      </c>
      <c r="G22" s="55" t="str">
        <f t="shared" si="0"/>
        <v/>
      </c>
      <c r="H22" s="357"/>
      <c r="I22" s="357"/>
      <c r="J22" s="357"/>
      <c r="K22" s="357"/>
      <c r="L22" s="370"/>
      <c r="M22" s="359"/>
      <c r="N22" s="350"/>
      <c r="O22" s="51"/>
      <c r="P22" s="254">
        <v>10</v>
      </c>
      <c r="Q22" s="56"/>
      <c r="R22" s="251" t="str">
        <f>IF(Q22&lt;&gt;"",VLOOKUP(Q22,'Nilai Kurikulum 2013'!$E$48:$O$183,2,FALSE),"")</f>
        <v/>
      </c>
      <c r="S22" s="52" t="str">
        <f>IF(Q22&lt;&gt;"",VLOOKUP(Q22,'Nilai Kurikulum 2013'!$E$48:$O$183,5,FALSE),"")</f>
        <v/>
      </c>
      <c r="T22" s="53" t="str">
        <f>IF(Q22&lt;&gt;"",VLOOKUP(Q22,'Nilai Kurikulum 2013'!$E$48:$O$183,10,FALSE),"")</f>
        <v/>
      </c>
      <c r="V22" s="360" t="s">
        <v>484</v>
      </c>
      <c r="W22" s="360"/>
      <c r="X22" s="360"/>
      <c r="Y22" s="360"/>
      <c r="Z22" s="360"/>
    </row>
    <row r="23" spans="1:26" ht="15.75" x14ac:dyDescent="0.25">
      <c r="A23" s="377">
        <v>6</v>
      </c>
      <c r="B23" s="49" t="s">
        <v>293</v>
      </c>
      <c r="C23" s="49">
        <f>VLOOKUP(B23,'Nilai Kurikulum 2013'!$E$4:$O$176,2,FALSE)</f>
        <v>4</v>
      </c>
      <c r="D23" s="50" t="str">
        <f>VLOOKUP(B23,'Nilai Kurikulum 2013'!$E$4:$O$176,5,FALSE)</f>
        <v>Manajemen Informasi dan Basisdata</v>
      </c>
      <c r="E23" s="247" t="str">
        <f>VLOOKUP(B23,'Nilai Kurikulum 2013'!$E$4:$O$176,11,FALSE)</f>
        <v>D</v>
      </c>
      <c r="F23" s="50">
        <f>VLOOKUP(E23,'Nilai Kurikulum 2013'!$B$178:$D$183,2,FALSE)</f>
        <v>1</v>
      </c>
      <c r="G23" s="50" t="str">
        <f t="shared" si="0"/>
        <v>AIF204</v>
      </c>
      <c r="H23" s="356">
        <f>MAX(F23:F24)</f>
        <v>1</v>
      </c>
      <c r="I23" s="356">
        <f>MIN(F23:F24)</f>
        <v>-1</v>
      </c>
      <c r="J23" s="356" t="str">
        <f ca="1">IF(K23=G23,G24,G23)</f>
        <v/>
      </c>
      <c r="K23" s="356" t="str">
        <f ca="1">INDIRECT(ADDRESS(MATCH(H23,F23:F24,0)+(ROW()-1),2))</f>
        <v>AIF204</v>
      </c>
      <c r="L23" s="369"/>
      <c r="M23" s="358" t="str">
        <f ca="1">IF(L23="",K23,L23)</f>
        <v>AIF204</v>
      </c>
      <c r="N23" s="349" t="str">
        <f ca="1">IF(M23=K23,J23,K23)</f>
        <v/>
      </c>
      <c r="O23" s="51"/>
      <c r="P23" s="254">
        <v>11</v>
      </c>
      <c r="Q23" s="56"/>
      <c r="R23" s="251" t="str">
        <f>IF(Q23&lt;&gt;"",VLOOKUP(Q23,'Nilai Kurikulum 2013'!$E$48:$O$183,2,FALSE),"")</f>
        <v/>
      </c>
      <c r="S23" s="52" t="str">
        <f>IF(Q23&lt;&gt;"",VLOOKUP(Q23,'Nilai Kurikulum 2013'!$E$48:$O$183,5,FALSE),"")</f>
        <v/>
      </c>
      <c r="T23" s="53" t="str">
        <f>IF(Q23&lt;&gt;"",VLOOKUP(Q23,'Nilai Kurikulum 2013'!$E$48:$O$183,10,FALSE),"")</f>
        <v/>
      </c>
      <c r="V23" s="293" t="s">
        <v>480</v>
      </c>
      <c r="W23" s="293"/>
      <c r="X23" s="293"/>
      <c r="Y23" s="293"/>
      <c r="Z23" s="57">
        <f ca="1">'Nilai Kurikulum 2013'!AB21</f>
        <v>33</v>
      </c>
    </row>
    <row r="24" spans="1:26" ht="16.5" thickBot="1" x14ac:dyDescent="0.3">
      <c r="A24" s="378"/>
      <c r="B24" s="54" t="s">
        <v>295</v>
      </c>
      <c r="C24" s="54">
        <f>VLOOKUP(B24,'Nilai Kurikulum 2013'!$E$4:$O$176,2,FALSE)</f>
        <v>3</v>
      </c>
      <c r="D24" s="55" t="str">
        <f>VLOOKUP(B24,'Nilai Kurikulum 2013'!$E$4:$O$176,5,FALSE)</f>
        <v>Manajemen Informasi dan Basisdata</v>
      </c>
      <c r="E24" s="248" t="str">
        <f>VLOOKUP(B24,'Nilai Kurikulum 2013'!$E$4:$O$176,11,FALSE)</f>
        <v/>
      </c>
      <c r="F24" s="55">
        <f>VLOOKUP(E24,'Nilai Kurikulum 2013'!$B$178:$D$183,2,FALSE)</f>
        <v>-1</v>
      </c>
      <c r="G24" s="55" t="str">
        <f t="shared" si="0"/>
        <v/>
      </c>
      <c r="H24" s="357"/>
      <c r="I24" s="357"/>
      <c r="J24" s="357"/>
      <c r="K24" s="357"/>
      <c r="L24" s="370"/>
      <c r="M24" s="359"/>
      <c r="N24" s="350"/>
      <c r="O24" s="51"/>
      <c r="P24" s="254">
        <v>12</v>
      </c>
      <c r="Q24" s="56"/>
      <c r="R24" s="251" t="str">
        <f>IF(Q24&lt;&gt;"",VLOOKUP(Q24,'Nilai Kurikulum 2013'!$E$48:$O$183,2,FALSE),"")</f>
        <v/>
      </c>
      <c r="S24" s="52" t="str">
        <f>IF(Q24&lt;&gt;"",VLOOKUP(Q24,'Nilai Kurikulum 2013'!$E$48:$O$183,5,FALSE),"")</f>
        <v/>
      </c>
      <c r="T24" s="53" t="str">
        <f>IF(Q24&lt;&gt;"",VLOOKUP(Q24,'Nilai Kurikulum 2013'!$E$48:$O$183,10,FALSE),"")</f>
        <v/>
      </c>
      <c r="V24" s="293" t="s">
        <v>481</v>
      </c>
      <c r="W24" s="293"/>
      <c r="X24" s="293"/>
      <c r="Y24" s="293"/>
      <c r="Z24" s="57">
        <f ca="1">'Nilai Kurikulum 2013'!AB22</f>
        <v>8</v>
      </c>
    </row>
    <row r="25" spans="1:26" x14ac:dyDescent="0.25">
      <c r="A25" s="377">
        <v>7</v>
      </c>
      <c r="B25" s="49" t="s">
        <v>309</v>
      </c>
      <c r="C25" s="49">
        <f>VLOOKUP(B25,'Nilai Kurikulum 2013'!$E$4:$O$176,2,FALSE)</f>
        <v>3</v>
      </c>
      <c r="D25" s="50" t="str">
        <f>VLOOKUP(B25,'Nilai Kurikulum 2013'!$E$4:$O$176,5,FALSE)</f>
        <v>Proyek Sistem Informasi 1</v>
      </c>
      <c r="E25" s="247" t="str">
        <f>VLOOKUP(B25,'Nilai Kurikulum 2013'!$E$4:$O$176,11,FALSE)</f>
        <v/>
      </c>
      <c r="F25" s="50">
        <f>VLOOKUP(E25,'Nilai Kurikulum 2013'!$B$178:$D$183,2,FALSE)</f>
        <v>-1</v>
      </c>
      <c r="G25" s="50" t="str">
        <f t="shared" si="0"/>
        <v/>
      </c>
      <c r="H25" s="49">
        <f>MAX(F25)</f>
        <v>-1</v>
      </c>
      <c r="I25" s="49">
        <f>MIN(F25)</f>
        <v>-1</v>
      </c>
      <c r="J25" s="49" t="str">
        <f ca="1">IF(J28=G28,G25,"")</f>
        <v/>
      </c>
      <c r="K25" s="49" t="str">
        <f ca="1">IF(K26=G28,G25,"")</f>
        <v/>
      </c>
      <c r="L25" s="59"/>
      <c r="M25" s="249" t="str">
        <f ca="1">IF(M26=G28,G25,"")</f>
        <v/>
      </c>
      <c r="N25" s="244" t="str">
        <f ca="1">IF(N28=G28,G25,"")</f>
        <v/>
      </c>
      <c r="O25" s="51"/>
      <c r="P25" s="254">
        <v>13</v>
      </c>
      <c r="Q25" s="56"/>
      <c r="R25" s="251" t="str">
        <f>IF(Q25&lt;&gt;"",VLOOKUP(Q25,'Nilai Kurikulum 2013'!$E$48:$O$183,2,FALSE),"")</f>
        <v/>
      </c>
      <c r="S25" s="52" t="str">
        <f>IF(Q25&lt;&gt;"",VLOOKUP(Q25,'Nilai Kurikulum 2013'!$E$48:$O$183,5,FALSE),"")</f>
        <v/>
      </c>
      <c r="T25" s="53" t="str">
        <f>IF(Q25&lt;&gt;"",VLOOKUP(Q25,'Nilai Kurikulum 2013'!$E$48:$O$183,10,FALSE),"")</f>
        <v/>
      </c>
      <c r="V25" s="52" t="s">
        <v>40</v>
      </c>
      <c r="W25" s="251" t="s">
        <v>57</v>
      </c>
      <c r="X25" s="251" t="s">
        <v>58</v>
      </c>
      <c r="Y25" s="251" t="s">
        <v>59</v>
      </c>
      <c r="Z25" s="251" t="s">
        <v>60</v>
      </c>
    </row>
    <row r="26" spans="1:26" ht="15.75" x14ac:dyDescent="0.25">
      <c r="A26" s="379"/>
      <c r="B26" s="251" t="s">
        <v>313</v>
      </c>
      <c r="C26" s="251">
        <f>VLOOKUP(B26,'Nilai Kurikulum 2013'!$E$4:$O$176,2,FALSE)</f>
        <v>6</v>
      </c>
      <c r="D26" s="52" t="str">
        <f>VLOOKUP(B26,'Nilai Kurikulum 2013'!$E$4:$O$176,5,FALSE)</f>
        <v>Proyek Informatika</v>
      </c>
      <c r="E26" s="246" t="str">
        <f>VLOOKUP(B26,'Nilai Kurikulum 2013'!$E$4:$O$176,11,FALSE)</f>
        <v>A</v>
      </c>
      <c r="F26" s="52">
        <f>VLOOKUP(E26,'Nilai Kurikulum 2013'!$B$178:$D$183,2,FALSE)</f>
        <v>4</v>
      </c>
      <c r="G26" s="52" t="str">
        <f t="shared" si="0"/>
        <v>AIF306</v>
      </c>
      <c r="H26" s="380">
        <f>MAX(F26:F27)</f>
        <v>4</v>
      </c>
      <c r="I26" s="380">
        <f>MIN(F26:F27)</f>
        <v>-1</v>
      </c>
      <c r="J26" s="380" t="str">
        <f ca="1">IF(K26=G26,G27,G26)</f>
        <v/>
      </c>
      <c r="K26" s="380" t="str">
        <f ca="1">INDIRECT(ADDRESS(MATCH(MAX(H26:H28),F26:F28,0)+(ROW()-1),2))</f>
        <v>AIF306</v>
      </c>
      <c r="L26" s="371"/>
      <c r="M26" s="372" t="str">
        <f ca="1">IF(L26="",K26,L26)</f>
        <v>AIF306</v>
      </c>
      <c r="N26" s="373" t="str">
        <f ca="1">IF(M26=K26,J26,K26)</f>
        <v/>
      </c>
      <c r="O26" s="51"/>
      <c r="P26" s="254">
        <v>14</v>
      </c>
      <c r="Q26" s="56"/>
      <c r="R26" s="251" t="str">
        <f>IF(Q26&lt;&gt;"",VLOOKUP(Q26,'Nilai Kurikulum 2013'!$E$48:$O$183,2,FALSE),"")</f>
        <v/>
      </c>
      <c r="S26" s="52" t="str">
        <f>IF(Q26&lt;&gt;"",VLOOKUP(Q26,'Nilai Kurikulum 2013'!$E$48:$O$183,5,FALSE),"")</f>
        <v/>
      </c>
      <c r="T26" s="53" t="str">
        <f>IF(Q26&lt;&gt;"",VLOOKUP(Q26,'Nilai Kurikulum 2013'!$E$48:$O$183,10,FALSE),"")</f>
        <v/>
      </c>
      <c r="V26" s="52" t="s">
        <v>482</v>
      </c>
      <c r="W26" s="58">
        <f ca="1">'Nilai Kurikulum 2013'!AA15</f>
        <v>19</v>
      </c>
      <c r="X26" s="58">
        <f ca="1">'Nilai Kurikulum 2013'!AB15</f>
        <v>20</v>
      </c>
      <c r="Y26" s="58">
        <f ca="1">'Nilai Kurikulum 2013'!AC15</f>
        <v>7</v>
      </c>
      <c r="Z26" s="58">
        <f ca="1">'Nilai Kurikulum 2013'!AD15</f>
        <v>2</v>
      </c>
    </row>
    <row r="27" spans="1:26" ht="15.75" x14ac:dyDescent="0.25">
      <c r="A27" s="379"/>
      <c r="B27" s="251" t="s">
        <v>315</v>
      </c>
      <c r="C27" s="251">
        <f>VLOOKUP(B27,'Nilai Kurikulum 2013'!$E$4:$O$176,2,FALSE)</f>
        <v>3</v>
      </c>
      <c r="D27" s="52" t="str">
        <f>VLOOKUP(B27,'Nilai Kurikulum 2013'!$E$4:$O$176,5,FALSE)</f>
        <v>Proyek Informatika</v>
      </c>
      <c r="E27" s="246" t="str">
        <f>VLOOKUP(B27,'Nilai Kurikulum 2013'!$E$4:$O$176,11,FALSE)</f>
        <v/>
      </c>
      <c r="F27" s="52">
        <f>VLOOKUP(E27,'Nilai Kurikulum 2013'!$B$178:$D$183,2,FALSE)</f>
        <v>-1</v>
      </c>
      <c r="G27" s="52" t="str">
        <f t="shared" si="0"/>
        <v/>
      </c>
      <c r="H27" s="380"/>
      <c r="I27" s="380"/>
      <c r="J27" s="380"/>
      <c r="K27" s="380"/>
      <c r="L27" s="371"/>
      <c r="M27" s="372"/>
      <c r="N27" s="373"/>
      <c r="O27" s="51"/>
      <c r="P27" s="254">
        <v>15</v>
      </c>
      <c r="Q27" s="56"/>
      <c r="R27" s="251" t="str">
        <f>IF(Q27&lt;&gt;"",VLOOKUP(Q27,'Nilai Kurikulum 2013'!$E$48:$O$183,2,FALSE),"")</f>
        <v/>
      </c>
      <c r="S27" s="52" t="str">
        <f>IF(Q27&lt;&gt;"",VLOOKUP(Q27,'Nilai Kurikulum 2013'!$E$48:$O$183,5,FALSE),"")</f>
        <v/>
      </c>
      <c r="T27" s="53" t="str">
        <f>IF(Q27&lt;&gt;"",VLOOKUP(Q27,'Nilai Kurikulum 2013'!$E$48:$O$183,10,FALSE),"")</f>
        <v/>
      </c>
      <c r="V27" s="52" t="s">
        <v>268</v>
      </c>
      <c r="W27" s="57">
        <f ca="1">'Nilai Kurikulum 2013'!AA16</f>
        <v>61</v>
      </c>
      <c r="X27" s="57">
        <f ca="1">'Nilai Kurikulum 2013'!AB16</f>
        <v>56</v>
      </c>
      <c r="Y27" s="57">
        <f ca="1">'Nilai Kurikulum 2013'!AC16</f>
        <v>20</v>
      </c>
      <c r="Z27" s="57">
        <f ca="1">'Nilai Kurikulum 2013'!AD16</f>
        <v>7</v>
      </c>
    </row>
    <row r="28" spans="1:26" ht="16.5" thickBot="1" x14ac:dyDescent="0.3">
      <c r="A28" s="378"/>
      <c r="B28" s="54" t="s">
        <v>311</v>
      </c>
      <c r="C28" s="54">
        <f>VLOOKUP(B28,'Nilai Kurikulum 2013'!$E$4:$O$176,2,FALSE)</f>
        <v>3</v>
      </c>
      <c r="D28" s="55" t="str">
        <f>VLOOKUP(B28,'Nilai Kurikulum 2013'!$E$4:$O$176,5,FALSE)</f>
        <v>Proyek Sistem Informasi 2</v>
      </c>
      <c r="E28" s="248" t="str">
        <f>VLOOKUP(B28,'Nilai Kurikulum 2013'!$E$4:$O$176,11,FALSE)</f>
        <v/>
      </c>
      <c r="F28" s="55">
        <f>VLOOKUP(E28,'Nilai Kurikulum 2013'!$B$178:$D$183,2,FALSE)</f>
        <v>-1</v>
      </c>
      <c r="G28" s="55" t="str">
        <f t="shared" si="0"/>
        <v/>
      </c>
      <c r="H28" s="248">
        <f>MAX(F28)</f>
        <v>-1</v>
      </c>
      <c r="I28" s="248">
        <f>MIN(F28)</f>
        <v>-1</v>
      </c>
      <c r="J28" s="248" t="str">
        <f ca="1">IF(K26=G28,"",G28)</f>
        <v/>
      </c>
      <c r="K28" s="357"/>
      <c r="L28" s="370"/>
      <c r="M28" s="359"/>
      <c r="N28" s="245" t="str">
        <f ca="1">IF(M26=G28,IF(OR(AND(M26=G26,N26=G27),AND(M26=G27,N26=G26)),IF(M26&lt;&gt;J28,J28,""),IF(N26=G26,G27,G26)),IF(J28=G28,G28,""))</f>
        <v/>
      </c>
      <c r="O28" s="51"/>
      <c r="P28" s="254">
        <v>16</v>
      </c>
      <c r="Q28" s="56"/>
      <c r="R28" s="251" t="str">
        <f>IF(Q28&lt;&gt;"",VLOOKUP(Q28,'Nilai Kurikulum 2013'!$E$48:$O$183,2,FALSE),"")</f>
        <v/>
      </c>
      <c r="S28" s="52" t="str">
        <f>IF(Q28&lt;&gt;"",VLOOKUP(Q28,'Nilai Kurikulum 2013'!$E$48:$O$183,5,FALSE),"")</f>
        <v/>
      </c>
      <c r="T28" s="53" t="str">
        <f>IF(Q28&lt;&gt;"",VLOOKUP(Q28,'Nilai Kurikulum 2013'!$E$48:$O$183,10,FALSE),"")</f>
        <v/>
      </c>
      <c r="V28" s="272" t="s">
        <v>483</v>
      </c>
      <c r="W28" s="354">
        <f ca="1">SUM(W27:Z27)</f>
        <v>144</v>
      </c>
      <c r="X28" s="354"/>
      <c r="Y28" s="355">
        <f ca="1">ROUND(((W27*4)+(X27*3)+(Y27*2)+Z27)/W28,2)</f>
        <v>3.19</v>
      </c>
      <c r="Z28" s="355"/>
    </row>
    <row r="29" spans="1:26" x14ac:dyDescent="0.25">
      <c r="A29" s="377">
        <v>8</v>
      </c>
      <c r="B29" s="49" t="s">
        <v>316</v>
      </c>
      <c r="C29" s="49">
        <f>VLOOKUP(B29,'Nilai Kurikulum 2013'!$E$4:$O$176,2,FALSE)</f>
        <v>4</v>
      </c>
      <c r="D29" s="50" t="str">
        <f>VLOOKUP(B29,'Nilai Kurikulum 2013'!$E$4:$O$176,5,FALSE)</f>
        <v>Skripsi 1</v>
      </c>
      <c r="E29" s="247" t="str">
        <f>VLOOKUP(B29,'Nilai Kurikulum 2013'!$E$4:$O$176,11,FALSE)</f>
        <v>A</v>
      </c>
      <c r="F29" s="50">
        <f>VLOOKUP(E29,'Nilai Kurikulum 2013'!$B$178:$D$183,2,FALSE)</f>
        <v>4</v>
      </c>
      <c r="G29" s="50" t="str">
        <f t="shared" si="0"/>
        <v>AIF401</v>
      </c>
      <c r="H29" s="356">
        <f>MAX(F29:F30)</f>
        <v>4</v>
      </c>
      <c r="I29" s="356">
        <f>MIN(F29:F30)</f>
        <v>-1</v>
      </c>
      <c r="J29" s="356" t="str">
        <f ca="1">IF(K29=G29,G30,G29)</f>
        <v/>
      </c>
      <c r="K29" s="356" t="str">
        <f ca="1">INDIRECT(ADDRESS(MATCH(H29,F29:F30,0)+(ROW()-1),2))</f>
        <v>AIF401</v>
      </c>
      <c r="L29" s="369"/>
      <c r="M29" s="358" t="str">
        <f ca="1">IF(L29="",K29,L29)</f>
        <v>AIF401</v>
      </c>
      <c r="N29" s="349" t="str">
        <f ca="1">IF(M29=K29,J29,K29)</f>
        <v/>
      </c>
      <c r="O29" s="51"/>
      <c r="P29" s="254">
        <v>17</v>
      </c>
      <c r="Q29" s="56"/>
      <c r="R29" s="251" t="str">
        <f>IF(Q29&lt;&gt;"",VLOOKUP(Q29,'Nilai Kurikulum 2013'!$E$48:$O$183,2,FALSE),"")</f>
        <v/>
      </c>
      <c r="S29" s="52" t="str">
        <f>IF(Q29&lt;&gt;"",VLOOKUP(Q29,'Nilai Kurikulum 2013'!$E$48:$O$183,5,FALSE),"")</f>
        <v/>
      </c>
      <c r="T29" s="53" t="str">
        <f>IF(Q29&lt;&gt;"",VLOOKUP(Q29,'Nilai Kurikulum 2013'!$E$48:$O$183,10,FALSE),"")</f>
        <v/>
      </c>
    </row>
    <row r="30" spans="1:26" ht="16.5" customHeight="1" thickBot="1" x14ac:dyDescent="0.3">
      <c r="A30" s="378"/>
      <c r="B30" s="54" t="s">
        <v>318</v>
      </c>
      <c r="C30" s="54">
        <f>VLOOKUP(B30,'Nilai Kurikulum 2013'!$E$4:$O$176,2,FALSE)</f>
        <v>2</v>
      </c>
      <c r="D30" s="55" t="str">
        <f>VLOOKUP(B30,'Nilai Kurikulum 2013'!$E$4:$O$176,5,FALSE)</f>
        <v>Skripsi 1</v>
      </c>
      <c r="E30" s="248" t="str">
        <f>VLOOKUP(B30,'Nilai Kurikulum 2013'!$E$4:$O$176,11,FALSE)</f>
        <v/>
      </c>
      <c r="F30" s="55">
        <f>VLOOKUP(E30,'Nilai Kurikulum 2013'!$B$178:$D$183,2,FALSE)</f>
        <v>-1</v>
      </c>
      <c r="G30" s="55" t="str">
        <f t="shared" si="0"/>
        <v/>
      </c>
      <c r="H30" s="357"/>
      <c r="I30" s="357"/>
      <c r="J30" s="357"/>
      <c r="K30" s="357"/>
      <c r="L30" s="370"/>
      <c r="M30" s="359"/>
      <c r="N30" s="350"/>
      <c r="O30" s="51"/>
      <c r="P30" s="254">
        <v>18</v>
      </c>
      <c r="Q30" s="56"/>
      <c r="R30" s="251" t="str">
        <f>IF(Q30&lt;&gt;"",VLOOKUP(Q30,'Nilai Kurikulum 2013'!$E$48:$O$183,2,FALSE),"")</f>
        <v/>
      </c>
      <c r="S30" s="52" t="str">
        <f>IF(Q30&lt;&gt;"",VLOOKUP(Q30,'Nilai Kurikulum 2013'!$E$48:$O$183,5,FALSE),"")</f>
        <v/>
      </c>
      <c r="T30" s="53" t="str">
        <f>IF(Q30&lt;&gt;"",VLOOKUP(Q30,'Nilai Kurikulum 2013'!$E$48:$O$183,10,FALSE),"")</f>
        <v/>
      </c>
      <c r="W30" s="353" t="s">
        <v>38</v>
      </c>
      <c r="X30" s="353"/>
      <c r="Y30" s="353" t="s">
        <v>485</v>
      </c>
      <c r="Z30" s="353"/>
    </row>
    <row r="31" spans="1:26" ht="15.75" x14ac:dyDescent="0.25">
      <c r="A31" s="377">
        <v>9</v>
      </c>
      <c r="B31" s="49" t="s">
        <v>321</v>
      </c>
      <c r="C31" s="49">
        <f>VLOOKUP(B31,'Nilai Kurikulum 2013'!$E$4:$O$176,2,FALSE)</f>
        <v>6</v>
      </c>
      <c r="D31" s="50" t="str">
        <f>VLOOKUP(B31,'Nilai Kurikulum 2013'!$E$4:$O$176,5,FALSE)</f>
        <v>Skripsi 2</v>
      </c>
      <c r="E31" s="247" t="str">
        <f>VLOOKUP(B31,'Nilai Kurikulum 2013'!$E$4:$O$176,11,FALSE)</f>
        <v>B</v>
      </c>
      <c r="F31" s="50">
        <f>VLOOKUP(E31,'Nilai Kurikulum 2013'!$B$178:$D$183,2,FALSE)</f>
        <v>3</v>
      </c>
      <c r="G31" s="50" t="str">
        <f t="shared" si="0"/>
        <v>AIF402</v>
      </c>
      <c r="H31" s="356">
        <f>MAX(F31:F32)</f>
        <v>3</v>
      </c>
      <c r="I31" s="356">
        <f>MIN(F31:F32)</f>
        <v>-1</v>
      </c>
      <c r="J31" s="356" t="str">
        <f ca="1">IF(K31=G31,G32,G31)</f>
        <v/>
      </c>
      <c r="K31" s="356" t="str">
        <f ca="1">INDIRECT(ADDRESS(MATCH(H31,F31:F32,0)+(ROW()-1),2))</f>
        <v>AIF402</v>
      </c>
      <c r="L31" s="369" t="s">
        <v>479</v>
      </c>
      <c r="M31" s="358" t="str">
        <f ca="1">IF(L31="",K31,L31)</f>
        <v>AIF402</v>
      </c>
      <c r="N31" s="349" t="str">
        <f ca="1">IF(M31=K31,J31,K31)</f>
        <v/>
      </c>
      <c r="P31" s="254">
        <v>19</v>
      </c>
      <c r="Q31" s="56"/>
      <c r="R31" s="52" t="str">
        <f>IF(Q31&lt;&gt;"",VLOOKUP(Q31,'Nilai Kurikulum 2013'!$E$48:$O$183,2,FALSE),"")</f>
        <v/>
      </c>
      <c r="S31" s="52" t="str">
        <f>IF(Q31&lt;&gt;"",VLOOKUP(Q31,'Nilai Kurikulum 2013'!$E$48:$O$183,5,FALSE),"")</f>
        <v/>
      </c>
      <c r="T31" s="52" t="str">
        <f>IF(Q31&lt;&gt;"",VLOOKUP(Q31,'Nilai Kurikulum 2013'!$E$48:$O$183,10,FALSE),"")</f>
        <v/>
      </c>
      <c r="V31" s="273" t="s">
        <v>486</v>
      </c>
      <c r="W31" s="351">
        <f ca="1">W28-W20</f>
        <v>-2</v>
      </c>
      <c r="X31" s="351"/>
      <c r="Y31" s="352">
        <f ca="1">Y28-Y20</f>
        <v>2.9999999999999805E-2</v>
      </c>
      <c r="Z31" s="352"/>
    </row>
    <row r="32" spans="1:26" ht="15.75" thickBot="1" x14ac:dyDescent="0.3">
      <c r="A32" s="378"/>
      <c r="B32" s="54" t="s">
        <v>323</v>
      </c>
      <c r="C32" s="54">
        <f>VLOOKUP(B32,'Nilai Kurikulum 2013'!$E$4:$O$176,2,FALSE)</f>
        <v>4</v>
      </c>
      <c r="D32" s="55" t="str">
        <f>VLOOKUP(B32,'Nilai Kurikulum 2013'!$E$4:$O$176,5,FALSE)</f>
        <v>Skripsi 2</v>
      </c>
      <c r="E32" s="248" t="str">
        <f>VLOOKUP(B32,'Nilai Kurikulum 2013'!$E$4:$O$176,11,FALSE)</f>
        <v/>
      </c>
      <c r="F32" s="55">
        <f>VLOOKUP(E32,'Nilai Kurikulum 2013'!$B$178:$D$183,2,FALSE)</f>
        <v>-1</v>
      </c>
      <c r="G32" s="55" t="str">
        <f t="shared" si="0"/>
        <v/>
      </c>
      <c r="H32" s="357"/>
      <c r="I32" s="357"/>
      <c r="J32" s="357"/>
      <c r="K32" s="357"/>
      <c r="L32" s="370"/>
      <c r="M32" s="359"/>
      <c r="N32" s="350"/>
      <c r="P32" s="254">
        <v>20</v>
      </c>
      <c r="Q32" s="56"/>
      <c r="R32" s="52" t="str">
        <f>IF(Q32&lt;&gt;"",VLOOKUP(Q32,'Nilai Kurikulum 2013'!$E$48:$O$183,2,FALSE),"")</f>
        <v/>
      </c>
      <c r="S32" s="52" t="str">
        <f>IF(Q32&lt;&gt;"",VLOOKUP(Q32,'Nilai Kurikulum 2013'!$E$48:$O$183,5,FALSE),"")</f>
        <v/>
      </c>
      <c r="T32" s="52" t="str">
        <f>IF(Q32&lt;&gt;"",VLOOKUP(Q32,'Nilai Kurikulum 2013'!$E$48:$O$183,10,FALSE),"")</f>
        <v/>
      </c>
    </row>
    <row r="34" spans="10:10" x14ac:dyDescent="0.25">
      <c r="J34" s="1" t="str">
        <f ca="1">IF(J13=B13,B14,B13)</f>
        <v>AIF101</v>
      </c>
    </row>
  </sheetData>
  <sheetProtection password="882B" sheet="1" objects="1" scenarios="1" selectLockedCells="1"/>
  <mergeCells count="96">
    <mergeCell ref="D7:T7"/>
    <mergeCell ref="D8:T8"/>
    <mergeCell ref="C9:T9"/>
    <mergeCell ref="C2:T2"/>
    <mergeCell ref="C3:T3"/>
    <mergeCell ref="D4:T4"/>
    <mergeCell ref="D5:T5"/>
    <mergeCell ref="C6:T6"/>
    <mergeCell ref="A31:A32"/>
    <mergeCell ref="L15:L16"/>
    <mergeCell ref="N15:N16"/>
    <mergeCell ref="J26:J27"/>
    <mergeCell ref="I26:I27"/>
    <mergeCell ref="H26:H27"/>
    <mergeCell ref="A19:A20"/>
    <mergeCell ref="H19:H20"/>
    <mergeCell ref="I19:I20"/>
    <mergeCell ref="J19:J20"/>
    <mergeCell ref="K19:K20"/>
    <mergeCell ref="L21:L22"/>
    <mergeCell ref="N21:N22"/>
    <mergeCell ref="H15:H16"/>
    <mergeCell ref="H17:H18"/>
    <mergeCell ref="H21:H22"/>
    <mergeCell ref="A17:A18"/>
    <mergeCell ref="A21:A22"/>
    <mergeCell ref="N13:N14"/>
    <mergeCell ref="L17:L18"/>
    <mergeCell ref="N17:N18"/>
    <mergeCell ref="I13:I14"/>
    <mergeCell ref="H13:H14"/>
    <mergeCell ref="M13:M14"/>
    <mergeCell ref="L29:L30"/>
    <mergeCell ref="N29:N30"/>
    <mergeCell ref="A23:A24"/>
    <mergeCell ref="A25:A28"/>
    <mergeCell ref="A29:A30"/>
    <mergeCell ref="K26:K28"/>
    <mergeCell ref="M29:M30"/>
    <mergeCell ref="A11:N11"/>
    <mergeCell ref="P11:T11"/>
    <mergeCell ref="A13:A14"/>
    <mergeCell ref="J23:J24"/>
    <mergeCell ref="M23:M24"/>
    <mergeCell ref="K23:K24"/>
    <mergeCell ref="L13:L14"/>
    <mergeCell ref="J13:J14"/>
    <mergeCell ref="L23:L24"/>
    <mergeCell ref="I15:I16"/>
    <mergeCell ref="J15:J16"/>
    <mergeCell ref="M15:M16"/>
    <mergeCell ref="I17:I18"/>
    <mergeCell ref="J17:J18"/>
    <mergeCell ref="M17:M18"/>
    <mergeCell ref="A15:A16"/>
    <mergeCell ref="V22:Z22"/>
    <mergeCell ref="H29:H30"/>
    <mergeCell ref="H31:H32"/>
    <mergeCell ref="I29:I30"/>
    <mergeCell ref="J29:J30"/>
    <mergeCell ref="L31:L32"/>
    <mergeCell ref="K29:K30"/>
    <mergeCell ref="K31:K32"/>
    <mergeCell ref="H23:H24"/>
    <mergeCell ref="L26:L28"/>
    <mergeCell ref="M26:M28"/>
    <mergeCell ref="N26:N27"/>
    <mergeCell ref="I21:I22"/>
    <mergeCell ref="J21:J22"/>
    <mergeCell ref="M21:M22"/>
    <mergeCell ref="I23:I24"/>
    <mergeCell ref="I31:I32"/>
    <mergeCell ref="J31:J32"/>
    <mergeCell ref="M31:M32"/>
    <mergeCell ref="V14:Z14"/>
    <mergeCell ref="K13:K14"/>
    <mergeCell ref="K15:K16"/>
    <mergeCell ref="K17:K18"/>
    <mergeCell ref="K21:K22"/>
    <mergeCell ref="L19:L20"/>
    <mergeCell ref="M19:M20"/>
    <mergeCell ref="N19:N20"/>
    <mergeCell ref="V16:Y16"/>
    <mergeCell ref="V15:Y15"/>
    <mergeCell ref="W20:X20"/>
    <mergeCell ref="Y20:Z20"/>
    <mergeCell ref="V23:Y23"/>
    <mergeCell ref="V24:Y24"/>
    <mergeCell ref="N31:N32"/>
    <mergeCell ref="W31:X31"/>
    <mergeCell ref="Y31:Z31"/>
    <mergeCell ref="W30:X30"/>
    <mergeCell ref="Y30:Z30"/>
    <mergeCell ref="W28:X28"/>
    <mergeCell ref="Y28:Z28"/>
    <mergeCell ref="N23:N24"/>
  </mergeCells>
  <conditionalFormatting sqref="W31:Z31">
    <cfRule type="cellIs" dxfId="1" priority="1" operator="greaterThanOrEqual">
      <formula>0</formula>
    </cfRule>
    <cfRule type="cellIs" dxfId="0" priority="2" operator="lessThan">
      <formula>0</formula>
    </cfRule>
  </conditionalFormatting>
  <dataValidations count="9">
    <dataValidation type="list" allowBlank="1" showInputMessage="1" showErrorMessage="1" sqref="L13:L14">
      <formula1>$G$13:$G$14</formula1>
    </dataValidation>
    <dataValidation type="list" allowBlank="1" showInputMessage="1" showErrorMessage="1" sqref="L15:L16">
      <formula1>$G$15:$G$16</formula1>
    </dataValidation>
    <dataValidation type="list" allowBlank="1" showInputMessage="1" showErrorMessage="1" sqref="L17:L18">
      <formula1>$G$17:$G$18</formula1>
    </dataValidation>
    <dataValidation type="list" allowBlank="1" showInputMessage="1" showErrorMessage="1" sqref="L21:L22">
      <formula1>$G$21:$G$22</formula1>
    </dataValidation>
    <dataValidation type="list" allowBlank="1" showInputMessage="1" showErrorMessage="1" sqref="L23:L24">
      <formula1>$G$23:$G$24</formula1>
    </dataValidation>
    <dataValidation type="list" allowBlank="1" showInputMessage="1" showErrorMessage="1" sqref="L29:L30">
      <formula1>$G$29:$G$30</formula1>
    </dataValidation>
    <dataValidation type="list" allowBlank="1" showInputMessage="1" showErrorMessage="1" sqref="L31:L32">
      <formula1>$G$31:$G$32</formula1>
    </dataValidation>
    <dataValidation type="list" allowBlank="1" showInputMessage="1" showErrorMessage="1" sqref="L26:L28">
      <formula1>$G$26:$G$28</formula1>
    </dataValidation>
    <dataValidation type="list" allowBlank="1" showInputMessage="1" showErrorMessage="1" sqref="L19">
      <formula1>$G$19:$G$20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14:formula1>
            <xm:f>'Nilai Kurikulum 2013'!$X$48:$X$183</xm:f>
          </x14:formula1>
          <xm:sqref>Q14</xm:sqref>
        </x14:dataValidation>
        <x14:dataValidation type="list" allowBlank="1" showInputMessage="1" showErrorMessage="1">
          <x14:formula1>
            <xm:f>'Nilai Kurikulum 2013'!$X$48:$X$183</xm:f>
          </x14:formula1>
          <xm:sqref>Q15</xm:sqref>
        </x14:dataValidation>
        <x14:dataValidation type="list" allowBlank="1" showInputMessage="1" showErrorMessage="1">
          <x14:formula1>
            <xm:f>'Nilai Kurikulum 2013'!$X$48:$X$183</xm:f>
          </x14:formula1>
          <xm:sqref>Q16</xm:sqref>
        </x14:dataValidation>
        <x14:dataValidation type="list" allowBlank="1" showInputMessage="1" showErrorMessage="1">
          <x14:formula1>
            <xm:f>'Nilai Kurikulum 2013'!$X$48:$X$183</xm:f>
          </x14:formula1>
          <xm:sqref>Q17</xm:sqref>
        </x14:dataValidation>
        <x14:dataValidation type="list" allowBlank="1" showInputMessage="1" showErrorMessage="1">
          <x14:formula1>
            <xm:f>'Nilai Kurikulum 2013'!$X$48:$X$183</xm:f>
          </x14:formula1>
          <xm:sqref>Q18</xm:sqref>
        </x14:dataValidation>
        <x14:dataValidation type="list" allowBlank="1" showInputMessage="1" showErrorMessage="1">
          <x14:formula1>
            <xm:f>'Nilai Kurikulum 2013'!$X$48:$X$183</xm:f>
          </x14:formula1>
          <xm:sqref>Q19</xm:sqref>
        </x14:dataValidation>
        <x14:dataValidation type="list" allowBlank="1" showInputMessage="1" showErrorMessage="1">
          <x14:formula1>
            <xm:f>'Nilai Kurikulum 2013'!$X$48:$X$183</xm:f>
          </x14:formula1>
          <xm:sqref>Q20</xm:sqref>
        </x14:dataValidation>
        <x14:dataValidation type="list" allowBlank="1" showInputMessage="1" showErrorMessage="1">
          <x14:formula1>
            <xm:f>'Nilai Kurikulum 2013'!$X$48:$X$183</xm:f>
          </x14:formula1>
          <xm:sqref>Q21</xm:sqref>
        </x14:dataValidation>
        <x14:dataValidation type="list" allowBlank="1" showInputMessage="1" showErrorMessage="1">
          <x14:formula1>
            <xm:f>'Nilai Kurikulum 2013'!$X$48:$X$183</xm:f>
          </x14:formula1>
          <xm:sqref>Q22</xm:sqref>
        </x14:dataValidation>
        <x14:dataValidation type="list" allowBlank="1" showInputMessage="1" showErrorMessage="1">
          <x14:formula1>
            <xm:f>'Nilai Kurikulum 2013'!$X$48:$X$183</xm:f>
          </x14:formula1>
          <xm:sqref>Q23</xm:sqref>
        </x14:dataValidation>
        <x14:dataValidation type="list" allowBlank="1" showInputMessage="1" showErrorMessage="1">
          <x14:formula1>
            <xm:f>'Nilai Kurikulum 2013'!$X$48:$X$183</xm:f>
          </x14:formula1>
          <xm:sqref>Q24</xm:sqref>
        </x14:dataValidation>
        <x14:dataValidation type="list" allowBlank="1" showInputMessage="1" showErrorMessage="1">
          <x14:formula1>
            <xm:f>'Nilai Kurikulum 2013'!$X$48:$X$183</xm:f>
          </x14:formula1>
          <xm:sqref>Q25</xm:sqref>
        </x14:dataValidation>
        <x14:dataValidation type="list" allowBlank="1" showInputMessage="1" showErrorMessage="1">
          <x14:formula1>
            <xm:f>'Nilai Kurikulum 2013'!$X$48:$X$183</xm:f>
          </x14:formula1>
          <xm:sqref>Q27</xm:sqref>
        </x14:dataValidation>
        <x14:dataValidation type="list" allowBlank="1" showInputMessage="1" showErrorMessage="1">
          <x14:formula1>
            <xm:f>'Nilai Kurikulum 2013'!$X$48:$X$183</xm:f>
          </x14:formula1>
          <xm:sqref>Q28</xm:sqref>
        </x14:dataValidation>
        <x14:dataValidation type="list" allowBlank="1" showInputMessage="1" showErrorMessage="1">
          <x14:formula1>
            <xm:f>'Nilai Kurikulum 2013'!$X$48:$X$183</xm:f>
          </x14:formula1>
          <xm:sqref>Q29</xm:sqref>
        </x14:dataValidation>
        <x14:dataValidation type="list" allowBlank="1" showInputMessage="1" showErrorMessage="1">
          <x14:formula1>
            <xm:f>'Nilai Kurikulum 2013'!$X$48:$X$183</xm:f>
          </x14:formula1>
          <xm:sqref>Q30</xm:sqref>
        </x14:dataValidation>
        <x14:dataValidation type="list" allowBlank="1" showInputMessage="1" showErrorMessage="1">
          <x14:formula1>
            <xm:f>'Nilai Kurikulum 2013'!$X$48:$X$183</xm:f>
          </x14:formula1>
          <xm:sqref>Q31</xm:sqref>
        </x14:dataValidation>
        <x14:dataValidation type="list" allowBlank="1" showInputMessage="1" showErrorMessage="1">
          <x14:formula1>
            <xm:f>'Nilai Kurikulum 2013'!$X$48:$X$183</xm:f>
          </x14:formula1>
          <xm:sqref>Q32</xm:sqref>
        </x14:dataValidation>
        <x14:dataValidation type="list" allowBlank="1" showInputMessage="1" showErrorMessage="1">
          <x14:formula1>
            <xm:f>'Nilai Kurikulum 2013'!$X$48:$X$183</xm:f>
          </x14:formula1>
          <xm:sqref>Q13</xm:sqref>
        </x14:dataValidation>
        <x14:dataValidation type="list" allowBlank="1" showInputMessage="1" showErrorMessage="1">
          <x14:formula1>
            <xm:f>'Nilai Kurikulum 2013'!$X$48:$X$183</xm:f>
          </x14:formula1>
          <xm:sqref>Q26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15"/>
  <sheetViews>
    <sheetView topLeftCell="A115" workbookViewId="0">
      <selection activeCell="F13" sqref="F13"/>
    </sheetView>
  </sheetViews>
  <sheetFormatPr defaultColWidth="9.140625" defaultRowHeight="15" x14ac:dyDescent="0.25"/>
  <cols>
    <col min="1" max="1" width="9.140625" style="1"/>
    <col min="2" max="2" width="9.140625" style="1" customWidth="1"/>
    <col min="3" max="8" width="9.140625" style="1"/>
    <col min="9" max="9" width="5.42578125" style="1" customWidth="1"/>
    <col min="10" max="10" width="3.85546875" style="1" bestFit="1" customWidth="1"/>
    <col min="11" max="11" width="4.85546875" style="1" bestFit="1" customWidth="1"/>
    <col min="12" max="12" width="3.5703125" style="1" bestFit="1" customWidth="1"/>
    <col min="13" max="14" width="9.140625" style="1"/>
    <col min="15" max="15" width="9.85546875" style="1" bestFit="1" customWidth="1"/>
    <col min="16" max="16" width="44.28515625" style="1" customWidth="1"/>
    <col min="17" max="16384" width="9.140625" style="1"/>
  </cols>
  <sheetData>
    <row r="1" spans="1:18" s="76" customFormat="1" ht="12.75" x14ac:dyDescent="0.2">
      <c r="A1" s="78" t="s">
        <v>462</v>
      </c>
    </row>
    <row r="2" spans="1:18" s="76" customFormat="1" ht="12.75" x14ac:dyDescent="0.2">
      <c r="A2" s="75">
        <v>1</v>
      </c>
      <c r="B2" s="385" t="s">
        <v>487</v>
      </c>
      <c r="C2" s="385"/>
      <c r="D2" s="385"/>
      <c r="E2" s="385"/>
      <c r="F2" s="385"/>
      <c r="G2" s="385"/>
      <c r="H2" s="385"/>
      <c r="I2" s="385"/>
      <c r="J2" s="385"/>
      <c r="K2" s="385"/>
      <c r="L2" s="385"/>
      <c r="M2" s="385"/>
      <c r="N2" s="385"/>
      <c r="O2" s="385"/>
      <c r="P2" s="385"/>
    </row>
    <row r="3" spans="1:18" s="76" customFormat="1" ht="12.75" x14ac:dyDescent="0.2">
      <c r="A3" s="75">
        <v>2</v>
      </c>
      <c r="B3" s="385" t="s">
        <v>595</v>
      </c>
      <c r="C3" s="385"/>
      <c r="D3" s="385"/>
      <c r="E3" s="385"/>
      <c r="F3" s="385"/>
      <c r="G3" s="385"/>
      <c r="H3" s="385"/>
      <c r="I3" s="385"/>
      <c r="J3" s="385"/>
      <c r="K3" s="385"/>
      <c r="L3" s="385"/>
      <c r="M3" s="385"/>
      <c r="N3" s="385"/>
      <c r="O3" s="385"/>
      <c r="P3" s="385"/>
    </row>
    <row r="4" spans="1:18" s="76" customFormat="1" ht="12.75" x14ac:dyDescent="0.2">
      <c r="A4" s="75">
        <v>3</v>
      </c>
      <c r="B4" s="385" t="s">
        <v>488</v>
      </c>
      <c r="C4" s="385"/>
      <c r="D4" s="385"/>
      <c r="E4" s="385"/>
      <c r="F4" s="385"/>
      <c r="G4" s="385"/>
      <c r="H4" s="385"/>
      <c r="I4" s="385"/>
      <c r="J4" s="385"/>
      <c r="K4" s="385"/>
      <c r="L4" s="385"/>
      <c r="M4" s="385"/>
      <c r="N4" s="385"/>
      <c r="O4" s="385"/>
      <c r="P4" s="385"/>
    </row>
    <row r="5" spans="1:18" s="76" customFormat="1" ht="12.75" x14ac:dyDescent="0.2">
      <c r="A5" s="75"/>
      <c r="B5" s="77" t="s">
        <v>465</v>
      </c>
      <c r="C5" s="385" t="s">
        <v>489</v>
      </c>
      <c r="D5" s="385"/>
      <c r="E5" s="385"/>
      <c r="F5" s="385"/>
      <c r="G5" s="385"/>
      <c r="H5" s="385"/>
      <c r="I5" s="385"/>
      <c r="J5" s="385"/>
      <c r="K5" s="385"/>
      <c r="L5" s="385"/>
      <c r="M5" s="385"/>
      <c r="N5" s="385"/>
      <c r="O5" s="385"/>
      <c r="P5" s="385"/>
    </row>
    <row r="6" spans="1:18" s="76" customFormat="1" ht="12.75" x14ac:dyDescent="0.2">
      <c r="A6" s="75"/>
      <c r="B6" s="77" t="s">
        <v>467</v>
      </c>
      <c r="C6" s="385" t="s">
        <v>490</v>
      </c>
      <c r="D6" s="385"/>
      <c r="E6" s="385"/>
      <c r="F6" s="385"/>
      <c r="G6" s="385"/>
      <c r="H6" s="385"/>
      <c r="I6" s="385"/>
      <c r="J6" s="385"/>
      <c r="K6" s="385"/>
      <c r="L6" s="385"/>
      <c r="M6" s="385"/>
      <c r="N6" s="385"/>
      <c r="O6" s="385"/>
      <c r="P6" s="385"/>
    </row>
    <row r="7" spans="1:18" s="76" customFormat="1" ht="12.75" x14ac:dyDescent="0.2">
      <c r="A7" s="75"/>
      <c r="B7" s="77" t="s">
        <v>491</v>
      </c>
      <c r="C7" s="385" t="s">
        <v>492</v>
      </c>
      <c r="D7" s="385"/>
      <c r="E7" s="385"/>
      <c r="F7" s="385"/>
      <c r="G7" s="385"/>
      <c r="H7" s="385"/>
      <c r="I7" s="385"/>
      <c r="J7" s="385"/>
      <c r="K7" s="385"/>
      <c r="L7" s="385"/>
      <c r="M7" s="385"/>
      <c r="N7" s="385"/>
      <c r="O7" s="385"/>
      <c r="P7" s="385"/>
    </row>
    <row r="8" spans="1:18" s="76" customFormat="1" ht="12.75" x14ac:dyDescent="0.2">
      <c r="A8" s="75"/>
      <c r="B8" s="77" t="s">
        <v>493</v>
      </c>
      <c r="C8" s="385" t="s">
        <v>601</v>
      </c>
      <c r="D8" s="385"/>
      <c r="E8" s="385"/>
      <c r="F8" s="385"/>
      <c r="G8" s="385"/>
      <c r="H8" s="385"/>
      <c r="I8" s="385"/>
      <c r="J8" s="385"/>
      <c r="K8" s="385"/>
      <c r="L8" s="385"/>
      <c r="M8" s="385"/>
      <c r="N8" s="385"/>
      <c r="O8" s="385"/>
      <c r="P8" s="385"/>
    </row>
    <row r="9" spans="1:18" s="76" customFormat="1" ht="12.75" x14ac:dyDescent="0.2">
      <c r="B9" s="77" t="s">
        <v>494</v>
      </c>
      <c r="C9" s="385" t="s">
        <v>495</v>
      </c>
      <c r="D9" s="385"/>
      <c r="E9" s="385"/>
      <c r="F9" s="385"/>
      <c r="G9" s="385"/>
      <c r="H9" s="385"/>
      <c r="I9" s="385"/>
      <c r="J9" s="385"/>
      <c r="K9" s="385"/>
      <c r="L9" s="385"/>
      <c r="M9" s="385"/>
      <c r="N9" s="385"/>
      <c r="O9" s="385"/>
      <c r="P9" s="385"/>
    </row>
    <row r="10" spans="1:18" s="76" customFormat="1" ht="12.75" x14ac:dyDescent="0.2">
      <c r="B10" s="77" t="s">
        <v>496</v>
      </c>
      <c r="C10" s="385" t="s">
        <v>600</v>
      </c>
      <c r="D10" s="385"/>
      <c r="E10" s="385"/>
      <c r="F10" s="385"/>
      <c r="G10" s="385"/>
      <c r="H10" s="385"/>
      <c r="I10" s="385"/>
      <c r="J10" s="385"/>
      <c r="K10" s="385"/>
      <c r="L10" s="385"/>
      <c r="M10" s="385"/>
      <c r="N10" s="385"/>
      <c r="O10" s="385"/>
      <c r="P10" s="385"/>
    </row>
    <row r="11" spans="1:18" s="76" customFormat="1" ht="12.75" x14ac:dyDescent="0.2">
      <c r="B11" s="77" t="s">
        <v>599</v>
      </c>
      <c r="C11" s="385" t="s">
        <v>497</v>
      </c>
      <c r="D11" s="385"/>
      <c r="E11" s="385"/>
      <c r="F11" s="385"/>
      <c r="G11" s="385"/>
      <c r="H11" s="385"/>
      <c r="I11" s="385"/>
      <c r="J11" s="385"/>
      <c r="K11" s="385"/>
      <c r="L11" s="385"/>
      <c r="M11" s="385"/>
      <c r="N11" s="385"/>
      <c r="O11" s="385"/>
      <c r="P11" s="385"/>
    </row>
    <row r="12" spans="1:18" s="76" customFormat="1" ht="12.75" x14ac:dyDescent="0.2">
      <c r="A12" s="76">
        <v>4</v>
      </c>
      <c r="B12" s="385" t="s">
        <v>498</v>
      </c>
      <c r="C12" s="385"/>
      <c r="D12" s="385"/>
      <c r="E12" s="385"/>
      <c r="F12" s="385"/>
      <c r="G12" s="385"/>
      <c r="H12" s="385"/>
      <c r="I12" s="385"/>
      <c r="J12" s="385"/>
      <c r="K12" s="385"/>
      <c r="L12" s="385"/>
      <c r="M12" s="385"/>
      <c r="N12" s="385"/>
      <c r="O12" s="385"/>
      <c r="P12" s="385"/>
    </row>
    <row r="13" spans="1:18" ht="15.75" thickBot="1" x14ac:dyDescent="0.3"/>
    <row r="14" spans="1:18" ht="16.5" thickTop="1" thickBot="1" x14ac:dyDescent="0.3">
      <c r="A14" s="74" t="s">
        <v>622</v>
      </c>
      <c r="B14" s="6"/>
      <c r="C14" s="6"/>
      <c r="D14" s="6"/>
      <c r="E14" s="6" t="s">
        <v>623</v>
      </c>
      <c r="F14" s="6"/>
      <c r="G14" s="6"/>
      <c r="H14" s="6"/>
      <c r="J14" s="392" t="s">
        <v>51</v>
      </c>
      <c r="K14" s="8" t="s">
        <v>244</v>
      </c>
      <c r="L14" s="9" t="s">
        <v>243</v>
      </c>
      <c r="M14" s="10" t="s">
        <v>37</v>
      </c>
      <c r="N14" s="9" t="s">
        <v>38</v>
      </c>
      <c r="O14" s="9"/>
      <c r="P14" s="10" t="s">
        <v>39</v>
      </c>
      <c r="Q14" s="5"/>
    </row>
    <row r="15" spans="1:18" ht="15.75" thickTop="1" x14ac:dyDescent="0.25">
      <c r="A15" s="6" t="s">
        <v>624</v>
      </c>
      <c r="B15" s="6" t="s">
        <v>625</v>
      </c>
      <c r="C15" s="6" t="s">
        <v>58</v>
      </c>
      <c r="D15" s="6">
        <v>121</v>
      </c>
      <c r="E15" s="6" t="s">
        <v>626</v>
      </c>
      <c r="F15" s="6" t="s">
        <v>627</v>
      </c>
      <c r="G15" s="6" t="s">
        <v>57</v>
      </c>
      <c r="H15" s="6">
        <v>122</v>
      </c>
      <c r="J15" s="393"/>
      <c r="K15" s="389">
        <v>1</v>
      </c>
      <c r="L15" s="11">
        <v>1</v>
      </c>
      <c r="M15" s="12" t="s">
        <v>252</v>
      </c>
      <c r="N15" s="11">
        <f>VLOOKUP(M15,'Nilai Kurikulum 2013'!$E$4:$I$176,2,FALSE)</f>
        <v>6</v>
      </c>
      <c r="O15" s="11" t="str">
        <f>M15&amp;"-"&amp;N15</f>
        <v>AIF101-6</v>
      </c>
      <c r="P15" s="13" t="str">
        <f>VLOOKUP(M15,'Nilai Kurikulum 2013'!$E$4:$I$176,5,FALSE)</f>
        <v>Pemrograman Berorientasi Objek</v>
      </c>
      <c r="Q15" s="73"/>
    </row>
    <row r="16" spans="1:18" x14ac:dyDescent="0.25">
      <c r="A16" s="6" t="s">
        <v>628</v>
      </c>
      <c r="B16" s="6" t="s">
        <v>258</v>
      </c>
      <c r="C16" s="6" t="s">
        <v>58</v>
      </c>
      <c r="D16" s="6">
        <v>121</v>
      </c>
      <c r="E16" s="6" t="s">
        <v>629</v>
      </c>
      <c r="F16" s="6" t="s">
        <v>269</v>
      </c>
      <c r="G16" s="6" t="s">
        <v>58</v>
      </c>
      <c r="H16" s="6">
        <v>122</v>
      </c>
      <c r="J16" s="393"/>
      <c r="K16" s="390"/>
      <c r="L16" s="14">
        <v>2</v>
      </c>
      <c r="M16" s="15" t="s">
        <v>256</v>
      </c>
      <c r="N16" s="14">
        <f>VLOOKUP(M16,'Nilai Kurikulum 2013'!$E$4:$I$176,2,FALSE)</f>
        <v>3</v>
      </c>
      <c r="O16" s="14" t="str">
        <f t="shared" ref="O16:O79" si="0">M16&amp;"-"&amp;N16</f>
        <v>AIF191-3</v>
      </c>
      <c r="P16" s="16" t="str">
        <f>VLOOKUP(M16,'Nilai Kurikulum 2013'!$E$4:$I$176,5,FALSE)</f>
        <v>Pemrograman Berorientasi Objek</v>
      </c>
      <c r="Q16" s="39"/>
      <c r="R16" s="7"/>
    </row>
    <row r="17" spans="1:17" x14ac:dyDescent="0.25">
      <c r="A17" s="6" t="s">
        <v>630</v>
      </c>
      <c r="B17" s="6" t="s">
        <v>254</v>
      </c>
      <c r="C17" s="6" t="s">
        <v>58</v>
      </c>
      <c r="D17" s="6">
        <v>121</v>
      </c>
      <c r="E17" s="6" t="s">
        <v>631</v>
      </c>
      <c r="F17" s="6" t="s">
        <v>270</v>
      </c>
      <c r="G17" s="6" t="s">
        <v>59</v>
      </c>
      <c r="H17" s="6">
        <v>122</v>
      </c>
      <c r="J17" s="393"/>
      <c r="K17" s="390"/>
      <c r="L17" s="14">
        <v>3</v>
      </c>
      <c r="M17" s="15" t="s">
        <v>97</v>
      </c>
      <c r="N17" s="14">
        <f>VLOOKUP(M17,'Nilai Kurikulum 2013'!$E$4:$I$176,2,FALSE)</f>
        <v>3</v>
      </c>
      <c r="O17" s="14" t="str">
        <f t="shared" si="0"/>
        <v>AIF103-3</v>
      </c>
      <c r="P17" s="16" t="str">
        <f>VLOOKUP(M17,'Nilai Kurikulum 2013'!$E$4:$I$176,5,FALSE)</f>
        <v>Matematika Diskret</v>
      </c>
      <c r="Q17" s="39"/>
    </row>
    <row r="18" spans="1:17" x14ac:dyDescent="0.25">
      <c r="A18" s="6" t="s">
        <v>632</v>
      </c>
      <c r="B18" s="6" t="s">
        <v>633</v>
      </c>
      <c r="C18" s="6" t="s">
        <v>57</v>
      </c>
      <c r="D18" s="6">
        <v>121</v>
      </c>
      <c r="E18" s="6" t="s">
        <v>634</v>
      </c>
      <c r="F18" s="6" t="s">
        <v>272</v>
      </c>
      <c r="G18" s="6" t="s">
        <v>57</v>
      </c>
      <c r="H18" s="6">
        <v>121</v>
      </c>
      <c r="J18" s="393"/>
      <c r="K18" s="390"/>
      <c r="L18" s="14">
        <v>4</v>
      </c>
      <c r="M18" s="15" t="s">
        <v>99</v>
      </c>
      <c r="N18" s="14">
        <f>VLOOKUP(M18,'Nilai Kurikulum 2013'!$E$4:$I$176,2,FALSE)</f>
        <v>3</v>
      </c>
      <c r="O18" s="14" t="str">
        <f t="shared" si="0"/>
        <v>AIF105-3</v>
      </c>
      <c r="P18" s="16" t="str">
        <f>VLOOKUP(M18,'Nilai Kurikulum 2013'!$E$4:$I$176,5,FALSE)</f>
        <v>Pengantar Informatika</v>
      </c>
      <c r="Q18" s="39"/>
    </row>
    <row r="19" spans="1:17" x14ac:dyDescent="0.25">
      <c r="A19" s="6" t="s">
        <v>635</v>
      </c>
      <c r="B19" s="6" t="s">
        <v>261</v>
      </c>
      <c r="C19" s="6" t="s">
        <v>58</v>
      </c>
      <c r="D19" s="6">
        <v>121</v>
      </c>
      <c r="E19" s="6" t="s">
        <v>636</v>
      </c>
      <c r="F19" s="6" t="s">
        <v>83</v>
      </c>
      <c r="G19" s="6" t="s">
        <v>58</v>
      </c>
      <c r="H19" s="6">
        <v>141</v>
      </c>
      <c r="J19" s="393"/>
      <c r="K19" s="390"/>
      <c r="L19" s="14">
        <v>5</v>
      </c>
      <c r="M19" s="15" t="s">
        <v>101</v>
      </c>
      <c r="N19" s="14">
        <f>VLOOKUP(M19,'Nilai Kurikulum 2013'!$E$4:$I$176,2,FALSE)</f>
        <v>2</v>
      </c>
      <c r="O19" s="14" t="str">
        <f t="shared" si="0"/>
        <v>MKU001-2</v>
      </c>
      <c r="P19" s="17" t="str">
        <f>VLOOKUP(M19,'Nilai Kurikulum 2013'!$E$4:$I$176,5,FALSE)</f>
        <v>Pancasila</v>
      </c>
      <c r="Q19" s="39"/>
    </row>
    <row r="20" spans="1:17" x14ac:dyDescent="0.25">
      <c r="A20" s="6" t="s">
        <v>637</v>
      </c>
      <c r="B20" s="6" t="s">
        <v>84</v>
      </c>
      <c r="C20" s="6" t="s">
        <v>57</v>
      </c>
      <c r="D20" s="6">
        <v>122</v>
      </c>
      <c r="E20" s="6" t="s">
        <v>638</v>
      </c>
      <c r="F20" s="6" t="s">
        <v>274</v>
      </c>
      <c r="G20" s="6" t="s">
        <v>58</v>
      </c>
      <c r="H20" s="6">
        <v>122</v>
      </c>
      <c r="J20" s="393"/>
      <c r="K20" s="390"/>
      <c r="L20" s="14">
        <v>6</v>
      </c>
      <c r="M20" s="15" t="s">
        <v>102</v>
      </c>
      <c r="N20" s="14">
        <f>VLOOKUP(M20,'Nilai Kurikulum 2013'!$E$4:$I$176,2,FALSE)</f>
        <v>2</v>
      </c>
      <c r="O20" s="14" t="str">
        <f t="shared" si="0"/>
        <v>MKU008-2</v>
      </c>
      <c r="P20" s="17" t="str">
        <f>VLOOKUP(M20,'Nilai Kurikulum 2013'!$E$4:$I$176,5,FALSE)</f>
        <v>Etika</v>
      </c>
      <c r="Q20" s="39"/>
    </row>
    <row r="21" spans="1:17" ht="15.75" thickBot="1" x14ac:dyDescent="0.3">
      <c r="A21" s="6" t="s">
        <v>639</v>
      </c>
      <c r="B21" s="6"/>
      <c r="C21" s="6"/>
      <c r="D21" s="6"/>
      <c r="E21" s="6" t="s">
        <v>640</v>
      </c>
      <c r="F21" s="6"/>
      <c r="G21" s="6"/>
      <c r="H21" s="6"/>
      <c r="J21" s="393"/>
      <c r="K21" s="395"/>
      <c r="L21" s="18">
        <v>7</v>
      </c>
      <c r="M21" s="19" t="s">
        <v>104</v>
      </c>
      <c r="N21" s="20">
        <f>VLOOKUP(M21,'Nilai Kurikulum 2013'!$E$4:$I$176,2,FALSE)</f>
        <v>2</v>
      </c>
      <c r="O21" s="20" t="str">
        <f t="shared" si="0"/>
        <v>MKU010-2</v>
      </c>
      <c r="P21" s="21" t="str">
        <f>VLOOKUP(M21,'Nilai Kurikulum 2013'!$E$4:$I$176,5,FALSE)</f>
        <v>Bahasa Inggris</v>
      </c>
      <c r="Q21" s="40"/>
    </row>
    <row r="22" spans="1:17" x14ac:dyDescent="0.25">
      <c r="A22" s="6" t="s">
        <v>641</v>
      </c>
      <c r="B22" s="6" t="s">
        <v>642</v>
      </c>
      <c r="C22" s="6" t="s">
        <v>58</v>
      </c>
      <c r="D22" s="6">
        <v>131</v>
      </c>
      <c r="E22" s="6" t="s">
        <v>643</v>
      </c>
      <c r="F22" s="6" t="s">
        <v>644</v>
      </c>
      <c r="G22" s="6" t="s">
        <v>58</v>
      </c>
      <c r="H22" s="6">
        <v>132</v>
      </c>
      <c r="J22" s="393"/>
      <c r="K22" s="390">
        <v>2</v>
      </c>
      <c r="L22" s="11">
        <v>1</v>
      </c>
      <c r="M22" s="22" t="s">
        <v>264</v>
      </c>
      <c r="N22" s="23">
        <f>VLOOKUP(M22,'Nilai Kurikulum 2013'!$E$4:$I$176,2,FALSE)</f>
        <v>4</v>
      </c>
      <c r="O22" s="23" t="str">
        <f t="shared" si="0"/>
        <v>AIF102-4</v>
      </c>
      <c r="P22" s="24" t="str">
        <f>VLOOKUP(M22,'Nilai Kurikulum 2013'!$E$4:$I$176,5,FALSE)</f>
        <v>Algoritma dan Struktur Data</v>
      </c>
      <c r="Q22" s="41"/>
    </row>
    <row r="23" spans="1:17" x14ac:dyDescent="0.25">
      <c r="A23" s="6" t="s">
        <v>645</v>
      </c>
      <c r="B23" s="6" t="s">
        <v>646</v>
      </c>
      <c r="C23" s="6" t="s">
        <v>57</v>
      </c>
      <c r="D23" s="6">
        <v>131</v>
      </c>
      <c r="E23" s="6" t="s">
        <v>647</v>
      </c>
      <c r="F23" s="6" t="s">
        <v>648</v>
      </c>
      <c r="G23" s="6" t="s">
        <v>60</v>
      </c>
      <c r="H23" s="6">
        <v>132</v>
      </c>
      <c r="J23" s="393"/>
      <c r="K23" s="390"/>
      <c r="L23" s="14">
        <v>2</v>
      </c>
      <c r="M23" s="15" t="s">
        <v>267</v>
      </c>
      <c r="N23" s="14">
        <f>VLOOKUP(M23,'Nilai Kurikulum 2013'!$E$4:$I$176,2,FALSE)</f>
        <v>3</v>
      </c>
      <c r="O23" s="14" t="str">
        <f t="shared" si="0"/>
        <v>AIF192-3</v>
      </c>
      <c r="P23" s="16" t="str">
        <f>VLOOKUP(M23,'Nilai Kurikulum 2013'!$E$4:$I$176,5,FALSE)</f>
        <v>Algoritma dan Struktur Data</v>
      </c>
      <c r="Q23" s="39"/>
    </row>
    <row r="24" spans="1:17" x14ac:dyDescent="0.25">
      <c r="A24" s="6" t="s">
        <v>649</v>
      </c>
      <c r="B24" s="6" t="s">
        <v>650</v>
      </c>
      <c r="C24" s="6" t="s">
        <v>57</v>
      </c>
      <c r="D24" s="6">
        <v>131</v>
      </c>
      <c r="E24" s="6" t="s">
        <v>651</v>
      </c>
      <c r="F24" s="6" t="s">
        <v>297</v>
      </c>
      <c r="G24" s="6" t="s">
        <v>57</v>
      </c>
      <c r="H24" s="6">
        <v>132</v>
      </c>
      <c r="J24" s="393"/>
      <c r="K24" s="390"/>
      <c r="L24" s="14">
        <v>3</v>
      </c>
      <c r="M24" s="15" t="s">
        <v>98</v>
      </c>
      <c r="N24" s="14">
        <f>VLOOKUP(M24,'Nilai Kurikulum 2013'!$E$4:$I$176,2,FALSE)</f>
        <v>3</v>
      </c>
      <c r="O24" s="14" t="str">
        <f t="shared" si="0"/>
        <v>AIF104-3</v>
      </c>
      <c r="P24" s="16" t="str">
        <f>VLOOKUP(M24,'Nilai Kurikulum 2013'!$E$4:$I$176,5,FALSE)</f>
        <v>Logika Informatika</v>
      </c>
      <c r="Q24" s="39"/>
    </row>
    <row r="25" spans="1:17" x14ac:dyDescent="0.25">
      <c r="A25" s="6" t="s">
        <v>652</v>
      </c>
      <c r="B25" s="6" t="s">
        <v>653</v>
      </c>
      <c r="C25" s="6" t="s">
        <v>57</v>
      </c>
      <c r="D25" s="6">
        <v>131</v>
      </c>
      <c r="E25" s="6" t="s">
        <v>654</v>
      </c>
      <c r="F25" s="6" t="s">
        <v>299</v>
      </c>
      <c r="G25" s="6" t="s">
        <v>59</v>
      </c>
      <c r="H25" s="6">
        <v>132</v>
      </c>
      <c r="J25" s="393"/>
      <c r="K25" s="390"/>
      <c r="L25" s="14">
        <v>4</v>
      </c>
      <c r="M25" s="15" t="s">
        <v>100</v>
      </c>
      <c r="N25" s="14">
        <f>VLOOKUP(M25,'Nilai Kurikulum 2013'!$E$4:$I$176,2,FALSE)</f>
        <v>3</v>
      </c>
      <c r="O25" s="14" t="str">
        <f t="shared" si="0"/>
        <v>AIF106-3</v>
      </c>
      <c r="P25" s="16" t="str">
        <f>VLOOKUP(M25,'Nilai Kurikulum 2013'!$E$4:$I$176,5,FALSE)</f>
        <v>Sistem Dijital</v>
      </c>
      <c r="Q25" s="39"/>
    </row>
    <row r="26" spans="1:17" x14ac:dyDescent="0.25">
      <c r="A26" s="6" t="s">
        <v>655</v>
      </c>
      <c r="B26" s="6" t="s">
        <v>656</v>
      </c>
      <c r="C26" s="6" t="s">
        <v>57</v>
      </c>
      <c r="D26" s="6">
        <v>131</v>
      </c>
      <c r="E26" s="6" t="s">
        <v>657</v>
      </c>
      <c r="F26" s="6" t="s">
        <v>301</v>
      </c>
      <c r="G26" s="6" t="s">
        <v>58</v>
      </c>
      <c r="H26" s="6">
        <v>132</v>
      </c>
      <c r="J26" s="393"/>
      <c r="K26" s="390"/>
      <c r="L26" s="14">
        <v>5</v>
      </c>
      <c r="M26" s="15" t="s">
        <v>271</v>
      </c>
      <c r="N26" s="14">
        <f>VLOOKUP(M26,'Nilai Kurikulum 2013'!$E$4:$I$176,2,FALSE)</f>
        <v>4</v>
      </c>
      <c r="O26" s="14" t="str">
        <f t="shared" si="0"/>
        <v>AMS100-4</v>
      </c>
      <c r="P26" s="16" t="str">
        <f>VLOOKUP(M26,'Nilai Kurikulum 2013'!$E$4:$I$176,5,FALSE)</f>
        <v>Matematika Informatika</v>
      </c>
      <c r="Q26" s="39"/>
    </row>
    <row r="27" spans="1:17" x14ac:dyDescent="0.25">
      <c r="A27" s="6" t="s">
        <v>658</v>
      </c>
      <c r="B27" s="6" t="s">
        <v>289</v>
      </c>
      <c r="C27" s="6" t="s">
        <v>57</v>
      </c>
      <c r="D27" s="6">
        <v>131</v>
      </c>
      <c r="E27" s="6"/>
      <c r="F27" s="6"/>
      <c r="G27" s="6"/>
      <c r="H27" s="6"/>
      <c r="J27" s="393"/>
      <c r="K27" s="390"/>
      <c r="L27" s="14">
        <v>6</v>
      </c>
      <c r="M27" s="15" t="s">
        <v>273</v>
      </c>
      <c r="N27" s="14">
        <f>VLOOKUP(M27,'Nilai Kurikulum 2013'!$E$4:$I$176,2,FALSE)</f>
        <v>3</v>
      </c>
      <c r="O27" s="14" t="str">
        <f t="shared" si="0"/>
        <v>AMS190-3</v>
      </c>
      <c r="P27" s="16" t="str">
        <f>VLOOKUP(M27,'Nilai Kurikulum 2013'!$E$4:$I$176,5,FALSE)</f>
        <v>Matematika Informatika</v>
      </c>
      <c r="Q27" s="39"/>
    </row>
    <row r="28" spans="1:17" x14ac:dyDescent="0.25">
      <c r="A28" s="6" t="s">
        <v>659</v>
      </c>
      <c r="B28" s="6"/>
      <c r="C28" s="6"/>
      <c r="D28" s="6"/>
      <c r="E28" s="6" t="s">
        <v>660</v>
      </c>
      <c r="F28" s="6"/>
      <c r="G28" s="6"/>
      <c r="H28" s="6"/>
      <c r="J28" s="393"/>
      <c r="K28" s="390"/>
      <c r="L28" s="14">
        <v>7</v>
      </c>
      <c r="M28" s="15" t="s">
        <v>103</v>
      </c>
      <c r="N28" s="14">
        <f>VLOOKUP(M28,'Nilai Kurikulum 2013'!$E$4:$I$176,2,FALSE)</f>
        <v>2</v>
      </c>
      <c r="O28" s="14" t="str">
        <f t="shared" si="0"/>
        <v>MKU009-2</v>
      </c>
      <c r="P28" s="16" t="str">
        <f>VLOOKUP(M28,'Nilai Kurikulum 2013'!$E$4:$I$176,5,FALSE)</f>
        <v>Bahasa Indonesia</v>
      </c>
      <c r="Q28" s="39"/>
    </row>
    <row r="29" spans="1:17" ht="15.75" thickBot="1" x14ac:dyDescent="0.3">
      <c r="A29" s="6" t="s">
        <v>661</v>
      </c>
      <c r="B29" s="6" t="s">
        <v>662</v>
      </c>
      <c r="C29" s="6" t="s">
        <v>663</v>
      </c>
      <c r="D29" s="6" t="s">
        <v>664</v>
      </c>
      <c r="E29" s="6" t="s">
        <v>665</v>
      </c>
      <c r="F29" s="6" t="s">
        <v>666</v>
      </c>
      <c r="G29" s="6" t="s">
        <v>58</v>
      </c>
      <c r="H29" s="6">
        <v>142</v>
      </c>
      <c r="J29" s="393"/>
      <c r="K29" s="395"/>
      <c r="L29" s="18">
        <v>8</v>
      </c>
      <c r="M29" s="25" t="s">
        <v>105</v>
      </c>
      <c r="N29" s="18">
        <f>VLOOKUP(M29,'Nilai Kurikulum 2013'!$E$4:$I$176,2,FALSE)</f>
        <v>2</v>
      </c>
      <c r="O29" s="18" t="str">
        <f t="shared" si="0"/>
        <v>MKU011-2</v>
      </c>
      <c r="P29" s="26" t="str">
        <f>VLOOKUP(M29,'Nilai Kurikulum 2013'!$E$4:$I$176,5,FALSE)</f>
        <v>Estetika</v>
      </c>
      <c r="Q29" s="42"/>
    </row>
    <row r="30" spans="1:17" x14ac:dyDescent="0.25">
      <c r="A30" s="6" t="s">
        <v>667</v>
      </c>
      <c r="B30" s="6" t="s">
        <v>668</v>
      </c>
      <c r="C30" s="6" t="s">
        <v>57</v>
      </c>
      <c r="D30" s="6">
        <v>141</v>
      </c>
      <c r="E30" s="6" t="s">
        <v>669</v>
      </c>
      <c r="F30" s="6" t="s">
        <v>314</v>
      </c>
      <c r="G30" s="6" t="s">
        <v>57</v>
      </c>
      <c r="H30" s="6">
        <v>142</v>
      </c>
      <c r="J30" s="393"/>
      <c r="K30" s="390">
        <v>3</v>
      </c>
      <c r="L30" s="11">
        <v>1</v>
      </c>
      <c r="M30" s="12" t="s">
        <v>275</v>
      </c>
      <c r="N30" s="11">
        <f>VLOOKUP(M30,'Nilai Kurikulum 2013'!$E$4:$I$176,2,FALSE)</f>
        <v>4</v>
      </c>
      <c r="O30" s="11" t="str">
        <f t="shared" si="0"/>
        <v>AIF201-4</v>
      </c>
      <c r="P30" s="13" t="str">
        <f>VLOOKUP(M30,'Nilai Kurikulum 2013'!$E$4:$I$176,5,FALSE)</f>
        <v>Analisis dan Desain Berorientasi Objek</v>
      </c>
      <c r="Q30" s="43"/>
    </row>
    <row r="31" spans="1:17" x14ac:dyDescent="0.25">
      <c r="A31" s="6" t="s">
        <v>670</v>
      </c>
      <c r="B31" s="6" t="s">
        <v>671</v>
      </c>
      <c r="C31" s="6" t="s">
        <v>672</v>
      </c>
      <c r="D31" s="6" t="s">
        <v>664</v>
      </c>
      <c r="E31" s="6"/>
      <c r="F31" s="6"/>
      <c r="G31" s="6"/>
      <c r="H31" s="6"/>
      <c r="J31" s="393"/>
      <c r="K31" s="390"/>
      <c r="L31" s="14">
        <v>2</v>
      </c>
      <c r="M31" s="15" t="s">
        <v>277</v>
      </c>
      <c r="N31" s="14">
        <f>VLOOKUP(M31,'Nilai Kurikulum 2013'!$E$4:$I$176,2,FALSE)</f>
        <v>4</v>
      </c>
      <c r="O31" s="14" t="str">
        <f t="shared" si="0"/>
        <v>AIF203-4</v>
      </c>
      <c r="P31" s="16" t="str">
        <f>VLOOKUP(M31,'Nilai Kurikulum 2013'!$E$4:$I$176,5,FALSE)</f>
        <v>Struktur Diskret</v>
      </c>
      <c r="Q31" s="39"/>
    </row>
    <row r="32" spans="1:17" x14ac:dyDescent="0.25">
      <c r="A32" s="6" t="s">
        <v>673</v>
      </c>
      <c r="B32" s="6" t="s">
        <v>307</v>
      </c>
      <c r="C32" s="6" t="s">
        <v>58</v>
      </c>
      <c r="D32" s="6">
        <v>122</v>
      </c>
      <c r="E32" s="6"/>
      <c r="F32" s="6"/>
      <c r="G32" s="6"/>
      <c r="H32" s="6"/>
      <c r="J32" s="393"/>
      <c r="K32" s="390"/>
      <c r="L32" s="14">
        <v>3</v>
      </c>
      <c r="M32" s="15" t="s">
        <v>108</v>
      </c>
      <c r="N32" s="14">
        <f>VLOOKUP(M32,'Nilai Kurikulum 2013'!$E$4:$I$176,2,FALSE)</f>
        <v>3</v>
      </c>
      <c r="O32" s="14" t="str">
        <f t="shared" si="0"/>
        <v>AIF205-3</v>
      </c>
      <c r="P32" s="16" t="str">
        <f>VLOOKUP(M32,'Nilai Kurikulum 2013'!$E$4:$I$176,5,FALSE)</f>
        <v>Arsitektur dan Organisasi Komputer</v>
      </c>
      <c r="Q32" s="39"/>
    </row>
    <row r="33" spans="1:17" x14ac:dyDescent="0.25">
      <c r="A33" s="6" t="s">
        <v>674</v>
      </c>
      <c r="B33" s="6"/>
      <c r="C33" s="6"/>
      <c r="D33" s="6"/>
      <c r="E33" s="6" t="s">
        <v>675</v>
      </c>
      <c r="F33" s="6"/>
      <c r="G33" s="6"/>
      <c r="H33" s="6"/>
      <c r="J33" s="393"/>
      <c r="K33" s="390"/>
      <c r="L33" s="14">
        <v>4</v>
      </c>
      <c r="M33" s="15" t="s">
        <v>110</v>
      </c>
      <c r="N33" s="14">
        <f>VLOOKUP(M33,'Nilai Kurikulum 2013'!$E$4:$I$176,2,FALSE)</f>
        <v>3</v>
      </c>
      <c r="O33" s="14" t="str">
        <f t="shared" si="0"/>
        <v>AMS200-3</v>
      </c>
      <c r="P33" s="16" t="str">
        <f>VLOOKUP(M33,'Nilai Kurikulum 2013'!$E$4:$I$176,5,FALSE)</f>
        <v>Probabilitas dan Statistika</v>
      </c>
      <c r="Q33" s="39"/>
    </row>
    <row r="34" spans="1:17" x14ac:dyDescent="0.25">
      <c r="A34" s="6" t="s">
        <v>676</v>
      </c>
      <c r="B34" s="6" t="s">
        <v>317</v>
      </c>
      <c r="C34" s="6" t="s">
        <v>57</v>
      </c>
      <c r="D34" s="6">
        <v>151</v>
      </c>
      <c r="E34" s="6" t="s">
        <v>677</v>
      </c>
      <c r="F34" s="6" t="s">
        <v>678</v>
      </c>
      <c r="G34" s="6" t="s">
        <v>679</v>
      </c>
      <c r="H34" s="6" t="s">
        <v>680</v>
      </c>
      <c r="J34" s="393"/>
      <c r="K34" s="390"/>
      <c r="L34" s="14">
        <v>5</v>
      </c>
      <c r="M34" s="15" t="s">
        <v>285</v>
      </c>
      <c r="N34" s="14">
        <f>VLOOKUP(M34,'Nilai Kurikulum 2013'!$E$4:$I$176,2,FALSE)</f>
        <v>2</v>
      </c>
      <c r="O34" s="14" t="str">
        <f t="shared" si="0"/>
        <v>MKU003-2</v>
      </c>
      <c r="P34" s="17" t="str">
        <f>VLOOKUP(M34,'Nilai Kurikulum 2013'!$E$4:$I$176,5,FALSE)</f>
        <v>Agama Katolik</v>
      </c>
      <c r="Q34" s="39"/>
    </row>
    <row r="35" spans="1:17" x14ac:dyDescent="0.25">
      <c r="A35" s="6" t="s">
        <v>681</v>
      </c>
      <c r="B35" s="6" t="s">
        <v>682</v>
      </c>
      <c r="C35" s="6" t="s">
        <v>59</v>
      </c>
      <c r="D35" s="6">
        <v>141</v>
      </c>
      <c r="E35" s="6" t="s">
        <v>683</v>
      </c>
      <c r="F35" s="6" t="s">
        <v>684</v>
      </c>
      <c r="G35" s="6" t="s">
        <v>57</v>
      </c>
      <c r="H35" s="6">
        <v>152</v>
      </c>
      <c r="J35" s="393"/>
      <c r="K35" s="390"/>
      <c r="L35" s="14">
        <v>6</v>
      </c>
      <c r="M35" s="15" t="s">
        <v>287</v>
      </c>
      <c r="N35" s="14">
        <f>VLOOKUP(M35,'Nilai Kurikulum 2013'!$E$4:$I$176,2,FALSE)</f>
        <v>2</v>
      </c>
      <c r="O35" s="14" t="str">
        <f t="shared" si="0"/>
        <v>MKU004-2</v>
      </c>
      <c r="P35" s="17" t="str">
        <f>VLOOKUP(M35,'Nilai Kurikulum 2013'!$E$4:$I$176,5,FALSE)</f>
        <v>Fenomenologi Agama</v>
      </c>
      <c r="Q35" s="39"/>
    </row>
    <row r="36" spans="1:17" ht="15.75" thickBot="1" x14ac:dyDescent="0.3">
      <c r="A36" s="6" t="s">
        <v>121</v>
      </c>
      <c r="B36" s="6"/>
      <c r="C36" s="6"/>
      <c r="D36" s="6"/>
      <c r="E36" s="6"/>
      <c r="F36" s="6"/>
      <c r="G36" s="6"/>
      <c r="H36" s="6"/>
      <c r="J36" s="393"/>
      <c r="K36" s="395"/>
      <c r="L36" s="18">
        <v>7</v>
      </c>
      <c r="M36" s="25" t="s">
        <v>111</v>
      </c>
      <c r="N36" s="18">
        <f>VLOOKUP(M36,'Nilai Kurikulum 2013'!$E$4:$I$176,2,FALSE)</f>
        <v>2</v>
      </c>
      <c r="O36" s="18" t="str">
        <f t="shared" si="0"/>
        <v>MKU012-2</v>
      </c>
      <c r="P36" s="26" t="str">
        <f>VLOOKUP(M36,'Nilai Kurikulum 2013'!$E$4:$I$176,5,FALSE)</f>
        <v>Logika</v>
      </c>
      <c r="Q36" s="42"/>
    </row>
    <row r="37" spans="1:17" x14ac:dyDescent="0.25">
      <c r="A37" s="6" t="s">
        <v>685</v>
      </c>
      <c r="B37" s="6" t="s">
        <v>686</v>
      </c>
      <c r="C37" s="6" t="s">
        <v>59</v>
      </c>
      <c r="D37" s="6">
        <v>122</v>
      </c>
      <c r="E37" s="6"/>
      <c r="F37" s="6"/>
      <c r="G37" s="6"/>
      <c r="H37" s="6"/>
      <c r="J37" s="393"/>
      <c r="K37" s="390">
        <v>4</v>
      </c>
      <c r="L37" s="11">
        <v>1</v>
      </c>
      <c r="M37" s="12" t="s">
        <v>290</v>
      </c>
      <c r="N37" s="11">
        <f>VLOOKUP(M37,'Nilai Kurikulum 2013'!$E$4:$I$176,2,FALSE)</f>
        <v>4</v>
      </c>
      <c r="O37" s="11" t="str">
        <f t="shared" si="0"/>
        <v>AIF202-4</v>
      </c>
      <c r="P37" s="13" t="str">
        <f>VLOOKUP(M37,'Nilai Kurikulum 2013'!$E$4:$I$176,5,FALSE)</f>
        <v>Desain dan Analisis Algoritma</v>
      </c>
      <c r="Q37" s="43"/>
    </row>
    <row r="38" spans="1:17" x14ac:dyDescent="0.25">
      <c r="A38" s="6" t="s">
        <v>687</v>
      </c>
      <c r="B38" s="6" t="s">
        <v>327</v>
      </c>
      <c r="C38" s="6" t="s">
        <v>60</v>
      </c>
      <c r="D38" s="6">
        <v>141</v>
      </c>
      <c r="E38" s="6"/>
      <c r="F38" s="6"/>
      <c r="G38" s="6"/>
      <c r="H38" s="6"/>
      <c r="J38" s="393"/>
      <c r="K38" s="390"/>
      <c r="L38" s="14">
        <v>2</v>
      </c>
      <c r="M38" s="15" t="s">
        <v>292</v>
      </c>
      <c r="N38" s="14">
        <f>VLOOKUP(M38,'Nilai Kurikulum 2013'!$E$4:$I$176,2,FALSE)</f>
        <v>3</v>
      </c>
      <c r="O38" s="14" t="str">
        <f t="shared" si="0"/>
        <v>AIF292-3</v>
      </c>
      <c r="P38" s="16" t="str">
        <f>VLOOKUP(M38,'Nilai Kurikulum 2013'!$E$4:$I$176,5,FALSE)</f>
        <v>Desain dan Analisis Algoritma</v>
      </c>
      <c r="Q38" s="39"/>
    </row>
    <row r="39" spans="1:17" x14ac:dyDescent="0.25">
      <c r="A39" s="6" t="s">
        <v>688</v>
      </c>
      <c r="B39" s="6" t="s">
        <v>329</v>
      </c>
      <c r="C39" s="6" t="s">
        <v>58</v>
      </c>
      <c r="D39" s="6">
        <v>131</v>
      </c>
      <c r="E39" s="6"/>
      <c r="F39" s="6"/>
      <c r="G39" s="6"/>
      <c r="H39" s="6"/>
      <c r="J39" s="393"/>
      <c r="K39" s="390"/>
      <c r="L39" s="14">
        <v>3</v>
      </c>
      <c r="M39" s="15" t="s">
        <v>293</v>
      </c>
      <c r="N39" s="14">
        <f>VLOOKUP(M39,'Nilai Kurikulum 2013'!$E$4:$I$176,2,FALSE)</f>
        <v>4</v>
      </c>
      <c r="O39" s="14" t="str">
        <f t="shared" si="0"/>
        <v>AIF204-4</v>
      </c>
      <c r="P39" s="16" t="str">
        <f>VLOOKUP(M39,'Nilai Kurikulum 2013'!$E$4:$I$176,5,FALSE)</f>
        <v>Manajemen Informasi dan Basisdata</v>
      </c>
      <c r="Q39" s="39"/>
    </row>
    <row r="40" spans="1:17" x14ac:dyDescent="0.25">
      <c r="A40" s="6" t="s">
        <v>689</v>
      </c>
      <c r="B40" s="6" t="s">
        <v>331</v>
      </c>
      <c r="C40" s="6" t="s">
        <v>58</v>
      </c>
      <c r="D40" s="6">
        <v>141</v>
      </c>
      <c r="E40" s="6"/>
      <c r="F40" s="6"/>
      <c r="G40" s="6"/>
      <c r="H40" s="6"/>
      <c r="J40" s="393"/>
      <c r="K40" s="390"/>
      <c r="L40" s="14">
        <v>4</v>
      </c>
      <c r="M40" s="15" t="s">
        <v>295</v>
      </c>
      <c r="N40" s="14">
        <f>VLOOKUP(M40,'Nilai Kurikulum 2013'!$E$4:$I$176,2,FALSE)</f>
        <v>3</v>
      </c>
      <c r="O40" s="14" t="str">
        <f t="shared" si="0"/>
        <v>AIF294-3</v>
      </c>
      <c r="P40" s="16" t="str">
        <f>VLOOKUP(M40,'Nilai Kurikulum 2013'!$E$4:$I$176,5,FALSE)</f>
        <v>Manajemen Informasi dan Basisdata</v>
      </c>
      <c r="Q40" s="39"/>
    </row>
    <row r="41" spans="1:17" x14ac:dyDescent="0.25">
      <c r="A41" s="6" t="s">
        <v>690</v>
      </c>
      <c r="B41" s="6" t="s">
        <v>357</v>
      </c>
      <c r="C41" s="6" t="s">
        <v>58</v>
      </c>
      <c r="D41" s="6">
        <v>141</v>
      </c>
      <c r="E41" s="6"/>
      <c r="F41" s="6"/>
      <c r="G41" s="6"/>
      <c r="H41" s="6"/>
      <c r="J41" s="393"/>
      <c r="K41" s="390"/>
      <c r="L41" s="14">
        <v>5</v>
      </c>
      <c r="M41" s="15" t="s">
        <v>109</v>
      </c>
      <c r="N41" s="14">
        <f>VLOOKUP(M41,'Nilai Kurikulum 2013'!$E$4:$I$176,2,FALSE)</f>
        <v>4</v>
      </c>
      <c r="O41" s="14" t="str">
        <f t="shared" si="0"/>
        <v>AIF206-4</v>
      </c>
      <c r="P41" s="16" t="str">
        <f>VLOOKUP(M41,'Nilai Kurikulum 2013'!$E$4:$I$176,5,FALSE)</f>
        <v>Sistem Operasi</v>
      </c>
      <c r="Q41" s="39"/>
    </row>
    <row r="42" spans="1:17" x14ac:dyDescent="0.25">
      <c r="A42" s="6" t="s">
        <v>691</v>
      </c>
      <c r="B42" s="6" t="s">
        <v>335</v>
      </c>
      <c r="C42" s="6" t="s">
        <v>59</v>
      </c>
      <c r="D42" s="6">
        <v>142</v>
      </c>
      <c r="E42" s="6"/>
      <c r="F42" s="6"/>
      <c r="G42" s="6"/>
      <c r="H42" s="6"/>
      <c r="J42" s="393"/>
      <c r="K42" s="390"/>
      <c r="L42" s="14">
        <v>6</v>
      </c>
      <c r="M42" s="15" t="s">
        <v>298</v>
      </c>
      <c r="N42" s="14">
        <f>VLOOKUP(M42,'Nilai Kurikulum 2013'!$E$4:$I$176,2,FALSE)</f>
        <v>4</v>
      </c>
      <c r="O42" s="14" t="str">
        <f t="shared" si="0"/>
        <v>AIF208-4</v>
      </c>
      <c r="P42" s="16" t="str">
        <f>VLOOKUP(M42,'Nilai Kurikulum 2013'!$E$4:$I$176,5,FALSE)</f>
        <v>Rekayasa Perangkat Lunak</v>
      </c>
      <c r="Q42" s="39"/>
    </row>
    <row r="43" spans="1:17" ht="15.75" thickBot="1" x14ac:dyDescent="0.3">
      <c r="A43" s="6" t="s">
        <v>692</v>
      </c>
      <c r="B43" s="6" t="s">
        <v>341</v>
      </c>
      <c r="C43" s="6" t="s">
        <v>58</v>
      </c>
      <c r="D43" s="6">
        <v>142</v>
      </c>
      <c r="E43" s="6"/>
      <c r="F43" s="6"/>
      <c r="G43" s="6"/>
      <c r="H43" s="6"/>
      <c r="J43" s="393"/>
      <c r="K43" s="395"/>
      <c r="L43" s="18">
        <v>7</v>
      </c>
      <c r="M43" s="25" t="s">
        <v>300</v>
      </c>
      <c r="N43" s="18">
        <f>VLOOKUP(M43,'Nilai Kurikulum 2013'!$E$4:$I$176,2,FALSE)</f>
        <v>2</v>
      </c>
      <c r="O43" s="18" t="str">
        <f t="shared" si="0"/>
        <v>AIF210-2</v>
      </c>
      <c r="P43" s="27" t="str">
        <f>VLOOKUP(M43,'Nilai Kurikulum 2013'!$E$4:$I$176,5,FALSE)</f>
        <v>Interaksi Manusia Komputer</v>
      </c>
      <c r="Q43" s="42"/>
    </row>
    <row r="44" spans="1:17" x14ac:dyDescent="0.25">
      <c r="A44" s="6" t="s">
        <v>693</v>
      </c>
      <c r="B44" s="6" t="s">
        <v>372</v>
      </c>
      <c r="C44" s="6" t="s">
        <v>59</v>
      </c>
      <c r="D44" s="6">
        <v>142</v>
      </c>
      <c r="E44" s="6"/>
      <c r="F44" s="6"/>
      <c r="G44" s="6"/>
      <c r="H44" s="6"/>
      <c r="J44" s="393"/>
      <c r="K44" s="390">
        <v>5</v>
      </c>
      <c r="L44" s="11">
        <v>1</v>
      </c>
      <c r="M44" s="12" t="s">
        <v>303</v>
      </c>
      <c r="N44" s="11">
        <f>VLOOKUP(M44,'Nilai Kurikulum 2013'!$E$4:$I$176,2,FALSE)</f>
        <v>3</v>
      </c>
      <c r="O44" s="11" t="str">
        <f t="shared" si="0"/>
        <v>AIF301-3</v>
      </c>
      <c r="P44" s="28" t="str">
        <f>VLOOKUP(M44,'Nilai Kurikulum 2013'!$E$4:$I$176,5,FALSE)</f>
        <v xml:space="preserve">Pengantar Sistem Cerdas </v>
      </c>
      <c r="Q44" s="43"/>
    </row>
    <row r="45" spans="1:17" x14ac:dyDescent="0.25">
      <c r="A45" s="6" t="s">
        <v>694</v>
      </c>
      <c r="B45" s="6" t="s">
        <v>695</v>
      </c>
      <c r="C45" s="6" t="s">
        <v>57</v>
      </c>
      <c r="D45" s="6">
        <v>152</v>
      </c>
      <c r="E45" s="6"/>
      <c r="F45" s="6"/>
      <c r="G45" s="6"/>
      <c r="H45" s="6"/>
      <c r="J45" s="393"/>
      <c r="K45" s="390"/>
      <c r="L45" s="14">
        <v>2</v>
      </c>
      <c r="M45" s="15" t="s">
        <v>115</v>
      </c>
      <c r="N45" s="14">
        <f>VLOOKUP(M45,'Nilai Kurikulum 2013'!$E$4:$I$176,2,FALSE)</f>
        <v>3</v>
      </c>
      <c r="O45" s="14" t="str">
        <f t="shared" si="0"/>
        <v>AIF303-3</v>
      </c>
      <c r="P45" s="17" t="str">
        <f>VLOOKUP(M45,'Nilai Kurikulum 2013'!$E$4:$I$176,5,FALSE)</f>
        <v xml:space="preserve">Pengantar Sistem Informasi </v>
      </c>
      <c r="Q45" s="39"/>
    </row>
    <row r="46" spans="1:17" x14ac:dyDescent="0.25">
      <c r="A46" s="6" t="s">
        <v>696</v>
      </c>
      <c r="B46" s="6" t="s">
        <v>381</v>
      </c>
      <c r="C46" s="6" t="s">
        <v>58</v>
      </c>
      <c r="D46" s="6">
        <v>142</v>
      </c>
      <c r="E46" s="6"/>
      <c r="F46" s="6"/>
      <c r="G46" s="6"/>
      <c r="H46" s="6"/>
      <c r="J46" s="393"/>
      <c r="K46" s="390"/>
      <c r="L46" s="14">
        <v>3</v>
      </c>
      <c r="M46" s="15" t="s">
        <v>116</v>
      </c>
      <c r="N46" s="14">
        <f>VLOOKUP(M46,'Nilai Kurikulum 2013'!$E$4:$I$176,2,FALSE)</f>
        <v>4</v>
      </c>
      <c r="O46" s="14" t="str">
        <f t="shared" si="0"/>
        <v>AIF305-4</v>
      </c>
      <c r="P46" s="17" t="str">
        <f>VLOOKUP(M46,'Nilai Kurikulum 2013'!$E$4:$I$176,5,FALSE)</f>
        <v xml:space="preserve">Jaringan Komputer </v>
      </c>
      <c r="Q46" s="39"/>
    </row>
    <row r="47" spans="1:17" ht="15.75" thickBot="1" x14ac:dyDescent="0.3">
      <c r="A47" s="6" t="s">
        <v>697</v>
      </c>
      <c r="B47" s="6" t="s">
        <v>395</v>
      </c>
      <c r="C47" s="6" t="s">
        <v>58</v>
      </c>
      <c r="D47" s="6">
        <v>132</v>
      </c>
      <c r="E47" s="6"/>
      <c r="F47" s="6"/>
      <c r="G47" s="6"/>
      <c r="H47" s="6"/>
      <c r="J47" s="393"/>
      <c r="K47" s="395"/>
      <c r="L47" s="18">
        <v>4</v>
      </c>
      <c r="M47" s="25" t="s">
        <v>117</v>
      </c>
      <c r="N47" s="18">
        <f>VLOOKUP(M47,'Nilai Kurikulum 2013'!$E$4:$I$176,2,FALSE)</f>
        <v>2</v>
      </c>
      <c r="O47" s="18" t="str">
        <f t="shared" si="0"/>
        <v>MKU002-2</v>
      </c>
      <c r="P47" s="26" t="str">
        <f>VLOOKUP(M47,'Nilai Kurikulum 2013'!$E$4:$I$176,5,FALSE)</f>
        <v>Pendidikan Kewarganegaraan</v>
      </c>
      <c r="Q47" s="42"/>
    </row>
    <row r="48" spans="1:17" x14ac:dyDescent="0.25">
      <c r="A48" s="6" t="s">
        <v>698</v>
      </c>
      <c r="B48" s="6" t="s">
        <v>401</v>
      </c>
      <c r="C48" s="6" t="s">
        <v>59</v>
      </c>
      <c r="D48" s="6">
        <v>151</v>
      </c>
      <c r="E48" s="6"/>
      <c r="F48" s="6"/>
      <c r="G48" s="6"/>
      <c r="H48" s="6"/>
      <c r="J48" s="393"/>
      <c r="K48" s="390">
        <v>6</v>
      </c>
      <c r="L48" s="11">
        <v>1</v>
      </c>
      <c r="M48" s="12" t="s">
        <v>114</v>
      </c>
      <c r="N48" s="11">
        <f>VLOOKUP(M48,'Nilai Kurikulum 2013'!$E$4:$I$176,2,FALSE)</f>
        <v>2</v>
      </c>
      <c r="O48" s="11" t="str">
        <f t="shared" si="0"/>
        <v>AIF302-2</v>
      </c>
      <c r="P48" s="28" t="str">
        <f>VLOOKUP(M48,'Nilai Kurikulum 2013'!$E$4:$I$176,5,FALSE)</f>
        <v xml:space="preserve">Penulisan Ilmiah </v>
      </c>
      <c r="Q48" s="43"/>
    </row>
    <row r="49" spans="1:17" x14ac:dyDescent="0.25">
      <c r="A49" s="6" t="s">
        <v>699</v>
      </c>
      <c r="B49" s="6" t="s">
        <v>406</v>
      </c>
      <c r="C49" s="6" t="s">
        <v>58</v>
      </c>
      <c r="D49" s="6">
        <v>151</v>
      </c>
      <c r="E49" s="6"/>
      <c r="F49" s="6"/>
      <c r="G49" s="6"/>
      <c r="H49" s="6"/>
      <c r="J49" s="393"/>
      <c r="K49" s="390"/>
      <c r="L49" s="14">
        <v>2</v>
      </c>
      <c r="M49" s="15" t="s">
        <v>309</v>
      </c>
      <c r="N49" s="14">
        <f>VLOOKUP(M49,'Nilai Kurikulum 2013'!$E$4:$I$176,2,FALSE)</f>
        <v>3</v>
      </c>
      <c r="O49" s="14" t="str">
        <f t="shared" si="0"/>
        <v>AIF304-3</v>
      </c>
      <c r="P49" s="17" t="str">
        <f>VLOOKUP(M49,'Nilai Kurikulum 2013'!$E$4:$I$176,5,FALSE)</f>
        <v>Proyek Sistem Informasi 1</v>
      </c>
      <c r="Q49" s="39"/>
    </row>
    <row r="50" spans="1:17" x14ac:dyDescent="0.25">
      <c r="A50" s="6" t="s">
        <v>700</v>
      </c>
      <c r="B50" s="6" t="s">
        <v>421</v>
      </c>
      <c r="C50" s="6" t="s">
        <v>57</v>
      </c>
      <c r="D50" s="6">
        <v>152</v>
      </c>
      <c r="E50" s="6"/>
      <c r="F50" s="6"/>
      <c r="G50" s="6"/>
      <c r="H50" s="6"/>
      <c r="J50" s="393"/>
      <c r="K50" s="390"/>
      <c r="L50" s="14">
        <v>3</v>
      </c>
      <c r="M50" s="15" t="s">
        <v>311</v>
      </c>
      <c r="N50" s="14">
        <f>VLOOKUP(M50,'Nilai Kurikulum 2013'!$E$4:$I$176,2,FALSE)</f>
        <v>3</v>
      </c>
      <c r="O50" s="14" t="str">
        <f t="shared" si="0"/>
        <v>AIF405-3</v>
      </c>
      <c r="P50" s="17" t="str">
        <f>VLOOKUP(M50,'Nilai Kurikulum 2013'!$E$4:$I$176,5,FALSE)</f>
        <v>Proyek Sistem Informasi 2</v>
      </c>
      <c r="Q50" s="39"/>
    </row>
    <row r="51" spans="1:17" x14ac:dyDescent="0.25">
      <c r="A51" s="6" t="s">
        <v>701</v>
      </c>
      <c r="B51" s="6" t="s">
        <v>426</v>
      </c>
      <c r="C51" s="6" t="s">
        <v>57</v>
      </c>
      <c r="D51" s="6">
        <v>152</v>
      </c>
      <c r="E51" s="6"/>
      <c r="F51" s="6"/>
      <c r="G51" s="6"/>
      <c r="H51" s="6"/>
      <c r="J51" s="393"/>
      <c r="K51" s="390"/>
      <c r="L51" s="14">
        <v>4</v>
      </c>
      <c r="M51" s="15" t="s">
        <v>313</v>
      </c>
      <c r="N51" s="14">
        <f>VLOOKUP(M51,'Nilai Kurikulum 2013'!$E$4:$I$176,2,FALSE)</f>
        <v>6</v>
      </c>
      <c r="O51" s="14" t="str">
        <f t="shared" si="0"/>
        <v>AIF306-6</v>
      </c>
      <c r="P51" s="17" t="str">
        <f>VLOOKUP(M51,'Nilai Kurikulum 2013'!$E$4:$I$176,5,FALSE)</f>
        <v>Proyek Informatika</v>
      </c>
      <c r="Q51" s="39"/>
    </row>
    <row r="52" spans="1:17" ht="15.75" thickBot="1" x14ac:dyDescent="0.3">
      <c r="A52" s="6" t="s">
        <v>702</v>
      </c>
      <c r="B52" s="6" t="s">
        <v>427</v>
      </c>
      <c r="C52" s="6" t="s">
        <v>57</v>
      </c>
      <c r="D52" s="6">
        <v>152</v>
      </c>
      <c r="E52" s="6"/>
      <c r="F52" s="6"/>
      <c r="G52" s="6"/>
      <c r="H52" s="6"/>
      <c r="J52" s="393"/>
      <c r="K52" s="395"/>
      <c r="L52" s="18">
        <v>5</v>
      </c>
      <c r="M52" s="25" t="s">
        <v>315</v>
      </c>
      <c r="N52" s="18">
        <f>VLOOKUP(M52,'Nilai Kurikulum 2013'!$E$4:$I$176,2,FALSE)</f>
        <v>3</v>
      </c>
      <c r="O52" s="18" t="str">
        <f t="shared" si="0"/>
        <v>AIF396-3</v>
      </c>
      <c r="P52" s="27" t="str">
        <f>VLOOKUP(M52,'Nilai Kurikulum 2013'!$E$4:$I$176,5,FALSE)</f>
        <v>Proyek Informatika</v>
      </c>
      <c r="Q52" s="42"/>
    </row>
    <row r="53" spans="1:17" x14ac:dyDescent="0.25">
      <c r="A53" s="6"/>
      <c r="B53" s="6"/>
      <c r="C53" s="6"/>
      <c r="D53" s="6"/>
      <c r="E53" s="6"/>
      <c r="F53" s="6"/>
      <c r="G53" s="6"/>
      <c r="H53" s="6"/>
      <c r="J53" s="393"/>
      <c r="K53" s="390">
        <v>7</v>
      </c>
      <c r="L53" s="11">
        <v>1</v>
      </c>
      <c r="M53" s="12" t="s">
        <v>316</v>
      </c>
      <c r="N53" s="11">
        <f>VLOOKUP(M53,'Nilai Kurikulum 2013'!$E$4:$I$176,2,FALSE)</f>
        <v>4</v>
      </c>
      <c r="O53" s="11" t="str">
        <f t="shared" si="0"/>
        <v>AIF401-4</v>
      </c>
      <c r="P53" s="13" t="str">
        <f>VLOOKUP(M53,'Nilai Kurikulum 2013'!$E$4:$I$176,5,FALSE)</f>
        <v>Skripsi 1</v>
      </c>
      <c r="Q53" s="43"/>
    </row>
    <row r="54" spans="1:17" x14ac:dyDescent="0.25">
      <c r="A54" s="6"/>
      <c r="B54" s="6"/>
      <c r="C54" s="6"/>
      <c r="D54" s="6"/>
      <c r="E54" s="6"/>
      <c r="F54" s="6"/>
      <c r="G54" s="6"/>
      <c r="H54" s="6"/>
      <c r="J54" s="393"/>
      <c r="K54" s="390"/>
      <c r="L54" s="14">
        <v>2</v>
      </c>
      <c r="M54" s="15" t="s">
        <v>318</v>
      </c>
      <c r="N54" s="14">
        <f>VLOOKUP(M54,'Nilai Kurikulum 2013'!$E$4:$I$176,2,FALSE)</f>
        <v>2</v>
      </c>
      <c r="O54" s="14" t="str">
        <f t="shared" si="0"/>
        <v>AIF491-2</v>
      </c>
      <c r="P54" s="17" t="str">
        <f>VLOOKUP(M54,'Nilai Kurikulum 2013'!$E$4:$I$176,5,FALSE)</f>
        <v>Skripsi 1</v>
      </c>
      <c r="Q54" s="39"/>
    </row>
    <row r="55" spans="1:17" ht="15.75" thickBot="1" x14ac:dyDescent="0.3">
      <c r="A55" s="6"/>
      <c r="B55" s="6"/>
      <c r="C55" s="6"/>
      <c r="D55" s="6"/>
      <c r="E55" s="6"/>
      <c r="F55" s="6"/>
      <c r="G55" s="6"/>
      <c r="H55" s="6"/>
      <c r="J55" s="393"/>
      <c r="K55" s="395"/>
      <c r="L55" s="18">
        <v>3</v>
      </c>
      <c r="M55" s="25" t="s">
        <v>319</v>
      </c>
      <c r="N55" s="18">
        <f>VLOOKUP(M55,'Nilai Kurikulum 2013'!$E$4:$I$176,2,FALSE)</f>
        <v>2</v>
      </c>
      <c r="O55" s="18" t="str">
        <f t="shared" si="0"/>
        <v>AIF403-2</v>
      </c>
      <c r="P55" s="26" t="str">
        <f>VLOOKUP(M55,'Nilai Kurikulum 2013'!$E$4:$I$176,5,FALSE)</f>
        <v xml:space="preserve">Komputer dan Masyarakat </v>
      </c>
      <c r="Q55" s="42"/>
    </row>
    <row r="56" spans="1:17" x14ac:dyDescent="0.25">
      <c r="A56" s="6"/>
      <c r="B56" s="6"/>
      <c r="C56" s="6"/>
      <c r="D56" s="6"/>
      <c r="E56" s="6"/>
      <c r="F56" s="6"/>
      <c r="G56" s="6"/>
      <c r="H56" s="6"/>
      <c r="J56" s="393"/>
      <c r="K56" s="390">
        <v>8</v>
      </c>
      <c r="L56" s="11">
        <v>1</v>
      </c>
      <c r="M56" s="12" t="s">
        <v>321</v>
      </c>
      <c r="N56" s="11">
        <f>VLOOKUP(M56,'Nilai Kurikulum 2013'!$E$4:$I$176,2,FALSE)</f>
        <v>6</v>
      </c>
      <c r="O56" s="11" t="str">
        <f t="shared" si="0"/>
        <v>AIF402-6</v>
      </c>
      <c r="P56" s="28" t="str">
        <f>VLOOKUP(M56,'Nilai Kurikulum 2013'!$E$4:$I$176,5,FALSE)</f>
        <v>Skripsi 2</v>
      </c>
      <c r="Q56" s="43"/>
    </row>
    <row r="57" spans="1:17" x14ac:dyDescent="0.25">
      <c r="A57" s="6"/>
      <c r="B57" s="6"/>
      <c r="C57" s="6"/>
      <c r="D57" s="6"/>
      <c r="E57" s="6"/>
      <c r="F57" s="6"/>
      <c r="G57" s="6"/>
      <c r="H57" s="6"/>
      <c r="J57" s="393"/>
      <c r="K57" s="390"/>
      <c r="L57" s="14">
        <v>2</v>
      </c>
      <c r="M57" s="15" t="s">
        <v>323</v>
      </c>
      <c r="N57" s="14">
        <f>VLOOKUP(M57,'Nilai Kurikulum 2013'!$E$4:$I$176,2,FALSE)</f>
        <v>4</v>
      </c>
      <c r="O57" s="14" t="str">
        <f t="shared" si="0"/>
        <v>AIF492-4</v>
      </c>
      <c r="P57" s="17" t="str">
        <f>VLOOKUP(M57,'Nilai Kurikulum 2013'!$E$4:$I$176,5,FALSE)</f>
        <v>Skripsi 2</v>
      </c>
      <c r="Q57" s="39"/>
    </row>
    <row r="58" spans="1:17" ht="15.75" thickBot="1" x14ac:dyDescent="0.3">
      <c r="A58" s="6"/>
      <c r="B58" s="6"/>
      <c r="C58" s="6"/>
      <c r="D58" s="6"/>
      <c r="E58" s="6"/>
      <c r="F58" s="6"/>
      <c r="G58" s="6"/>
      <c r="H58" s="6"/>
      <c r="J58" s="393"/>
      <c r="K58" s="391"/>
      <c r="L58" s="29">
        <v>3</v>
      </c>
      <c r="M58" s="30" t="s">
        <v>324</v>
      </c>
      <c r="N58" s="29">
        <f>VLOOKUP(M58,'Nilai Kurikulum 2013'!$E$4:$I$176,2,FALSE)</f>
        <v>2</v>
      </c>
      <c r="O58" s="29" t="str">
        <f t="shared" si="0"/>
        <v>APS402-2</v>
      </c>
      <c r="P58" s="31" t="str">
        <f>VLOOKUP(M58,'Nilai Kurikulum 2013'!$E$4:$I$176,5,FALSE)</f>
        <v xml:space="preserve">Etika Profesi </v>
      </c>
      <c r="Q58" s="44"/>
    </row>
    <row r="59" spans="1:17" ht="15.75" thickTop="1" x14ac:dyDescent="0.25">
      <c r="A59" s="6"/>
      <c r="B59" s="6"/>
      <c r="C59" s="6"/>
      <c r="D59" s="6"/>
      <c r="E59" s="6"/>
      <c r="F59" s="6"/>
      <c r="G59" s="6"/>
      <c r="H59" s="6"/>
      <c r="J59" s="392" t="s">
        <v>53</v>
      </c>
      <c r="K59" s="389">
        <v>5</v>
      </c>
      <c r="L59" s="11">
        <v>1</v>
      </c>
      <c r="M59" s="12" t="s">
        <v>326</v>
      </c>
      <c r="N59" s="11">
        <f>VLOOKUP(M59,'Nilai Kurikulum 2013'!$E$4:$I$176,2,FALSE)</f>
        <v>2</v>
      </c>
      <c r="O59" s="11" t="str">
        <f t="shared" si="0"/>
        <v>AIF311-2</v>
      </c>
      <c r="P59" s="28" t="str">
        <f>VLOOKUP(M59,'Nilai Kurikulum 2013'!$E$4:$I$176,5,FALSE)</f>
        <v>Pemrograman Fungsional</v>
      </c>
      <c r="Q59" s="43"/>
    </row>
    <row r="60" spans="1:17" x14ac:dyDescent="0.25">
      <c r="A60" s="6"/>
      <c r="B60" s="6"/>
      <c r="C60" s="6"/>
      <c r="D60" s="6"/>
      <c r="E60" s="6"/>
      <c r="F60" s="6"/>
      <c r="G60" s="6"/>
      <c r="H60" s="6"/>
      <c r="J60" s="393"/>
      <c r="K60" s="390"/>
      <c r="L60" s="14">
        <v>2</v>
      </c>
      <c r="M60" s="15" t="s">
        <v>328</v>
      </c>
      <c r="N60" s="14">
        <f>VLOOKUP(M60,'Nilai Kurikulum 2013'!$E$4:$I$176,2,FALSE)</f>
        <v>2</v>
      </c>
      <c r="O60" s="14" t="str">
        <f t="shared" si="0"/>
        <v>AIF313-2</v>
      </c>
      <c r="P60" s="16" t="str">
        <f>VLOOKUP(M60,'Nilai Kurikulum 2013'!$E$4:$I$176,5,FALSE)</f>
        <v>Grafika Komputer</v>
      </c>
      <c r="Q60" s="39"/>
    </row>
    <row r="61" spans="1:17" x14ac:dyDescent="0.25">
      <c r="A61" s="6"/>
      <c r="B61" s="6"/>
      <c r="C61" s="6"/>
      <c r="D61" s="6"/>
      <c r="E61" s="6"/>
      <c r="F61" s="6"/>
      <c r="G61" s="6"/>
      <c r="H61" s="6"/>
      <c r="J61" s="393"/>
      <c r="K61" s="390"/>
      <c r="L61" s="14">
        <v>3</v>
      </c>
      <c r="M61" s="15" t="s">
        <v>330</v>
      </c>
      <c r="N61" s="14">
        <f>VLOOKUP(M61,'Nilai Kurikulum 2013'!$E$4:$I$176,2,FALSE)</f>
        <v>2</v>
      </c>
      <c r="O61" s="14" t="str">
        <f t="shared" si="0"/>
        <v>AIF315-2</v>
      </c>
      <c r="P61" s="16" t="str">
        <f>VLOOKUP(M61,'Nilai Kurikulum 2013'!$E$4:$I$176,5,FALSE)</f>
        <v>Pemrograman Berbasis Web</v>
      </c>
      <c r="Q61" s="39"/>
    </row>
    <row r="62" spans="1:17" ht="15.75" thickBot="1" x14ac:dyDescent="0.3">
      <c r="A62" s="6"/>
      <c r="B62" s="6"/>
      <c r="C62" s="6"/>
      <c r="D62" s="6"/>
      <c r="E62" s="6"/>
      <c r="F62" s="6"/>
      <c r="G62" s="6"/>
      <c r="H62" s="6"/>
      <c r="J62" s="393"/>
      <c r="K62" s="395"/>
      <c r="L62" s="18">
        <v>4</v>
      </c>
      <c r="M62" s="25" t="s">
        <v>332</v>
      </c>
      <c r="N62" s="18">
        <f>VLOOKUP(M62,'Nilai Kurikulum 2013'!$E$4:$I$176,2,FALSE)</f>
        <v>2</v>
      </c>
      <c r="O62" s="18" t="str">
        <f t="shared" si="0"/>
        <v>AIF317-2</v>
      </c>
      <c r="P62" s="27" t="str">
        <f>VLOOKUP(M62,'Nilai Kurikulum 2013'!$E$4:$I$176,5,FALSE)</f>
        <v>Desain Antarmuka Grafis</v>
      </c>
      <c r="Q62" s="42"/>
    </row>
    <row r="63" spans="1:17" x14ac:dyDescent="0.25">
      <c r="A63" s="6"/>
      <c r="B63" s="6"/>
      <c r="C63" s="6"/>
      <c r="D63" s="6"/>
      <c r="E63" s="6"/>
      <c r="F63" s="6"/>
      <c r="G63" s="6"/>
      <c r="H63" s="6"/>
      <c r="J63" s="393"/>
      <c r="K63" s="390">
        <v>6</v>
      </c>
      <c r="L63" s="11">
        <v>1</v>
      </c>
      <c r="M63" s="12" t="s">
        <v>334</v>
      </c>
      <c r="N63" s="11">
        <f>VLOOKUP(M63,'Nilai Kurikulum 2013'!$E$4:$I$176,2,FALSE)</f>
        <v>2</v>
      </c>
      <c r="O63" s="11" t="str">
        <f t="shared" si="0"/>
        <v>AIF312-2</v>
      </c>
      <c r="P63" s="13" t="str">
        <f>VLOOKUP(M63,'Nilai Kurikulum 2013'!$E$4:$I$176,5,FALSE)</f>
        <v>Keamanan Informasi</v>
      </c>
      <c r="Q63" s="43"/>
    </row>
    <row r="64" spans="1:17" x14ac:dyDescent="0.25">
      <c r="A64" s="6"/>
      <c r="B64" s="6"/>
      <c r="C64" s="6"/>
      <c r="D64" s="6"/>
      <c r="E64" s="6"/>
      <c r="F64" s="6"/>
      <c r="G64" s="6"/>
      <c r="H64" s="6"/>
      <c r="J64" s="393"/>
      <c r="K64" s="390"/>
      <c r="L64" s="14">
        <v>2</v>
      </c>
      <c r="M64" s="15" t="s">
        <v>336</v>
      </c>
      <c r="N64" s="14">
        <f>VLOOKUP(M64,'Nilai Kurikulum 2013'!$E$4:$I$176,2,FALSE)</f>
        <v>2</v>
      </c>
      <c r="O64" s="14" t="str">
        <f t="shared" si="0"/>
        <v>AIF314-2</v>
      </c>
      <c r="P64" s="16" t="str">
        <f>VLOOKUP(M64,'Nilai Kurikulum 2013'!$E$4:$I$176,5,FALSE)</f>
        <v>Pemrograman Basisdata</v>
      </c>
      <c r="Q64" s="39"/>
    </row>
    <row r="65" spans="1:17" x14ac:dyDescent="0.25">
      <c r="A65" s="6"/>
      <c r="B65" s="6"/>
      <c r="C65" s="6"/>
      <c r="D65" s="6"/>
      <c r="E65" s="6"/>
      <c r="F65" s="6"/>
      <c r="G65" s="6"/>
      <c r="H65" s="6"/>
      <c r="J65" s="393"/>
      <c r="K65" s="390"/>
      <c r="L65" s="14">
        <v>3</v>
      </c>
      <c r="M65" s="15" t="s">
        <v>338</v>
      </c>
      <c r="N65" s="14">
        <f>VLOOKUP(M65,'Nilai Kurikulum 2013'!$E$4:$I$176,2,FALSE)</f>
        <v>2</v>
      </c>
      <c r="O65" s="14" t="str">
        <f t="shared" si="0"/>
        <v>AIF316-2</v>
      </c>
      <c r="P65" s="17" t="str">
        <f>VLOOKUP(M65,'Nilai Kurikulum 2013'!$E$4:$I$176,5,FALSE)</f>
        <v>Komputasi Paralel</v>
      </c>
      <c r="Q65" s="39"/>
    </row>
    <row r="66" spans="1:17" ht="15.75" thickBot="1" x14ac:dyDescent="0.3">
      <c r="A66" s="6"/>
      <c r="B66" s="6"/>
      <c r="C66" s="6"/>
      <c r="D66" s="6"/>
      <c r="E66" s="6"/>
      <c r="F66" s="6"/>
      <c r="G66" s="6"/>
      <c r="H66" s="6"/>
      <c r="J66" s="393"/>
      <c r="K66" s="391"/>
      <c r="L66" s="29">
        <v>4</v>
      </c>
      <c r="M66" s="30" t="s">
        <v>340</v>
      </c>
      <c r="N66" s="29">
        <f>VLOOKUP(M66,'Nilai Kurikulum 2013'!$E$4:$I$176,2,FALSE)</f>
        <v>2</v>
      </c>
      <c r="O66" s="29" t="str">
        <f t="shared" si="0"/>
        <v>AIF318-2</v>
      </c>
      <c r="P66" s="31" t="str">
        <f>VLOOKUP(M66,'Nilai Kurikulum 2013'!$E$4:$I$176,5,FALSE)</f>
        <v>Pemrograman Aplikasi Bergerak</v>
      </c>
      <c r="Q66" s="44"/>
    </row>
    <row r="67" spans="1:17" ht="15.75" thickTop="1" x14ac:dyDescent="0.25">
      <c r="A67" s="6"/>
      <c r="B67" s="6"/>
      <c r="C67" s="6"/>
      <c r="D67" s="6"/>
      <c r="E67" s="6"/>
      <c r="F67" s="6"/>
      <c r="G67" s="6"/>
      <c r="H67" s="6"/>
      <c r="J67" s="392" t="s">
        <v>54</v>
      </c>
      <c r="K67" s="389">
        <v>1</v>
      </c>
      <c r="L67" s="11">
        <v>1</v>
      </c>
      <c r="M67" s="12" t="s">
        <v>122</v>
      </c>
      <c r="N67" s="11">
        <f>VLOOKUP(M67,'Nilai Kurikulum 2013'!$E$4:$I$176,2,FALSE)</f>
        <v>3</v>
      </c>
      <c r="O67" s="11" t="str">
        <f t="shared" si="0"/>
        <v>AIF181-3</v>
      </c>
      <c r="P67" s="28" t="str">
        <f>VLOOKUP(M67,'Nilai Kurikulum 2013'!$E$4:$I$176,5,FALSE)</f>
        <v>Dasar - Dasar Pemrograman</v>
      </c>
      <c r="Q67" s="43"/>
    </row>
    <row r="68" spans="1:17" x14ac:dyDescent="0.25">
      <c r="A68" s="6"/>
      <c r="B68" s="6"/>
      <c r="C68" s="6"/>
      <c r="D68" s="6"/>
      <c r="E68" s="6"/>
      <c r="F68" s="6"/>
      <c r="G68" s="6"/>
      <c r="H68" s="6"/>
      <c r="J68" s="393"/>
      <c r="K68" s="390"/>
      <c r="L68" s="14">
        <v>2</v>
      </c>
      <c r="M68" s="15" t="s">
        <v>123</v>
      </c>
      <c r="N68" s="14">
        <f>VLOOKUP(M68,'Nilai Kurikulum 2013'!$E$4:$I$176,2,FALSE)</f>
        <v>4</v>
      </c>
      <c r="O68" s="14" t="str">
        <f t="shared" si="0"/>
        <v>AIF183-4</v>
      </c>
      <c r="P68" s="17" t="str">
        <f>VLOOKUP(M68,'Nilai Kurikulum 2013'!$E$4:$I$176,5,FALSE)</f>
        <v>Pemrograman Prosedural</v>
      </c>
      <c r="Q68" s="39"/>
    </row>
    <row r="69" spans="1:17" ht="15.75" thickBot="1" x14ac:dyDescent="0.3">
      <c r="A69" s="6"/>
      <c r="B69" s="6"/>
      <c r="C69" s="6"/>
      <c r="D69" s="6"/>
      <c r="E69" s="6"/>
      <c r="F69" s="6"/>
      <c r="G69" s="6"/>
      <c r="H69" s="6"/>
      <c r="J69" s="393"/>
      <c r="K69" s="395"/>
      <c r="L69" s="18">
        <v>3</v>
      </c>
      <c r="M69" s="25" t="s">
        <v>124</v>
      </c>
      <c r="N69" s="18">
        <f>VLOOKUP(M69,'Nilai Kurikulum 2013'!$E$4:$I$176,2,FALSE)</f>
        <v>3</v>
      </c>
      <c r="O69" s="18" t="str">
        <f t="shared" si="0"/>
        <v>APS182-3</v>
      </c>
      <c r="P69" s="26" t="str">
        <f>VLOOKUP(M69,'Nilai Kurikulum 2013'!$E$4:$I$176,5,FALSE)</f>
        <v>Fisika Dasar</v>
      </c>
      <c r="Q69" s="42"/>
    </row>
    <row r="70" spans="1:17" x14ac:dyDescent="0.25">
      <c r="A70" s="6"/>
      <c r="B70" s="6"/>
      <c r="C70" s="6"/>
      <c r="D70" s="6"/>
      <c r="E70" s="6"/>
      <c r="F70" s="6"/>
      <c r="G70" s="6"/>
      <c r="H70" s="6"/>
      <c r="J70" s="393"/>
      <c r="K70" s="390">
        <v>2</v>
      </c>
      <c r="L70" s="11">
        <v>1</v>
      </c>
      <c r="M70" s="12" t="s">
        <v>125</v>
      </c>
      <c r="N70" s="11">
        <f>VLOOKUP(M70,'Nilai Kurikulum 2013'!$E$4:$I$176,2,FALSE)</f>
        <v>2</v>
      </c>
      <c r="O70" s="11" t="str">
        <f t="shared" si="0"/>
        <v>AIF182-2</v>
      </c>
      <c r="P70" s="28" t="str">
        <f>VLOOKUP(M70,'Nilai Kurikulum 2013'!$E$4:$I$176,5,FALSE)</f>
        <v>Pengantar Basisdata</v>
      </c>
      <c r="Q70" s="43"/>
    </row>
    <row r="71" spans="1:17" x14ac:dyDescent="0.25">
      <c r="A71" s="6"/>
      <c r="B71" s="6"/>
      <c r="C71" s="6"/>
      <c r="D71" s="6"/>
      <c r="E71" s="6"/>
      <c r="F71" s="6"/>
      <c r="G71" s="6"/>
      <c r="H71" s="6"/>
      <c r="J71" s="393"/>
      <c r="K71" s="390"/>
      <c r="L71" s="14">
        <v>2</v>
      </c>
      <c r="M71" s="15" t="s">
        <v>126</v>
      </c>
      <c r="N71" s="14">
        <f>VLOOKUP(M71,'Nilai Kurikulum 2013'!$E$4:$I$176,2,FALSE)</f>
        <v>4</v>
      </c>
      <c r="O71" s="14" t="str">
        <f t="shared" si="0"/>
        <v>AMS191-4</v>
      </c>
      <c r="P71" s="17" t="str">
        <f>VLOOKUP(M71,'Nilai Kurikulum 2013'!$E$4:$I$176,5,FALSE)</f>
        <v>Kalkulus</v>
      </c>
      <c r="Q71" s="39"/>
    </row>
    <row r="72" spans="1:17" x14ac:dyDescent="0.25">
      <c r="A72" s="6"/>
      <c r="B72" s="6"/>
      <c r="C72" s="6"/>
      <c r="D72" s="6"/>
      <c r="E72" s="6"/>
      <c r="F72" s="6"/>
      <c r="G72" s="6"/>
      <c r="H72" s="6"/>
      <c r="J72" s="393"/>
      <c r="K72" s="390"/>
      <c r="L72" s="14">
        <v>3</v>
      </c>
      <c r="M72" s="15" t="s">
        <v>127</v>
      </c>
      <c r="N72" s="14">
        <f>VLOOKUP(M72,'Nilai Kurikulum 2013'!$E$4:$I$176,2,FALSE)</f>
        <v>4</v>
      </c>
      <c r="O72" s="14" t="str">
        <f t="shared" si="0"/>
        <v>AMS192-4</v>
      </c>
      <c r="P72" s="17" t="str">
        <f>VLOOKUP(M72,'Nilai Kurikulum 2013'!$E$4:$I$176,5,FALSE)</f>
        <v>Kalkulus 2</v>
      </c>
      <c r="Q72" s="39"/>
    </row>
    <row r="73" spans="1:17" ht="15.75" thickBot="1" x14ac:dyDescent="0.3">
      <c r="A73" s="6"/>
      <c r="B73" s="6"/>
      <c r="C73" s="6"/>
      <c r="D73" s="6"/>
      <c r="E73" s="6"/>
      <c r="F73" s="6"/>
      <c r="G73" s="6"/>
      <c r="H73" s="6"/>
      <c r="J73" s="393"/>
      <c r="K73" s="395"/>
      <c r="L73" s="18">
        <v>4</v>
      </c>
      <c r="M73" s="26" t="s">
        <v>128</v>
      </c>
      <c r="N73" s="18">
        <f>VLOOKUP(M73,'Nilai Kurikulum 2013'!$E$4:$I$176,2,FALSE)</f>
        <v>3</v>
      </c>
      <c r="O73" s="18" t="str">
        <f t="shared" si="0"/>
        <v>AMS290-3</v>
      </c>
      <c r="P73" s="25" t="str">
        <f>VLOOKUP(M73,'Nilai Kurikulum 2013'!$E$4:$I$176,5,FALSE)</f>
        <v>Aljabar Linear dan Matriks</v>
      </c>
      <c r="Q73" s="42"/>
    </row>
    <row r="74" spans="1:17" ht="15.75" thickBot="1" x14ac:dyDescent="0.3">
      <c r="A74" s="6"/>
      <c r="B74" s="6"/>
      <c r="C74" s="6"/>
      <c r="D74" s="6"/>
      <c r="E74" s="6"/>
      <c r="F74" s="6"/>
      <c r="G74" s="6"/>
      <c r="H74" s="6"/>
      <c r="J74" s="393"/>
      <c r="K74" s="32">
        <v>3</v>
      </c>
      <c r="L74" s="32">
        <v>1</v>
      </c>
      <c r="M74" s="33" t="s">
        <v>129</v>
      </c>
      <c r="N74" s="32">
        <f>VLOOKUP(M74,'Nilai Kurikulum 2013'!$E$4:$I$176,2,FALSE)</f>
        <v>2</v>
      </c>
      <c r="O74" s="32" t="str">
        <f t="shared" si="0"/>
        <v>AIF281-2</v>
      </c>
      <c r="P74" s="34" t="str">
        <f>VLOOKUP(M74,'Nilai Kurikulum 2013'!$E$4:$I$176,5,FALSE)</f>
        <v>Pengenalan Bidang Ilmu TIK</v>
      </c>
      <c r="Q74" s="45"/>
    </row>
    <row r="75" spans="1:17" x14ac:dyDescent="0.25">
      <c r="A75" s="6"/>
      <c r="B75" s="6"/>
      <c r="C75" s="6"/>
      <c r="D75" s="6"/>
      <c r="E75" s="6"/>
      <c r="F75" s="6"/>
      <c r="G75" s="6"/>
      <c r="H75" s="6"/>
      <c r="J75" s="393"/>
      <c r="K75" s="390">
        <v>4</v>
      </c>
      <c r="L75" s="11">
        <v>1</v>
      </c>
      <c r="M75" s="12" t="s">
        <v>130</v>
      </c>
      <c r="N75" s="11">
        <f>VLOOKUP(M75,'Nilai Kurikulum 2013'!$E$4:$I$176,2,FALSE)</f>
        <v>1</v>
      </c>
      <c r="O75" s="11" t="str">
        <f t="shared" si="0"/>
        <v>AIF280-1</v>
      </c>
      <c r="P75" s="28" t="str">
        <f>VLOOKUP(M75,'Nilai Kurikulum 2013'!$E$4:$I$176,5,FALSE)</f>
        <v>Praktika Interaksi Manusia Komputer</v>
      </c>
      <c r="Q75" s="43"/>
    </row>
    <row r="76" spans="1:17" ht="15.75" thickBot="1" x14ac:dyDescent="0.3">
      <c r="A76" s="6"/>
      <c r="B76" s="6"/>
      <c r="C76" s="6"/>
      <c r="D76" s="6"/>
      <c r="E76" s="6"/>
      <c r="F76" s="6"/>
      <c r="G76" s="6"/>
      <c r="H76" s="6"/>
      <c r="J76" s="393"/>
      <c r="K76" s="390"/>
      <c r="L76" s="18">
        <v>2</v>
      </c>
      <c r="M76" s="25" t="s">
        <v>131</v>
      </c>
      <c r="N76" s="18">
        <f>VLOOKUP(M76,'Nilai Kurikulum 2013'!$E$4:$I$176,2,FALSE)</f>
        <v>3</v>
      </c>
      <c r="O76" s="18" t="str">
        <f t="shared" si="0"/>
        <v>AIF282-3</v>
      </c>
      <c r="P76" s="25" t="str">
        <f>VLOOKUP(M76,'Nilai Kurikulum 2013'!$E$4:$I$176,5,FALSE)</f>
        <v>Algoritma &amp; Struktur Data Lanjut</v>
      </c>
      <c r="Q76" s="42"/>
    </row>
    <row r="77" spans="1:17" x14ac:dyDescent="0.25">
      <c r="A77" s="6"/>
      <c r="B77" s="6"/>
      <c r="C77" s="6"/>
      <c r="D77" s="6"/>
      <c r="E77" s="6"/>
      <c r="F77" s="6"/>
      <c r="G77" s="6"/>
      <c r="H77" s="6"/>
      <c r="J77" s="393"/>
      <c r="K77" s="394">
        <v>5</v>
      </c>
      <c r="L77" s="11">
        <v>1</v>
      </c>
      <c r="M77" s="28" t="s">
        <v>132</v>
      </c>
      <c r="N77" s="11">
        <f>VLOOKUP(M77,'Nilai Kurikulum 2013'!$E$4:$I$176,2,FALSE)</f>
        <v>2</v>
      </c>
      <c r="O77" s="11" t="str">
        <f t="shared" si="0"/>
        <v>AIF331-2</v>
      </c>
      <c r="P77" s="12" t="str">
        <f>VLOOKUP(M77,'Nilai Kurikulum 2013'!$E$4:$I$176,5,FALSE)</f>
        <v>Topik Khusus Informatika 1</v>
      </c>
      <c r="Q77" s="43"/>
    </row>
    <row r="78" spans="1:17" x14ac:dyDescent="0.25">
      <c r="A78" s="6"/>
      <c r="B78" s="6"/>
      <c r="C78" s="6"/>
      <c r="D78" s="6"/>
      <c r="E78" s="6"/>
      <c r="F78" s="6"/>
      <c r="G78" s="6"/>
      <c r="H78" s="6"/>
      <c r="J78" s="393"/>
      <c r="K78" s="390"/>
      <c r="L78" s="14">
        <v>2</v>
      </c>
      <c r="M78" s="17" t="s">
        <v>133</v>
      </c>
      <c r="N78" s="14">
        <f>VLOOKUP(M78,'Nilai Kurikulum 2013'!$E$4:$I$176,2,FALSE)</f>
        <v>2</v>
      </c>
      <c r="O78" s="14" t="str">
        <f t="shared" si="0"/>
        <v>AIF333-2</v>
      </c>
      <c r="P78" s="15" t="str">
        <f>VLOOKUP(M78,'Nilai Kurikulum 2013'!$E$4:$I$176,5,FALSE)</f>
        <v>Topik Khusus Sistem Informasi 1</v>
      </c>
      <c r="Q78" s="39"/>
    </row>
    <row r="79" spans="1:17" x14ac:dyDescent="0.25">
      <c r="A79" s="6"/>
      <c r="B79" s="6"/>
      <c r="C79" s="6"/>
      <c r="D79" s="6"/>
      <c r="E79" s="6"/>
      <c r="F79" s="6"/>
      <c r="G79" s="6"/>
      <c r="H79" s="6"/>
      <c r="J79" s="393"/>
      <c r="K79" s="390"/>
      <c r="L79" s="14">
        <v>3</v>
      </c>
      <c r="M79" s="17" t="s">
        <v>134</v>
      </c>
      <c r="N79" s="14">
        <f>VLOOKUP(M79,'Nilai Kurikulum 2013'!$E$4:$I$176,2,FALSE)</f>
        <v>3</v>
      </c>
      <c r="O79" s="14" t="str">
        <f t="shared" si="0"/>
        <v>AIF335-3</v>
      </c>
      <c r="P79" s="15" t="str">
        <f>VLOOKUP(M79,'Nilai Kurikulum 2013'!$E$4:$I$176,5,FALSE)</f>
        <v>Pembelajaran Mesin</v>
      </c>
      <c r="Q79" s="39"/>
    </row>
    <row r="80" spans="1:17" x14ac:dyDescent="0.25">
      <c r="A80" s="6"/>
      <c r="B80" s="6"/>
      <c r="C80" s="6"/>
      <c r="D80" s="6"/>
      <c r="E80" s="6"/>
      <c r="F80" s="6"/>
      <c r="G80" s="6"/>
      <c r="H80" s="6"/>
      <c r="J80" s="393"/>
      <c r="K80" s="390"/>
      <c r="L80" s="14">
        <v>4</v>
      </c>
      <c r="M80" s="17" t="s">
        <v>135</v>
      </c>
      <c r="N80" s="14">
        <f>VLOOKUP(M80,'Nilai Kurikulum 2013'!$E$4:$I$176,2,FALSE)</f>
        <v>3</v>
      </c>
      <c r="O80" s="14" t="str">
        <f t="shared" ref="O80:O144" si="1">M80&amp;"-"&amp;N80</f>
        <v>AIF337-3</v>
      </c>
      <c r="P80" s="15" t="str">
        <f>VLOOKUP(M80,'Nilai Kurikulum 2013'!$E$4:$I$176,5,FALSE)</f>
        <v>Matematika Teknik</v>
      </c>
      <c r="Q80" s="39"/>
    </row>
    <row r="81" spans="1:17" x14ac:dyDescent="0.25">
      <c r="A81" s="6"/>
      <c r="B81" s="6"/>
      <c r="C81" s="6"/>
      <c r="D81" s="6"/>
      <c r="E81" s="6"/>
      <c r="F81" s="6"/>
      <c r="G81" s="6"/>
      <c r="H81" s="6"/>
      <c r="J81" s="393"/>
      <c r="K81" s="390"/>
      <c r="L81" s="14">
        <v>5</v>
      </c>
      <c r="M81" s="17" t="s">
        <v>136</v>
      </c>
      <c r="N81" s="14">
        <f>VLOOKUP(M81,'Nilai Kurikulum 2013'!$E$4:$I$176,2,FALSE)</f>
        <v>3</v>
      </c>
      <c r="O81" s="14" t="str">
        <f t="shared" si="1"/>
        <v>AIF339-3</v>
      </c>
      <c r="P81" s="15" t="str">
        <f>VLOOKUP(M81,'Nilai Kurikulum 2013'!$E$4:$I$176,5,FALSE)</f>
        <v>Pemodelan Formal</v>
      </c>
      <c r="Q81" s="39"/>
    </row>
    <row r="82" spans="1:17" x14ac:dyDescent="0.25">
      <c r="A82" s="6"/>
      <c r="B82" s="6"/>
      <c r="C82" s="6"/>
      <c r="D82" s="6"/>
      <c r="E82" s="6"/>
      <c r="F82" s="6"/>
      <c r="G82" s="6"/>
      <c r="H82" s="6"/>
      <c r="J82" s="393"/>
      <c r="K82" s="390"/>
      <c r="L82" s="14">
        <v>6</v>
      </c>
      <c r="M82" s="17" t="s">
        <v>137</v>
      </c>
      <c r="N82" s="14">
        <f>VLOOKUP(M82,'Nilai Kurikulum 2013'!$E$4:$I$176,2,FALSE)</f>
        <v>3</v>
      </c>
      <c r="O82" s="14" t="str">
        <f t="shared" si="1"/>
        <v>AIF341-3</v>
      </c>
      <c r="P82" s="15" t="str">
        <f>VLOOKUP(M82,'Nilai Kurikulum 2013'!$E$4:$I$176,5,FALSE)</f>
        <v>Administrasi Jaringan Komputer 1</v>
      </c>
      <c r="Q82" s="39"/>
    </row>
    <row r="83" spans="1:17" x14ac:dyDescent="0.25">
      <c r="A83" s="6"/>
      <c r="B83" s="6"/>
      <c r="C83" s="6"/>
      <c r="D83" s="6"/>
      <c r="E83" s="6"/>
      <c r="F83" s="6"/>
      <c r="G83" s="6"/>
      <c r="H83" s="6"/>
      <c r="J83" s="393"/>
      <c r="K83" s="390"/>
      <c r="L83" s="14">
        <v>7</v>
      </c>
      <c r="M83" s="17" t="s">
        <v>138</v>
      </c>
      <c r="N83" s="14">
        <f>VLOOKUP(M83,'Nilai Kurikulum 2013'!$E$4:$I$176,2,FALSE)</f>
        <v>3</v>
      </c>
      <c r="O83" s="14" t="str">
        <f t="shared" si="1"/>
        <v>AIF343-3</v>
      </c>
      <c r="P83" s="15" t="str">
        <f>VLOOKUP(M83,'Nilai Kurikulum 2013'!$E$4:$I$176,5,FALSE)</f>
        <v>Pemrograman Kompetitif</v>
      </c>
      <c r="Q83" s="39"/>
    </row>
    <row r="84" spans="1:17" x14ac:dyDescent="0.25">
      <c r="A84" s="6"/>
      <c r="B84" s="6"/>
      <c r="C84" s="6"/>
      <c r="D84" s="6"/>
      <c r="E84" s="6"/>
      <c r="F84" s="6"/>
      <c r="G84" s="6"/>
      <c r="H84" s="6"/>
      <c r="J84" s="393"/>
      <c r="K84" s="390"/>
      <c r="L84" s="14">
        <v>8</v>
      </c>
      <c r="M84" s="17" t="s">
        <v>139</v>
      </c>
      <c r="N84" s="14">
        <f>VLOOKUP(M84,'Nilai Kurikulum 2013'!$E$4:$I$176,2,FALSE)</f>
        <v>2</v>
      </c>
      <c r="O84" s="14" t="str">
        <f t="shared" si="1"/>
        <v>AIF345-2</v>
      </c>
      <c r="P84" s="15" t="str">
        <f>VLOOKUP(M84,'Nilai Kurikulum 2013'!$E$4:$I$176,5,FALSE)</f>
        <v>Pengujian Perangkat Lunak</v>
      </c>
      <c r="Q84" s="39"/>
    </row>
    <row r="85" spans="1:17" x14ac:dyDescent="0.25">
      <c r="A85" s="6"/>
      <c r="B85" s="6"/>
      <c r="C85" s="6"/>
      <c r="D85" s="6"/>
      <c r="E85" s="6"/>
      <c r="F85" s="6"/>
      <c r="G85" s="6"/>
      <c r="H85" s="6"/>
      <c r="J85" s="393"/>
      <c r="K85" s="390"/>
      <c r="L85" s="14">
        <v>9</v>
      </c>
      <c r="M85" s="17" t="s">
        <v>140</v>
      </c>
      <c r="N85" s="14">
        <f>VLOOKUP(M85,'Nilai Kurikulum 2013'!$E$4:$I$176,2,FALSE)</f>
        <v>2</v>
      </c>
      <c r="O85" s="14" t="str">
        <f t="shared" si="1"/>
        <v>AIF347-2</v>
      </c>
      <c r="P85" s="15" t="str">
        <f>VLOOKUP(M85,'Nilai Kurikulum 2013'!$E$4:$I$176,5,FALSE)</f>
        <v>e-Commerce</v>
      </c>
      <c r="Q85" s="39"/>
    </row>
    <row r="86" spans="1:17" x14ac:dyDescent="0.25">
      <c r="A86" s="6"/>
      <c r="B86" s="6"/>
      <c r="C86" s="6"/>
      <c r="D86" s="6"/>
      <c r="E86" s="6"/>
      <c r="F86" s="6"/>
      <c r="G86" s="6"/>
      <c r="H86" s="6"/>
      <c r="J86" s="393"/>
      <c r="K86" s="390"/>
      <c r="L86" s="14">
        <v>10</v>
      </c>
      <c r="M86" s="15" t="s">
        <v>141</v>
      </c>
      <c r="N86" s="14">
        <f>VLOOKUP(M86,'Nilai Kurikulum 2013'!$E$4:$I$176,2,FALSE)</f>
        <v>2</v>
      </c>
      <c r="O86" s="14" t="str">
        <f t="shared" si="1"/>
        <v>AIF381-2</v>
      </c>
      <c r="P86" s="17" t="str">
        <f>VLOOKUP(M86,'Nilai Kurikulum 2013'!$E$4:$I$176,5,FALSE)</f>
        <v>Analisis Sistem Informasi</v>
      </c>
      <c r="Q86" s="39"/>
    </row>
    <row r="87" spans="1:17" x14ac:dyDescent="0.25">
      <c r="A87" s="6"/>
      <c r="B87" s="6"/>
      <c r="C87" s="6"/>
      <c r="D87" s="6"/>
      <c r="E87" s="6"/>
      <c r="F87" s="6"/>
      <c r="G87" s="6"/>
      <c r="H87" s="6"/>
      <c r="J87" s="393"/>
      <c r="K87" s="390"/>
      <c r="L87" s="14">
        <v>11</v>
      </c>
      <c r="M87" s="17" t="s">
        <v>142</v>
      </c>
      <c r="N87" s="14">
        <f>VLOOKUP(M87,'Nilai Kurikulum 2013'!$E$4:$I$176,2,FALSE)</f>
        <v>1</v>
      </c>
      <c r="O87" s="14" t="str">
        <f t="shared" si="1"/>
        <v>AIF383-1</v>
      </c>
      <c r="P87" s="15" t="str">
        <f>VLOOKUP(M87,'Nilai Kurikulum 2013'!$E$4:$I$176,5,FALSE)</f>
        <v>Praktika Grafika Komputer</v>
      </c>
      <c r="Q87" s="39"/>
    </row>
    <row r="88" spans="1:17" x14ac:dyDescent="0.25">
      <c r="A88" s="6"/>
      <c r="B88" s="6"/>
      <c r="C88" s="6"/>
      <c r="D88" s="6"/>
      <c r="E88" s="6"/>
      <c r="F88" s="6"/>
      <c r="G88" s="6"/>
      <c r="H88" s="6"/>
      <c r="J88" s="393"/>
      <c r="K88" s="390"/>
      <c r="L88" s="14">
        <v>12</v>
      </c>
      <c r="M88" s="17" t="s">
        <v>143</v>
      </c>
      <c r="N88" s="14">
        <f>VLOOKUP(M88,'Nilai Kurikulum 2013'!$E$4:$I$176,2,FALSE)</f>
        <v>1</v>
      </c>
      <c r="O88" s="14" t="str">
        <f t="shared" si="1"/>
        <v>AIF385-1</v>
      </c>
      <c r="P88" s="15" t="str">
        <f>VLOOKUP(M88,'Nilai Kurikulum 2013'!$E$4:$I$176,5,FALSE)</f>
        <v>Praktika Pemrograman Berbasis Web</v>
      </c>
      <c r="Q88" s="39"/>
    </row>
    <row r="89" spans="1:17" x14ac:dyDescent="0.25">
      <c r="A89" s="6"/>
      <c r="B89" s="6"/>
      <c r="C89" s="6"/>
      <c r="D89" s="6"/>
      <c r="E89" s="6"/>
      <c r="F89" s="6"/>
      <c r="G89" s="6"/>
      <c r="H89" s="6"/>
      <c r="J89" s="393"/>
      <c r="K89" s="390"/>
      <c r="L89" s="14">
        <v>13</v>
      </c>
      <c r="M89" s="15" t="s">
        <v>144</v>
      </c>
      <c r="N89" s="14">
        <f>VLOOKUP(M89,'Nilai Kurikulum 2013'!$E$4:$I$176,2,FALSE)</f>
        <v>3</v>
      </c>
      <c r="O89" s="14" t="str">
        <f t="shared" si="1"/>
        <v>AIF387-3</v>
      </c>
      <c r="P89" s="15" t="str">
        <f>VLOOKUP(M89,'Nilai Kurikulum 2013'!$E$4:$I$176,5,FALSE)</f>
        <v>Pengantar Telekomunikasi</v>
      </c>
      <c r="Q89" s="39"/>
    </row>
    <row r="90" spans="1:17" x14ac:dyDescent="0.25">
      <c r="A90" s="6"/>
      <c r="B90" s="6"/>
      <c r="C90" s="6"/>
      <c r="D90" s="6"/>
      <c r="E90" s="6"/>
      <c r="F90" s="6"/>
      <c r="G90" s="6"/>
      <c r="H90" s="6"/>
      <c r="J90" s="393"/>
      <c r="K90" s="390"/>
      <c r="L90" s="20">
        <v>14</v>
      </c>
      <c r="M90" s="19" t="s">
        <v>610</v>
      </c>
      <c r="N90" s="14">
        <f>VLOOKUP(M90,'Nilai Kurikulum 2013'!$E$4:$I$176,2,FALSE)</f>
        <v>2</v>
      </c>
      <c r="O90" s="14" t="str">
        <f t="shared" ref="O90" si="2">M90&amp;"-"&amp;N90</f>
        <v>AIF351-2</v>
      </c>
      <c r="P90" s="15" t="str">
        <f>VLOOKUP(M90,'Nilai Kurikulum 2013'!$E$4:$I$176,5,FALSE)</f>
        <v>Dasar - Dasar Pemrograman Java</v>
      </c>
      <c r="Q90" s="39"/>
    </row>
    <row r="91" spans="1:17" ht="15.75" thickBot="1" x14ac:dyDescent="0.3">
      <c r="A91" s="6"/>
      <c r="B91" s="6"/>
      <c r="C91" s="6"/>
      <c r="D91" s="6"/>
      <c r="E91" s="6"/>
      <c r="F91" s="6"/>
      <c r="G91" s="6"/>
      <c r="H91" s="6"/>
      <c r="J91" s="393"/>
      <c r="K91" s="395"/>
      <c r="L91" s="18">
        <v>15</v>
      </c>
      <c r="M91" s="26" t="s">
        <v>145</v>
      </c>
      <c r="N91" s="18">
        <f>VLOOKUP(M91,'Nilai Kurikulum 2013'!$E$4:$I$176,2,FALSE)</f>
        <v>2</v>
      </c>
      <c r="O91" s="18" t="str">
        <f t="shared" si="1"/>
        <v>AIF389-2</v>
      </c>
      <c r="P91" s="25" t="str">
        <f>VLOOKUP(M91,'Nilai Kurikulum 2013'!$E$4:$I$176,5,FALSE)</f>
        <v>Kriptografi</v>
      </c>
      <c r="Q91" s="42"/>
    </row>
    <row r="92" spans="1:17" x14ac:dyDescent="0.25">
      <c r="A92" s="6"/>
      <c r="B92" s="6"/>
      <c r="C92" s="6"/>
      <c r="D92" s="6"/>
      <c r="E92" s="6"/>
      <c r="F92" s="6"/>
      <c r="G92" s="6"/>
      <c r="H92" s="6"/>
      <c r="J92" s="393"/>
      <c r="K92" s="390">
        <v>6</v>
      </c>
      <c r="L92" s="11">
        <v>1</v>
      </c>
      <c r="M92" s="28" t="s">
        <v>146</v>
      </c>
      <c r="N92" s="11">
        <f>VLOOKUP(M92,'Nilai Kurikulum 2013'!$E$4:$I$176,2,FALSE)</f>
        <v>2</v>
      </c>
      <c r="O92" s="11" t="str">
        <f t="shared" si="1"/>
        <v>AIF330-2</v>
      </c>
      <c r="P92" s="12" t="str">
        <f>VLOOKUP(M92,'Nilai Kurikulum 2013'!$E$4:$I$176,5,FALSE)</f>
        <v>Kerja Praktek 1</v>
      </c>
      <c r="Q92" s="43"/>
    </row>
    <row r="93" spans="1:17" x14ac:dyDescent="0.25">
      <c r="A93" s="6"/>
      <c r="B93" s="6"/>
      <c r="C93" s="6"/>
      <c r="D93" s="6"/>
      <c r="E93" s="6"/>
      <c r="F93" s="6"/>
      <c r="G93" s="6"/>
      <c r="H93" s="6"/>
      <c r="J93" s="393"/>
      <c r="K93" s="390"/>
      <c r="L93" s="14">
        <v>2</v>
      </c>
      <c r="M93" s="17" t="s">
        <v>147</v>
      </c>
      <c r="N93" s="14">
        <f>VLOOKUP(M93,'Nilai Kurikulum 2013'!$E$4:$I$176,2,FALSE)</f>
        <v>3</v>
      </c>
      <c r="O93" s="14" t="str">
        <f t="shared" si="1"/>
        <v>AIF332-3</v>
      </c>
      <c r="P93" s="15" t="str">
        <f>VLOOKUP(M93,'Nilai Kurikulum 2013'!$E$4:$I$176,5,FALSE)</f>
        <v>Topik Khusus Informatika 2</v>
      </c>
      <c r="Q93" s="39"/>
    </row>
    <row r="94" spans="1:17" x14ac:dyDescent="0.25">
      <c r="A94" s="6"/>
      <c r="B94" s="6"/>
      <c r="C94" s="6"/>
      <c r="D94" s="6"/>
      <c r="E94" s="6"/>
      <c r="F94" s="6"/>
      <c r="G94" s="6"/>
      <c r="H94" s="6"/>
      <c r="J94" s="393"/>
      <c r="K94" s="390"/>
      <c r="L94" s="14">
        <v>3</v>
      </c>
      <c r="M94" s="17" t="s">
        <v>148</v>
      </c>
      <c r="N94" s="14">
        <f>VLOOKUP(M94,'Nilai Kurikulum 2013'!$E$4:$I$176,2,FALSE)</f>
        <v>3</v>
      </c>
      <c r="O94" s="14" t="str">
        <f t="shared" si="1"/>
        <v>AIF334-3</v>
      </c>
      <c r="P94" s="15" t="str">
        <f>VLOOKUP(M94,'Nilai Kurikulum 2013'!$E$4:$I$176,5,FALSE)</f>
        <v>Topik Khusus Sistem Informasi 2</v>
      </c>
      <c r="Q94" s="39"/>
    </row>
    <row r="95" spans="1:17" x14ac:dyDescent="0.25">
      <c r="A95" s="6"/>
      <c r="B95" s="6"/>
      <c r="C95" s="6"/>
      <c r="D95" s="6"/>
      <c r="E95" s="6"/>
      <c r="F95" s="6"/>
      <c r="G95" s="6"/>
      <c r="H95" s="6"/>
      <c r="J95" s="393"/>
      <c r="K95" s="390"/>
      <c r="L95" s="14">
        <v>4</v>
      </c>
      <c r="M95" s="17" t="s">
        <v>149</v>
      </c>
      <c r="N95" s="14">
        <f>VLOOKUP(M95,'Nilai Kurikulum 2013'!$E$4:$I$176,2,FALSE)</f>
        <v>3</v>
      </c>
      <c r="O95" s="14" t="str">
        <f t="shared" si="1"/>
        <v>AIF336-3</v>
      </c>
      <c r="P95" s="15" t="str">
        <f>VLOOKUP(M95,'Nilai Kurikulum 2013'!$E$4:$I$176,5,FALSE)</f>
        <v>Algoritma Kriptografi</v>
      </c>
      <c r="Q95" s="39"/>
    </row>
    <row r="96" spans="1:17" x14ac:dyDescent="0.25">
      <c r="A96" s="6"/>
      <c r="B96" s="6"/>
      <c r="C96" s="6"/>
      <c r="D96" s="6"/>
      <c r="E96" s="6"/>
      <c r="F96" s="6"/>
      <c r="G96" s="6"/>
      <c r="H96" s="6"/>
      <c r="J96" s="393"/>
      <c r="K96" s="390"/>
      <c r="L96" s="14">
        <v>5</v>
      </c>
      <c r="M96" s="17" t="s">
        <v>150</v>
      </c>
      <c r="N96" s="14">
        <f>VLOOKUP(M96,'Nilai Kurikulum 2013'!$E$4:$I$176,2,FALSE)</f>
        <v>3</v>
      </c>
      <c r="O96" s="14" t="str">
        <f t="shared" si="1"/>
        <v>AIF338-3</v>
      </c>
      <c r="P96" s="15" t="str">
        <f>VLOOKUP(M96,'Nilai Kurikulum 2013'!$E$4:$I$176,5,FALSE)</f>
        <v>Bioinformatika</v>
      </c>
      <c r="Q96" s="39"/>
    </row>
    <row r="97" spans="1:17" x14ac:dyDescent="0.25">
      <c r="A97" s="6"/>
      <c r="B97" s="6"/>
      <c r="C97" s="6"/>
      <c r="D97" s="6"/>
      <c r="E97" s="6"/>
      <c r="F97" s="6"/>
      <c r="G97" s="6"/>
      <c r="H97" s="6"/>
      <c r="J97" s="393"/>
      <c r="K97" s="390"/>
      <c r="L97" s="14">
        <v>6</v>
      </c>
      <c r="M97" s="17" t="s">
        <v>151</v>
      </c>
      <c r="N97" s="14">
        <f>VLOOKUP(M97,'Nilai Kurikulum 2013'!$E$4:$I$176,2,FALSE)</f>
        <v>3</v>
      </c>
      <c r="O97" s="14" t="str">
        <f t="shared" si="1"/>
        <v>AIF340-3</v>
      </c>
      <c r="P97" s="15" t="str">
        <f>VLOOKUP(M97,'Nilai Kurikulum 2013'!$E$4:$I$176,5,FALSE)</f>
        <v>Komputasi Geometri</v>
      </c>
      <c r="Q97" s="39"/>
    </row>
    <row r="98" spans="1:17" x14ac:dyDescent="0.25">
      <c r="A98" s="6"/>
      <c r="B98" s="6"/>
      <c r="C98" s="6"/>
      <c r="D98" s="6"/>
      <c r="E98" s="6"/>
      <c r="F98" s="6"/>
      <c r="G98" s="6"/>
      <c r="H98" s="6"/>
      <c r="J98" s="393"/>
      <c r="K98" s="390"/>
      <c r="L98" s="14">
        <v>7</v>
      </c>
      <c r="M98" s="17" t="s">
        <v>152</v>
      </c>
      <c r="N98" s="14">
        <f>VLOOKUP(M98,'Nilai Kurikulum 2013'!$E$4:$I$176,2,FALSE)</f>
        <v>3</v>
      </c>
      <c r="O98" s="14" t="str">
        <f t="shared" si="1"/>
        <v>AIF342-3</v>
      </c>
      <c r="P98" s="15" t="str">
        <f>VLOOKUP(M98,'Nilai Kurikulum 2013'!$E$4:$I$176,5,FALSE)</f>
        <v>Administrasi Jaringan Komputer 2</v>
      </c>
      <c r="Q98" s="39"/>
    </row>
    <row r="99" spans="1:17" x14ac:dyDescent="0.25">
      <c r="A99" s="6"/>
      <c r="B99" s="6"/>
      <c r="C99" s="6"/>
      <c r="D99" s="6"/>
      <c r="E99" s="6"/>
      <c r="F99" s="6"/>
      <c r="G99" s="6"/>
      <c r="H99" s="6"/>
      <c r="J99" s="393"/>
      <c r="K99" s="390"/>
      <c r="L99" s="14">
        <v>8</v>
      </c>
      <c r="M99" s="17" t="s">
        <v>153</v>
      </c>
      <c r="N99" s="14">
        <f>VLOOKUP(M99,'Nilai Kurikulum 2013'!$E$4:$I$176,2,FALSE)</f>
        <v>3</v>
      </c>
      <c r="O99" s="14" t="str">
        <f t="shared" si="1"/>
        <v>AIF344-3</v>
      </c>
      <c r="P99" s="15" t="str">
        <f>VLOOKUP(M99,'Nilai Kurikulum 2013'!$E$4:$I$176,5,FALSE)</f>
        <v>Pemodelan dan Simulasi</v>
      </c>
      <c r="Q99" s="39"/>
    </row>
    <row r="100" spans="1:17" x14ac:dyDescent="0.25">
      <c r="A100" s="6"/>
      <c r="B100" s="6"/>
      <c r="C100" s="6"/>
      <c r="D100" s="6"/>
      <c r="E100" s="6"/>
      <c r="F100" s="6"/>
      <c r="G100" s="6"/>
      <c r="H100" s="6"/>
      <c r="J100" s="393"/>
      <c r="K100" s="390"/>
      <c r="L100" s="14">
        <v>9</v>
      </c>
      <c r="M100" s="17" t="s">
        <v>154</v>
      </c>
      <c r="N100" s="14">
        <f>VLOOKUP(M100,'Nilai Kurikulum 2013'!$E$4:$I$176,2,FALSE)</f>
        <v>3</v>
      </c>
      <c r="O100" s="14" t="str">
        <f t="shared" si="1"/>
        <v>AIF346-3</v>
      </c>
      <c r="P100" s="15" t="str">
        <f>VLOOKUP(M100,'Nilai Kurikulum 2013'!$E$4:$I$176,5,FALSE)</f>
        <v>Perancangan Permainan Komputer</v>
      </c>
      <c r="Q100" s="39"/>
    </row>
    <row r="101" spans="1:17" x14ac:dyDescent="0.25">
      <c r="A101" s="6"/>
      <c r="B101" s="6"/>
      <c r="C101" s="6"/>
      <c r="D101" s="6"/>
      <c r="E101" s="6"/>
      <c r="F101" s="6"/>
      <c r="G101" s="6"/>
      <c r="H101" s="6"/>
      <c r="J101" s="393"/>
      <c r="K101" s="390"/>
      <c r="L101" s="14">
        <v>10</v>
      </c>
      <c r="M101" s="17" t="s">
        <v>155</v>
      </c>
      <c r="N101" s="14">
        <f>VLOOKUP(M101,'Nilai Kurikulum 2013'!$E$4:$I$176,2,FALSE)</f>
        <v>3</v>
      </c>
      <c r="O101" s="14" t="str">
        <f t="shared" si="1"/>
        <v>AIF348-3</v>
      </c>
      <c r="P101" s="15" t="str">
        <f>VLOOKUP(M101,'Nilai Kurikulum 2013'!$E$4:$I$176,5,FALSE)</f>
        <v>Verifikasi Formal</v>
      </c>
      <c r="Q101" s="39"/>
    </row>
    <row r="102" spans="1:17" x14ac:dyDescent="0.25">
      <c r="A102" s="6"/>
      <c r="B102" s="6"/>
      <c r="C102" s="6"/>
      <c r="D102" s="6"/>
      <c r="E102" s="6"/>
      <c r="F102" s="6"/>
      <c r="G102" s="6"/>
      <c r="H102" s="6"/>
      <c r="J102" s="393"/>
      <c r="K102" s="390"/>
      <c r="L102" s="14">
        <v>11</v>
      </c>
      <c r="M102" s="17" t="s">
        <v>156</v>
      </c>
      <c r="N102" s="14">
        <f>VLOOKUP(M102,'Nilai Kurikulum 2013'!$E$4:$I$176,2,FALSE)</f>
        <v>2</v>
      </c>
      <c r="O102" s="14" t="str">
        <f t="shared" si="1"/>
        <v>AIF350-2</v>
      </c>
      <c r="P102" s="15" t="str">
        <f>VLOOKUP(M102,'Nilai Kurikulum 2013'!$E$4:$I$176,5,FALSE)</f>
        <v>Algoritma Genetika</v>
      </c>
      <c r="Q102" s="39"/>
    </row>
    <row r="103" spans="1:17" x14ac:dyDescent="0.25">
      <c r="A103" s="6"/>
      <c r="B103" s="6"/>
      <c r="C103" s="6"/>
      <c r="D103" s="6"/>
      <c r="E103" s="6"/>
      <c r="F103" s="6"/>
      <c r="G103" s="6"/>
      <c r="H103" s="6"/>
      <c r="J103" s="393"/>
      <c r="K103" s="390"/>
      <c r="L103" s="14">
        <v>12</v>
      </c>
      <c r="M103" s="17" t="s">
        <v>157</v>
      </c>
      <c r="N103" s="14">
        <f>VLOOKUP(M103,'Nilai Kurikulum 2013'!$E$4:$I$176,2,FALSE)</f>
        <v>2</v>
      </c>
      <c r="O103" s="14" t="str">
        <f t="shared" si="1"/>
        <v>AIF352-2</v>
      </c>
      <c r="P103" s="15" t="str">
        <f>VLOOKUP(M103,'Nilai Kurikulum 2013'!$E$4:$I$176,5,FALSE)</f>
        <v>Jaringan Syaraf Tiruan</v>
      </c>
      <c r="Q103" s="39"/>
    </row>
    <row r="104" spans="1:17" x14ac:dyDescent="0.25">
      <c r="A104" s="6"/>
      <c r="B104" s="6"/>
      <c r="C104" s="6"/>
      <c r="D104" s="6"/>
      <c r="E104" s="6"/>
      <c r="F104" s="6"/>
      <c r="G104" s="6"/>
      <c r="H104" s="6"/>
      <c r="J104" s="393"/>
      <c r="K104" s="390"/>
      <c r="L104" s="14">
        <v>13</v>
      </c>
      <c r="M104" s="17" t="s">
        <v>158</v>
      </c>
      <c r="N104" s="14">
        <f>VLOOKUP(M104,'Nilai Kurikulum 2013'!$E$4:$I$176,2,FALSE)</f>
        <v>2</v>
      </c>
      <c r="O104" s="14" t="str">
        <f t="shared" si="1"/>
        <v>AIF354-2</v>
      </c>
      <c r="P104" s="15" t="str">
        <f>VLOOKUP(M104,'Nilai Kurikulum 2013'!$E$4:$I$176,5,FALSE)</f>
        <v>Teori Bahasa dan Kompilasi</v>
      </c>
      <c r="Q104" s="39"/>
    </row>
    <row r="105" spans="1:17" x14ac:dyDescent="0.25">
      <c r="A105" s="6"/>
      <c r="B105" s="6"/>
      <c r="C105" s="6"/>
      <c r="D105" s="6"/>
      <c r="E105" s="6"/>
      <c r="F105" s="6"/>
      <c r="G105" s="6"/>
      <c r="H105" s="6"/>
      <c r="J105" s="393"/>
      <c r="K105" s="390"/>
      <c r="L105" s="14">
        <v>14</v>
      </c>
      <c r="M105" s="17" t="s">
        <v>159</v>
      </c>
      <c r="N105" s="14">
        <f>VLOOKUP(M105,'Nilai Kurikulum 2013'!$E$4:$I$176,2,FALSE)</f>
        <v>2</v>
      </c>
      <c r="O105" s="14" t="str">
        <f t="shared" si="1"/>
        <v>AIF356-2</v>
      </c>
      <c r="P105" s="15" t="str">
        <f>VLOOKUP(M105,'Nilai Kurikulum 2013'!$E$4:$I$176,5,FALSE)</f>
        <v>Analisis Proses Bisnis</v>
      </c>
      <c r="Q105" s="39"/>
    </row>
    <row r="106" spans="1:17" x14ac:dyDescent="0.25">
      <c r="A106" s="6"/>
      <c r="B106" s="6"/>
      <c r="C106" s="6"/>
      <c r="D106" s="6"/>
      <c r="E106" s="6"/>
      <c r="F106" s="6"/>
      <c r="G106" s="6"/>
      <c r="H106" s="6"/>
      <c r="J106" s="393"/>
      <c r="K106" s="390"/>
      <c r="L106" s="14">
        <v>15</v>
      </c>
      <c r="M106" s="17" t="s">
        <v>160</v>
      </c>
      <c r="N106" s="14">
        <f>VLOOKUP(M106,'Nilai Kurikulum 2013'!$E$4:$I$176,2,FALSE)</f>
        <v>3</v>
      </c>
      <c r="O106" s="14" t="str">
        <f t="shared" si="1"/>
        <v>AIF358-3</v>
      </c>
      <c r="P106" s="15" t="str">
        <f>VLOOKUP(M106,'Nilai Kurikulum 2013'!$E$4:$I$176,5,FALSE)</f>
        <v>Jaringan Komputer Lanjut</v>
      </c>
      <c r="Q106" s="39"/>
    </row>
    <row r="107" spans="1:17" x14ac:dyDescent="0.25">
      <c r="A107" s="6"/>
      <c r="B107" s="6"/>
      <c r="C107" s="6"/>
      <c r="D107" s="6"/>
      <c r="E107" s="6"/>
      <c r="F107" s="6"/>
      <c r="G107" s="6"/>
      <c r="H107" s="6"/>
      <c r="J107" s="393"/>
      <c r="K107" s="390"/>
      <c r="L107" s="14">
        <v>16</v>
      </c>
      <c r="M107" s="17" t="s">
        <v>161</v>
      </c>
      <c r="N107" s="14">
        <f>VLOOKUP(M107,'Nilai Kurikulum 2013'!$E$4:$I$176,2,FALSE)</f>
        <v>3</v>
      </c>
      <c r="O107" s="14" t="str">
        <f t="shared" si="1"/>
        <v>AIF360-3</v>
      </c>
      <c r="P107" s="15" t="str">
        <f>VLOOKUP(M107,'Nilai Kurikulum 2013'!$E$4:$I$176,5,FALSE)</f>
        <v>Pemrograman Berbasis Web Lanjut</v>
      </c>
      <c r="Q107" s="39"/>
    </row>
    <row r="108" spans="1:17" x14ac:dyDescent="0.25">
      <c r="A108" s="6"/>
      <c r="B108" s="6"/>
      <c r="C108" s="6"/>
      <c r="D108" s="6"/>
      <c r="E108" s="6"/>
      <c r="F108" s="6"/>
      <c r="G108" s="6"/>
      <c r="H108" s="6"/>
      <c r="J108" s="393"/>
      <c r="K108" s="390"/>
      <c r="L108" s="14">
        <v>17</v>
      </c>
      <c r="M108" s="17" t="s">
        <v>162</v>
      </c>
      <c r="N108" s="14">
        <f>VLOOKUP(M108,'Nilai Kurikulum 2013'!$E$4:$I$176,2,FALSE)</f>
        <v>3</v>
      </c>
      <c r="O108" s="14" t="str">
        <f t="shared" si="1"/>
        <v>AIF362-3</v>
      </c>
      <c r="P108" s="15" t="str">
        <f>VLOOKUP(M108,'Nilai Kurikulum 2013'!$E$4:$I$176,5,FALSE)</f>
        <v>Sistem dan Aplikasi Telematika</v>
      </c>
      <c r="Q108" s="39"/>
    </row>
    <row r="109" spans="1:17" x14ac:dyDescent="0.25">
      <c r="A109" s="6"/>
      <c r="B109" s="6"/>
      <c r="C109" s="6"/>
      <c r="D109" s="6"/>
      <c r="E109" s="6"/>
      <c r="F109" s="6"/>
      <c r="G109" s="6"/>
      <c r="H109" s="6"/>
      <c r="J109" s="393"/>
      <c r="K109" s="390"/>
      <c r="L109" s="14">
        <v>18</v>
      </c>
      <c r="M109" s="17" t="s">
        <v>163</v>
      </c>
      <c r="N109" s="14">
        <f>VLOOKUP(M109,'Nilai Kurikulum 2013'!$E$4:$I$176,2,FALSE)</f>
        <v>3</v>
      </c>
      <c r="O109" s="14" t="str">
        <f t="shared" si="1"/>
        <v>AIF380-3</v>
      </c>
      <c r="P109" s="15" t="str">
        <f>VLOOKUP(M109,'Nilai Kurikulum 2013'!$E$4:$I$176,5,FALSE)</f>
        <v>Teori Bahasa dan Otomata</v>
      </c>
      <c r="Q109" s="39"/>
    </row>
    <row r="110" spans="1:17" x14ac:dyDescent="0.25">
      <c r="A110" s="6"/>
      <c r="B110" s="6"/>
      <c r="C110" s="6"/>
      <c r="D110" s="6"/>
      <c r="E110" s="6"/>
      <c r="F110" s="6"/>
      <c r="G110" s="6"/>
      <c r="H110" s="6"/>
      <c r="J110" s="393"/>
      <c r="K110" s="390"/>
      <c r="L110" s="14">
        <v>19</v>
      </c>
      <c r="M110" s="17" t="s">
        <v>164</v>
      </c>
      <c r="N110" s="14">
        <f>VLOOKUP(M110,'Nilai Kurikulum 2013'!$E$4:$I$176,2,FALSE)</f>
        <v>3</v>
      </c>
      <c r="O110" s="14" t="str">
        <f t="shared" si="1"/>
        <v>AIF382-3</v>
      </c>
      <c r="P110" s="15" t="str">
        <f>VLOOKUP(M110,'Nilai Kurikulum 2013'!$E$4:$I$176,5,FALSE)</f>
        <v>Gudang Data dan Penambangan Data</v>
      </c>
      <c r="Q110" s="39"/>
    </row>
    <row r="111" spans="1:17" x14ac:dyDescent="0.25">
      <c r="A111" s="6"/>
      <c r="B111" s="6"/>
      <c r="C111" s="6"/>
      <c r="D111" s="6"/>
      <c r="E111" s="6"/>
      <c r="F111" s="6"/>
      <c r="G111" s="6"/>
      <c r="H111" s="6"/>
      <c r="J111" s="393"/>
      <c r="K111" s="390"/>
      <c r="L111" s="14">
        <v>20</v>
      </c>
      <c r="M111" s="15" t="s">
        <v>165</v>
      </c>
      <c r="N111" s="14">
        <f>VLOOKUP(M111,'Nilai Kurikulum 2013'!$E$4:$I$176,2,FALSE)</f>
        <v>1</v>
      </c>
      <c r="O111" s="14" t="str">
        <f t="shared" si="1"/>
        <v>AIF384-1</v>
      </c>
      <c r="P111" s="15" t="str">
        <f>VLOOKUP(M111,'Nilai Kurikulum 2013'!$E$4:$I$176,5,FALSE)</f>
        <v>Praktika Pemrograman Basisdata</v>
      </c>
      <c r="Q111" s="39"/>
    </row>
    <row r="112" spans="1:17" x14ac:dyDescent="0.25">
      <c r="A112" s="6"/>
      <c r="B112" s="6"/>
      <c r="C112" s="6"/>
      <c r="D112" s="6"/>
      <c r="E112" s="6"/>
      <c r="F112" s="6"/>
      <c r="G112" s="6"/>
      <c r="H112" s="6"/>
      <c r="J112" s="393"/>
      <c r="K112" s="390"/>
      <c r="L112" s="14">
        <v>21</v>
      </c>
      <c r="M112" s="17" t="s">
        <v>166</v>
      </c>
      <c r="N112" s="14">
        <f>VLOOKUP(M112,'Nilai Kurikulum 2013'!$E$4:$I$176,2,FALSE)</f>
        <v>2</v>
      </c>
      <c r="O112" s="14" t="str">
        <f t="shared" si="1"/>
        <v>AIF386-2</v>
      </c>
      <c r="P112" s="17" t="str">
        <f>VLOOKUP(M112,'Nilai Kurikulum 2013'!$E$4:$I$176,5,FALSE)</f>
        <v>Manajemen Projek Teknologi Informasi</v>
      </c>
      <c r="Q112" s="39"/>
    </row>
    <row r="113" spans="1:17" ht="15.75" thickBot="1" x14ac:dyDescent="0.3">
      <c r="A113" s="6"/>
      <c r="B113" s="6"/>
      <c r="C113" s="6"/>
      <c r="D113" s="6"/>
      <c r="E113" s="6"/>
      <c r="F113" s="6"/>
      <c r="G113" s="6"/>
      <c r="H113" s="6"/>
      <c r="J113" s="393"/>
      <c r="K113" s="395"/>
      <c r="L113" s="18">
        <v>22</v>
      </c>
      <c r="M113" s="25" t="s">
        <v>167</v>
      </c>
      <c r="N113" s="18">
        <f>VLOOKUP(M113,'Nilai Kurikulum 2013'!$E$4:$I$176,2,FALSE)</f>
        <v>1</v>
      </c>
      <c r="O113" s="18" t="str">
        <f t="shared" si="1"/>
        <v>AIF388-1</v>
      </c>
      <c r="P113" s="26" t="str">
        <f>VLOOKUP(M113,'Nilai Kurikulum 2013'!$E$4:$I$176,5,FALSE)</f>
        <v>Praktika Pemrograman Aplikasi Bergerak</v>
      </c>
      <c r="Q113" s="42"/>
    </row>
    <row r="114" spans="1:17" x14ac:dyDescent="0.25">
      <c r="A114" s="6"/>
      <c r="B114" s="6"/>
      <c r="C114" s="6"/>
      <c r="D114" s="6"/>
      <c r="E114" s="6"/>
      <c r="F114" s="6"/>
      <c r="G114" s="6"/>
      <c r="H114" s="6"/>
      <c r="J114" s="393"/>
      <c r="K114" s="390">
        <v>7</v>
      </c>
      <c r="L114" s="11">
        <v>1</v>
      </c>
      <c r="M114" s="28" t="s">
        <v>168</v>
      </c>
      <c r="N114" s="11">
        <f>VLOOKUP(M114,'Nilai Kurikulum 2013'!$E$4:$I$176,2,FALSE)</f>
        <v>3</v>
      </c>
      <c r="O114" s="11" t="str">
        <f t="shared" si="1"/>
        <v>AIF431-3</v>
      </c>
      <c r="P114" s="12" t="str">
        <f>VLOOKUP(M114,'Nilai Kurikulum 2013'!$E$4:$I$176,5,FALSE)</f>
        <v>Topik Khusus Informatika 3</v>
      </c>
      <c r="Q114" s="43"/>
    </row>
    <row r="115" spans="1:17" x14ac:dyDescent="0.25">
      <c r="A115" s="6"/>
      <c r="B115" s="6"/>
      <c r="C115" s="6"/>
      <c r="D115" s="6"/>
      <c r="E115" s="6"/>
      <c r="F115" s="6"/>
      <c r="G115" s="6"/>
      <c r="H115" s="6"/>
      <c r="J115" s="393"/>
      <c r="K115" s="390"/>
      <c r="L115" s="14">
        <v>2</v>
      </c>
      <c r="M115" s="17" t="s">
        <v>169</v>
      </c>
      <c r="N115" s="14">
        <f>VLOOKUP(M115,'Nilai Kurikulum 2013'!$E$4:$I$176,2,FALSE)</f>
        <v>3</v>
      </c>
      <c r="O115" s="14" t="str">
        <f t="shared" si="1"/>
        <v>AIF433-3</v>
      </c>
      <c r="P115" s="15" t="str">
        <f>VLOOKUP(M115,'Nilai Kurikulum 2013'!$E$4:$I$176,5,FALSE)</f>
        <v>Topik Khusus Sistem Informasi 3</v>
      </c>
      <c r="Q115" s="39"/>
    </row>
    <row r="116" spans="1:17" x14ac:dyDescent="0.25">
      <c r="A116" s="6"/>
      <c r="B116" s="6"/>
      <c r="C116" s="6"/>
      <c r="D116" s="6"/>
      <c r="E116" s="6"/>
      <c r="F116" s="6"/>
      <c r="G116" s="6"/>
      <c r="H116" s="6"/>
      <c r="J116" s="393"/>
      <c r="K116" s="390"/>
      <c r="L116" s="14">
        <v>3</v>
      </c>
      <c r="M116" s="17" t="s">
        <v>170</v>
      </c>
      <c r="N116" s="14">
        <f>VLOOKUP(M116,'Nilai Kurikulum 2013'!$E$4:$I$176,2,FALSE)</f>
        <v>3</v>
      </c>
      <c r="O116" s="14" t="str">
        <f t="shared" si="1"/>
        <v>AIF435-3</v>
      </c>
      <c r="P116" s="15" t="str">
        <f>VLOOKUP(M116,'Nilai Kurikulum 2013'!$E$4:$I$176,5,FALSE)</f>
        <v>Grafika Komputer Lanjut</v>
      </c>
      <c r="Q116" s="39"/>
    </row>
    <row r="117" spans="1:17" x14ac:dyDescent="0.25">
      <c r="A117" s="6"/>
      <c r="B117" s="6"/>
      <c r="C117" s="6"/>
      <c r="D117" s="6"/>
      <c r="E117" s="6"/>
      <c r="F117" s="6"/>
      <c r="G117" s="6"/>
      <c r="H117" s="6"/>
      <c r="J117" s="393"/>
      <c r="K117" s="390"/>
      <c r="L117" s="14">
        <v>4</v>
      </c>
      <c r="M117" s="17" t="s">
        <v>171</v>
      </c>
      <c r="N117" s="14">
        <f>VLOOKUP(M117,'Nilai Kurikulum 2013'!$E$4:$I$176,2,FALSE)</f>
        <v>3</v>
      </c>
      <c r="O117" s="14" t="str">
        <f t="shared" si="1"/>
        <v>AIF437-3</v>
      </c>
      <c r="P117" s="15" t="str">
        <f>VLOOKUP(M117,'Nilai Kurikulum 2013'!$E$4:$I$176,5,FALSE)</f>
        <v>Kecerdasan Buatan untuk Permainan Komputer</v>
      </c>
      <c r="Q117" s="39"/>
    </row>
    <row r="118" spans="1:17" x14ac:dyDescent="0.25">
      <c r="A118" s="6"/>
      <c r="B118" s="6"/>
      <c r="C118" s="6"/>
      <c r="D118" s="6"/>
      <c r="E118" s="6"/>
      <c r="F118" s="6"/>
      <c r="G118" s="6"/>
      <c r="H118" s="6"/>
      <c r="J118" s="393"/>
      <c r="K118" s="390"/>
      <c r="L118" s="14">
        <v>5</v>
      </c>
      <c r="M118" s="17" t="s">
        <v>172</v>
      </c>
      <c r="N118" s="14">
        <f>VLOOKUP(M118,'Nilai Kurikulum 2013'!$E$4:$I$176,2,FALSE)</f>
        <v>3</v>
      </c>
      <c r="O118" s="14" t="str">
        <f t="shared" si="1"/>
        <v>AIF439-3</v>
      </c>
      <c r="P118" s="15" t="str">
        <f>VLOOKUP(M118,'Nilai Kurikulum 2013'!$E$4:$I$176,5,FALSE)</f>
        <v>Kerja Praktek 2</v>
      </c>
      <c r="Q118" s="39"/>
    </row>
    <row r="119" spans="1:17" x14ac:dyDescent="0.25">
      <c r="A119" s="6"/>
      <c r="B119" s="6"/>
      <c r="C119" s="6"/>
      <c r="D119" s="6"/>
      <c r="E119" s="6"/>
      <c r="F119" s="6"/>
      <c r="G119" s="6"/>
      <c r="H119" s="6"/>
      <c r="J119" s="393"/>
      <c r="K119" s="390"/>
      <c r="L119" s="14">
        <v>6</v>
      </c>
      <c r="M119" s="17" t="s">
        <v>173</v>
      </c>
      <c r="N119" s="14">
        <f>VLOOKUP(M119,'Nilai Kurikulum 2013'!$E$4:$I$176,2,FALSE)</f>
        <v>3</v>
      </c>
      <c r="O119" s="14" t="str">
        <f t="shared" si="1"/>
        <v>AIF441-3</v>
      </c>
      <c r="P119" s="15" t="str">
        <f>VLOOKUP(M119,'Nilai Kurikulum 2013'!$E$4:$I$176,5,FALSE)</f>
        <v>Administrasi Jaringan Komputer 3</v>
      </c>
      <c r="Q119" s="39"/>
    </row>
    <row r="120" spans="1:17" x14ac:dyDescent="0.25">
      <c r="A120" s="6"/>
      <c r="B120" s="6"/>
      <c r="C120" s="6"/>
      <c r="D120" s="6"/>
      <c r="E120" s="6"/>
      <c r="F120" s="6"/>
      <c r="G120" s="6"/>
      <c r="H120" s="6"/>
      <c r="J120" s="393"/>
      <c r="K120" s="390"/>
      <c r="L120" s="14">
        <v>7</v>
      </c>
      <c r="M120" s="17" t="s">
        <v>174</v>
      </c>
      <c r="N120" s="14">
        <f>VLOOKUP(M120,'Nilai Kurikulum 2013'!$E$4:$I$176,2,FALSE)</f>
        <v>3</v>
      </c>
      <c r="O120" s="14" t="str">
        <f t="shared" si="1"/>
        <v>AIF443-3</v>
      </c>
      <c r="P120" s="15" t="str">
        <f>VLOOKUP(M120,'Nilai Kurikulum 2013'!$E$4:$I$176,5,FALSE)</f>
        <v>Matematika Kombinatorial</v>
      </c>
      <c r="Q120" s="39"/>
    </row>
    <row r="121" spans="1:17" x14ac:dyDescent="0.25">
      <c r="A121" s="6"/>
      <c r="B121" s="6"/>
      <c r="C121" s="6"/>
      <c r="D121" s="6"/>
      <c r="E121" s="6"/>
      <c r="F121" s="6"/>
      <c r="G121" s="6"/>
      <c r="H121" s="6"/>
      <c r="J121" s="393"/>
      <c r="K121" s="390"/>
      <c r="L121" s="14">
        <v>8</v>
      </c>
      <c r="M121" s="17" t="s">
        <v>175</v>
      </c>
      <c r="N121" s="14">
        <f>VLOOKUP(M121,'Nilai Kurikulum 2013'!$E$4:$I$176,2,FALSE)</f>
        <v>3</v>
      </c>
      <c r="O121" s="14" t="str">
        <f t="shared" si="1"/>
        <v>AIF445-3</v>
      </c>
      <c r="P121" s="15" t="str">
        <f>VLOOKUP(M121,'Nilai Kurikulum 2013'!$E$4:$I$176,5,FALSE)</f>
        <v>Metode Numerik</v>
      </c>
      <c r="Q121" s="39"/>
    </row>
    <row r="122" spans="1:17" x14ac:dyDescent="0.25">
      <c r="A122" s="6"/>
      <c r="B122" s="6"/>
      <c r="C122" s="6"/>
      <c r="D122" s="6"/>
      <c r="E122" s="6"/>
      <c r="F122" s="6"/>
      <c r="G122" s="6"/>
      <c r="H122" s="6"/>
      <c r="J122" s="393"/>
      <c r="K122" s="390"/>
      <c r="L122" s="14">
        <v>9</v>
      </c>
      <c r="M122" s="17" t="s">
        <v>176</v>
      </c>
      <c r="N122" s="14">
        <f>VLOOKUP(M122,'Nilai Kurikulum 2013'!$E$4:$I$176,2,FALSE)</f>
        <v>3</v>
      </c>
      <c r="O122" s="14" t="str">
        <f t="shared" si="1"/>
        <v>AIF447-3</v>
      </c>
      <c r="P122" s="15" t="str">
        <f>VLOOKUP(M122,'Nilai Kurikulum 2013'!$E$4:$I$176,5,FALSE)</f>
        <v>Metode Optimisasi</v>
      </c>
      <c r="Q122" s="39"/>
    </row>
    <row r="123" spans="1:17" x14ac:dyDescent="0.25">
      <c r="A123" s="6"/>
      <c r="B123" s="6"/>
      <c r="C123" s="6"/>
      <c r="D123" s="6"/>
      <c r="E123" s="6"/>
      <c r="F123" s="6"/>
      <c r="G123" s="6"/>
      <c r="H123" s="6"/>
      <c r="J123" s="393"/>
      <c r="K123" s="390"/>
      <c r="L123" s="14">
        <v>10</v>
      </c>
      <c r="M123" s="17" t="s">
        <v>177</v>
      </c>
      <c r="N123" s="14">
        <f>VLOOKUP(M123,'Nilai Kurikulum 2013'!$E$4:$I$176,2,FALSE)</f>
        <v>3</v>
      </c>
      <c r="O123" s="14" t="str">
        <f t="shared" si="1"/>
        <v>AIF449-3</v>
      </c>
      <c r="P123" s="15" t="str">
        <f>VLOOKUP(M123,'Nilai Kurikulum 2013'!$E$4:$I$176,5,FALSE)</f>
        <v>Teknologi Mesin Pencari</v>
      </c>
      <c r="Q123" s="39"/>
    </row>
    <row r="124" spans="1:17" x14ac:dyDescent="0.25">
      <c r="A124" s="6"/>
      <c r="B124" s="6"/>
      <c r="C124" s="6"/>
      <c r="D124" s="6"/>
      <c r="E124" s="6"/>
      <c r="F124" s="6"/>
      <c r="G124" s="6"/>
      <c r="H124" s="6"/>
      <c r="J124" s="393"/>
      <c r="K124" s="390"/>
      <c r="L124" s="14">
        <v>11</v>
      </c>
      <c r="M124" s="17" t="s">
        <v>178</v>
      </c>
      <c r="N124" s="14">
        <f>VLOOKUP(M124,'Nilai Kurikulum 2013'!$E$4:$I$176,2,FALSE)</f>
        <v>3</v>
      </c>
      <c r="O124" s="14" t="str">
        <f t="shared" si="1"/>
        <v>AIF451-3</v>
      </c>
      <c r="P124" s="15" t="str">
        <f>VLOOKUP(M124,'Nilai Kurikulum 2013'!$E$4:$I$176,5,FALSE)</f>
        <v>Audit Sistem Informasi</v>
      </c>
      <c r="Q124" s="39"/>
    </row>
    <row r="125" spans="1:17" x14ac:dyDescent="0.25">
      <c r="A125" s="6"/>
      <c r="B125" s="6"/>
      <c r="C125" s="6"/>
      <c r="D125" s="6"/>
      <c r="E125" s="6"/>
      <c r="F125" s="6"/>
      <c r="G125" s="6"/>
      <c r="H125" s="6"/>
      <c r="J125" s="393"/>
      <c r="K125" s="390"/>
      <c r="L125" s="14">
        <v>12</v>
      </c>
      <c r="M125" s="17" t="s">
        <v>179</v>
      </c>
      <c r="N125" s="14">
        <f>VLOOKUP(M125,'Nilai Kurikulum 2013'!$E$4:$I$176,2,FALSE)</f>
        <v>3</v>
      </c>
      <c r="O125" s="14" t="str">
        <f t="shared" si="1"/>
        <v>AIF453-3</v>
      </c>
      <c r="P125" s="15" t="str">
        <f>VLOOKUP(M125,'Nilai Kurikulum 2013'!$E$4:$I$176,5,FALSE)</f>
        <v>Kecerdasan Bisnis</v>
      </c>
      <c r="Q125" s="39"/>
    </row>
    <row r="126" spans="1:17" x14ac:dyDescent="0.25">
      <c r="A126" s="6"/>
      <c r="B126" s="6"/>
      <c r="C126" s="6"/>
      <c r="D126" s="6"/>
      <c r="E126" s="6"/>
      <c r="F126" s="6"/>
      <c r="G126" s="6"/>
      <c r="H126" s="6"/>
      <c r="J126" s="393"/>
      <c r="K126" s="390"/>
      <c r="L126" s="14">
        <v>13</v>
      </c>
      <c r="M126" s="17" t="s">
        <v>180</v>
      </c>
      <c r="N126" s="14">
        <f>VLOOKUP(M126,'Nilai Kurikulum 2013'!$E$4:$I$176,2,FALSE)</f>
        <v>3</v>
      </c>
      <c r="O126" s="14" t="str">
        <f t="shared" si="1"/>
        <v>AIF455-3</v>
      </c>
      <c r="P126" s="15" t="str">
        <f>VLOOKUP(M126,'Nilai Kurikulum 2013'!$E$4:$I$176,5,FALSE)</f>
        <v>Sistem Pendukung Keputusan</v>
      </c>
      <c r="Q126" s="39"/>
    </row>
    <row r="127" spans="1:17" x14ac:dyDescent="0.25">
      <c r="A127" s="6"/>
      <c r="B127" s="6"/>
      <c r="C127" s="6"/>
      <c r="D127" s="6"/>
      <c r="E127" s="6"/>
      <c r="F127" s="6"/>
      <c r="G127" s="6"/>
      <c r="H127" s="6"/>
      <c r="J127" s="393"/>
      <c r="K127" s="390"/>
      <c r="L127" s="14">
        <v>14</v>
      </c>
      <c r="M127" s="17" t="s">
        <v>181</v>
      </c>
      <c r="N127" s="14">
        <f>VLOOKUP(M127,'Nilai Kurikulum 2013'!$E$4:$I$176,2,FALSE)</f>
        <v>3</v>
      </c>
      <c r="O127" s="14" t="str">
        <f t="shared" si="1"/>
        <v>AIF457-3</v>
      </c>
      <c r="P127" s="15" t="str">
        <f>VLOOKUP(M127,'Nilai Kurikulum 2013'!$E$4:$I$176,5,FALSE)</f>
        <v>Kewirausahaan Berbasis Teknologi</v>
      </c>
      <c r="Q127" s="39"/>
    </row>
    <row r="128" spans="1:17" x14ac:dyDescent="0.25">
      <c r="A128" s="6"/>
      <c r="B128" s="6"/>
      <c r="C128" s="6"/>
      <c r="D128" s="6"/>
      <c r="E128" s="6"/>
      <c r="F128" s="6"/>
      <c r="G128" s="6"/>
      <c r="H128" s="6"/>
      <c r="J128" s="393"/>
      <c r="K128" s="390"/>
      <c r="L128" s="14">
        <v>15</v>
      </c>
      <c r="M128" s="17" t="s">
        <v>182</v>
      </c>
      <c r="N128" s="14">
        <f>VLOOKUP(M128,'Nilai Kurikulum 2013'!$E$4:$I$176,2,FALSE)</f>
        <v>3</v>
      </c>
      <c r="O128" s="14" t="str">
        <f t="shared" si="1"/>
        <v>AIF459-3</v>
      </c>
      <c r="P128" s="15" t="str">
        <f>VLOOKUP(M128,'Nilai Kurikulum 2013'!$E$4:$I$176,5,FALSE)</f>
        <v>Administrasi Basisdata</v>
      </c>
      <c r="Q128" s="39"/>
    </row>
    <row r="129" spans="1:17" x14ac:dyDescent="0.25">
      <c r="A129" s="6"/>
      <c r="B129" s="6"/>
      <c r="C129" s="6"/>
      <c r="D129" s="6"/>
      <c r="E129" s="6"/>
      <c r="F129" s="6"/>
      <c r="G129" s="6"/>
      <c r="H129" s="6"/>
      <c r="J129" s="393"/>
      <c r="K129" s="390"/>
      <c r="L129" s="14">
        <v>16</v>
      </c>
      <c r="M129" s="17" t="s">
        <v>183</v>
      </c>
      <c r="N129" s="14">
        <f>VLOOKUP(M129,'Nilai Kurikulum 2013'!$E$4:$I$176,2,FALSE)</f>
        <v>2</v>
      </c>
      <c r="O129" s="14" t="str">
        <f t="shared" si="1"/>
        <v>AIF461-2</v>
      </c>
      <c r="P129" s="15" t="str">
        <f>VLOOKUP(M129,'Nilai Kurikulum 2013'!$E$4:$I$176,5,FALSE)</f>
        <v>Pencarian dan Temu Kembali Informasi</v>
      </c>
      <c r="Q129" s="39"/>
    </row>
    <row r="130" spans="1:17" x14ac:dyDescent="0.25">
      <c r="A130" s="6"/>
      <c r="B130" s="6"/>
      <c r="C130" s="6"/>
      <c r="D130" s="6"/>
      <c r="E130" s="6"/>
      <c r="F130" s="6"/>
      <c r="G130" s="6"/>
      <c r="H130" s="6"/>
      <c r="J130" s="393"/>
      <c r="K130" s="390"/>
      <c r="L130" s="14">
        <v>17</v>
      </c>
      <c r="M130" s="17" t="s">
        <v>184</v>
      </c>
      <c r="N130" s="14">
        <f>VLOOKUP(M130,'Nilai Kurikulum 2013'!$E$4:$I$176,2,FALSE)</f>
        <v>3</v>
      </c>
      <c r="O130" s="14" t="str">
        <f t="shared" si="1"/>
        <v>AIF463-3</v>
      </c>
      <c r="P130" s="15" t="str">
        <f>VLOOKUP(M130,'Nilai Kurikulum 2013'!$E$4:$I$176,5,FALSE)</f>
        <v>Jaringan Nirkabel</v>
      </c>
      <c r="Q130" s="39"/>
    </row>
    <row r="131" spans="1:17" x14ac:dyDescent="0.25">
      <c r="A131" s="6"/>
      <c r="B131" s="6"/>
      <c r="C131" s="6"/>
      <c r="D131" s="6"/>
      <c r="E131" s="6"/>
      <c r="F131" s="6"/>
      <c r="G131" s="6"/>
      <c r="H131" s="6"/>
      <c r="J131" s="393"/>
      <c r="K131" s="390"/>
      <c r="L131" s="14">
        <v>18</v>
      </c>
      <c r="M131" s="17" t="s">
        <v>185</v>
      </c>
      <c r="N131" s="14">
        <f>VLOOKUP(M131,'Nilai Kurikulum 2013'!$E$4:$I$176,2,FALSE)</f>
        <v>3</v>
      </c>
      <c r="O131" s="14" t="str">
        <f t="shared" si="1"/>
        <v>AIF465-3</v>
      </c>
      <c r="P131" s="15" t="str">
        <f>VLOOKUP(M131,'Nilai Kurikulum 2013'!$E$4:$I$176,5,FALSE)</f>
        <v>Teknologi Middleware</v>
      </c>
      <c r="Q131" s="39"/>
    </row>
    <row r="132" spans="1:17" x14ac:dyDescent="0.25">
      <c r="A132" s="6"/>
      <c r="B132" s="6"/>
      <c r="C132" s="6"/>
      <c r="D132" s="6"/>
      <c r="E132" s="6"/>
      <c r="F132" s="6"/>
      <c r="G132" s="6"/>
      <c r="H132" s="6"/>
      <c r="J132" s="393"/>
      <c r="K132" s="390"/>
      <c r="L132" s="14">
        <v>19</v>
      </c>
      <c r="M132" s="17" t="s">
        <v>186</v>
      </c>
      <c r="N132" s="14">
        <f>VLOOKUP(M132,'Nilai Kurikulum 2013'!$E$4:$I$176,2,FALSE)</f>
        <v>3</v>
      </c>
      <c r="O132" s="14" t="str">
        <f t="shared" si="1"/>
        <v>AIF469-3</v>
      </c>
      <c r="P132" s="15" t="str">
        <f>VLOOKUP(M132,'Nilai Kurikulum 2013'!$E$4:$I$176,5,FALSE)</f>
        <v>Layanan Berbasis Web</v>
      </c>
      <c r="Q132" s="39"/>
    </row>
    <row r="133" spans="1:17" x14ac:dyDescent="0.25">
      <c r="A133" s="6"/>
      <c r="B133" s="6"/>
      <c r="C133" s="6"/>
      <c r="D133" s="6"/>
      <c r="E133" s="6"/>
      <c r="F133" s="6"/>
      <c r="G133" s="6"/>
      <c r="H133" s="6"/>
      <c r="J133" s="393"/>
      <c r="K133" s="390"/>
      <c r="L133" s="14">
        <v>20</v>
      </c>
      <c r="M133" s="17" t="s">
        <v>187</v>
      </c>
      <c r="N133" s="14">
        <f>VLOOKUP(M133,'Nilai Kurikulum 2013'!$E$4:$I$176,2,FALSE)</f>
        <v>3</v>
      </c>
      <c r="O133" s="14" t="str">
        <f t="shared" si="1"/>
        <v>AIF481-3</v>
      </c>
      <c r="P133" s="15" t="str">
        <f>VLOOKUP(M133,'Nilai Kurikulum 2013'!$E$4:$I$176,5,FALSE)</f>
        <v>Sistem Pakar</v>
      </c>
      <c r="Q133" s="39"/>
    </row>
    <row r="134" spans="1:17" x14ac:dyDescent="0.25">
      <c r="A134" s="6"/>
      <c r="B134" s="6"/>
      <c r="C134" s="6"/>
      <c r="D134" s="6"/>
      <c r="E134" s="6"/>
      <c r="F134" s="6"/>
      <c r="G134" s="6"/>
      <c r="H134" s="6"/>
      <c r="J134" s="393"/>
      <c r="K134" s="390"/>
      <c r="L134" s="14">
        <v>21</v>
      </c>
      <c r="M134" s="17" t="s">
        <v>188</v>
      </c>
      <c r="N134" s="14">
        <f>VLOOKUP(M134,'Nilai Kurikulum 2013'!$E$4:$I$176,2,FALSE)</f>
        <v>2</v>
      </c>
      <c r="O134" s="14" t="str">
        <f t="shared" si="1"/>
        <v>AIF483-2</v>
      </c>
      <c r="P134" s="15" t="str">
        <f>VLOOKUP(M134,'Nilai Kurikulum 2013'!$E$4:$I$176,5,FALSE)</f>
        <v>Teknik Kompilasi</v>
      </c>
      <c r="Q134" s="39"/>
    </row>
    <row r="135" spans="1:17" x14ac:dyDescent="0.25">
      <c r="A135" s="6"/>
      <c r="B135" s="6"/>
      <c r="C135" s="6"/>
      <c r="D135" s="6"/>
      <c r="E135" s="6"/>
      <c r="F135" s="6"/>
      <c r="G135" s="6"/>
      <c r="H135" s="6"/>
      <c r="J135" s="393"/>
      <c r="K135" s="390"/>
      <c r="L135" s="14">
        <v>22</v>
      </c>
      <c r="M135" s="17" t="s">
        <v>189</v>
      </c>
      <c r="N135" s="14">
        <f>VLOOKUP(M135,'Nilai Kurikulum 2013'!$E$4:$I$176,2,FALSE)</f>
        <v>2</v>
      </c>
      <c r="O135" s="14" t="str">
        <f t="shared" si="1"/>
        <v>AIF485-2</v>
      </c>
      <c r="P135" s="15" t="str">
        <f>VLOOKUP(M135,'Nilai Kurikulum 2013'!$E$4:$I$176,5,FALSE)</f>
        <v>Metode Formal</v>
      </c>
      <c r="Q135" s="39"/>
    </row>
    <row r="136" spans="1:17" x14ac:dyDescent="0.25">
      <c r="A136" s="6"/>
      <c r="B136" s="6"/>
      <c r="C136" s="6"/>
      <c r="D136" s="6"/>
      <c r="E136" s="6"/>
      <c r="F136" s="6"/>
      <c r="G136" s="6"/>
      <c r="H136" s="6"/>
      <c r="J136" s="393"/>
      <c r="K136" s="390"/>
      <c r="L136" s="14">
        <v>23</v>
      </c>
      <c r="M136" s="17" t="s">
        <v>190</v>
      </c>
      <c r="N136" s="14">
        <f>VLOOKUP(M136,'Nilai Kurikulum 2013'!$E$4:$I$176,2,FALSE)</f>
        <v>2</v>
      </c>
      <c r="O136" s="14" t="str">
        <f t="shared" si="1"/>
        <v>AIF487-2</v>
      </c>
      <c r="P136" s="15" t="str">
        <f>VLOOKUP(M136,'Nilai Kurikulum 2013'!$E$4:$I$176,5,FALSE)</f>
        <v>Perencanaan Sistem Informasi</v>
      </c>
      <c r="Q136" s="39"/>
    </row>
    <row r="137" spans="1:17" ht="15.75" thickBot="1" x14ac:dyDescent="0.3">
      <c r="A137" s="6"/>
      <c r="B137" s="6"/>
      <c r="C137" s="6"/>
      <c r="D137" s="6"/>
      <c r="E137" s="6"/>
      <c r="F137" s="6"/>
      <c r="G137" s="6"/>
      <c r="H137" s="6"/>
      <c r="J137" s="393"/>
      <c r="K137" s="395"/>
      <c r="L137" s="18">
        <v>24</v>
      </c>
      <c r="M137" s="26" t="s">
        <v>191</v>
      </c>
      <c r="N137" s="18">
        <f>VLOOKUP(M137,'Nilai Kurikulum 2013'!$E$4:$I$176,2,FALSE)</f>
        <v>2</v>
      </c>
      <c r="O137" s="18" t="str">
        <f t="shared" si="1"/>
        <v>AIF489-2</v>
      </c>
      <c r="P137" s="25" t="str">
        <f>VLOOKUP(M137,'Nilai Kurikulum 2013'!$E$4:$I$176,5,FALSE)</f>
        <v>Keamanan Informasi Dijital</v>
      </c>
      <c r="Q137" s="42"/>
    </row>
    <row r="138" spans="1:17" x14ac:dyDescent="0.25">
      <c r="A138" s="6"/>
      <c r="B138" s="6"/>
      <c r="C138" s="6"/>
      <c r="D138" s="6"/>
      <c r="E138" s="6"/>
      <c r="F138" s="6"/>
      <c r="G138" s="6"/>
      <c r="H138" s="6"/>
      <c r="J138" s="393"/>
      <c r="K138" s="390">
        <v>8</v>
      </c>
      <c r="L138" s="11">
        <v>1</v>
      </c>
      <c r="M138" s="28" t="s">
        <v>192</v>
      </c>
      <c r="N138" s="11">
        <f>VLOOKUP(M138,'Nilai Kurikulum 2013'!$E$4:$I$176,2,FALSE)</f>
        <v>2</v>
      </c>
      <c r="O138" s="11" t="str">
        <f t="shared" si="1"/>
        <v>AIF432-2</v>
      </c>
      <c r="P138" s="12" t="str">
        <f>VLOOKUP(M138,'Nilai Kurikulum 2013'!$E$4:$I$176,5,FALSE)</f>
        <v>Topik Khusus Informatika 4</v>
      </c>
      <c r="Q138" s="43"/>
    </row>
    <row r="139" spans="1:17" x14ac:dyDescent="0.25">
      <c r="A139" s="6"/>
      <c r="B139" s="6"/>
      <c r="C139" s="6"/>
      <c r="D139" s="6"/>
      <c r="E139" s="6"/>
      <c r="F139" s="6"/>
      <c r="G139" s="6"/>
      <c r="H139" s="6"/>
      <c r="J139" s="393"/>
      <c r="K139" s="390"/>
      <c r="L139" s="14">
        <v>2</v>
      </c>
      <c r="M139" s="17" t="s">
        <v>193</v>
      </c>
      <c r="N139" s="14">
        <f>VLOOKUP(M139,'Nilai Kurikulum 2013'!$E$4:$I$176,2,FALSE)</f>
        <v>2</v>
      </c>
      <c r="O139" s="14" t="str">
        <f t="shared" si="1"/>
        <v>AIF434-2</v>
      </c>
      <c r="P139" s="15" t="str">
        <f>VLOOKUP(M139,'Nilai Kurikulum 2013'!$E$4:$I$176,5,FALSE)</f>
        <v>Topik Khusus Sistem Informasi 4</v>
      </c>
      <c r="Q139" s="39"/>
    </row>
    <row r="140" spans="1:17" x14ac:dyDescent="0.25">
      <c r="A140" s="6"/>
      <c r="B140" s="6"/>
      <c r="C140" s="6"/>
      <c r="D140" s="6"/>
      <c r="E140" s="6"/>
      <c r="F140" s="6"/>
      <c r="G140" s="6"/>
      <c r="H140" s="6"/>
      <c r="J140" s="393"/>
      <c r="K140" s="390"/>
      <c r="L140" s="14">
        <v>3</v>
      </c>
      <c r="M140" s="17" t="s">
        <v>194</v>
      </c>
      <c r="N140" s="14">
        <f>VLOOKUP(M140,'Nilai Kurikulum 2013'!$E$4:$I$176,2,FALSE)</f>
        <v>3</v>
      </c>
      <c r="O140" s="14" t="str">
        <f t="shared" si="1"/>
        <v>AIF436-3</v>
      </c>
      <c r="P140" s="15" t="str">
        <f>VLOOKUP(M140,'Nilai Kurikulum 2013'!$E$4:$I$176,5,FALSE)</f>
        <v>Bio-Inspired Computing</v>
      </c>
      <c r="Q140" s="39"/>
    </row>
    <row r="141" spans="1:17" x14ac:dyDescent="0.25">
      <c r="A141" s="6"/>
      <c r="B141" s="6"/>
      <c r="C141" s="6"/>
      <c r="D141" s="6"/>
      <c r="E141" s="6"/>
      <c r="F141" s="6"/>
      <c r="G141" s="6"/>
      <c r="H141" s="6"/>
      <c r="J141" s="393"/>
      <c r="K141" s="390"/>
      <c r="L141" s="14">
        <v>4</v>
      </c>
      <c r="M141" s="17" t="s">
        <v>195</v>
      </c>
      <c r="N141" s="14">
        <f>VLOOKUP(M141,'Nilai Kurikulum 2013'!$E$4:$I$176,2,FALSE)</f>
        <v>3</v>
      </c>
      <c r="O141" s="14" t="str">
        <f t="shared" si="1"/>
        <v>AIF438-3</v>
      </c>
      <c r="P141" s="15" t="str">
        <f>VLOOKUP(M141,'Nilai Kurikulum 2013'!$E$4:$I$176,5,FALSE)</f>
        <v>Penambangan Data</v>
      </c>
      <c r="Q141" s="39"/>
    </row>
    <row r="142" spans="1:17" x14ac:dyDescent="0.25">
      <c r="A142" s="6"/>
      <c r="B142" s="6"/>
      <c r="C142" s="6"/>
      <c r="D142" s="6"/>
      <c r="E142" s="6"/>
      <c r="F142" s="6"/>
      <c r="G142" s="6"/>
      <c r="H142" s="6"/>
      <c r="J142" s="393"/>
      <c r="K142" s="390"/>
      <c r="L142" s="14">
        <v>5</v>
      </c>
      <c r="M142" s="17" t="s">
        <v>196</v>
      </c>
      <c r="N142" s="14">
        <f>VLOOKUP(M142,'Nilai Kurikulum 2013'!$E$4:$I$176,2,FALSE)</f>
        <v>4</v>
      </c>
      <c r="O142" s="14" t="str">
        <f t="shared" si="1"/>
        <v>AIF440-4</v>
      </c>
      <c r="P142" s="15" t="str">
        <f>VLOOKUP(M142,'Nilai Kurikulum 2013'!$E$4:$I$176,5,FALSE)</f>
        <v>Kerja Praktek 3</v>
      </c>
      <c r="Q142" s="39"/>
    </row>
    <row r="143" spans="1:17" x14ac:dyDescent="0.25">
      <c r="A143" s="6"/>
      <c r="B143" s="6"/>
      <c r="C143" s="6"/>
      <c r="D143" s="6"/>
      <c r="E143" s="6"/>
      <c r="F143" s="6"/>
      <c r="G143" s="6"/>
      <c r="H143" s="6"/>
      <c r="J143" s="393"/>
      <c r="K143" s="390"/>
      <c r="L143" s="14">
        <v>6</v>
      </c>
      <c r="M143" s="17" t="s">
        <v>197</v>
      </c>
      <c r="N143" s="14">
        <f>VLOOKUP(M143,'Nilai Kurikulum 2013'!$E$4:$I$176,2,FALSE)</f>
        <v>3</v>
      </c>
      <c r="O143" s="14" t="str">
        <f t="shared" si="1"/>
        <v>AIF442-3</v>
      </c>
      <c r="P143" s="15" t="str">
        <f>VLOOKUP(M143,'Nilai Kurikulum 2013'!$E$4:$I$176,5,FALSE)</f>
        <v>Administrasi Jaringan Komputer 4</v>
      </c>
      <c r="Q143" s="39"/>
    </row>
    <row r="144" spans="1:17" x14ac:dyDescent="0.25">
      <c r="A144" s="6"/>
      <c r="B144" s="6"/>
      <c r="C144" s="6"/>
      <c r="D144" s="6"/>
      <c r="E144" s="6"/>
      <c r="F144" s="6"/>
      <c r="G144" s="6"/>
      <c r="H144" s="6"/>
      <c r="J144" s="393"/>
      <c r="K144" s="390"/>
      <c r="L144" s="14">
        <v>7</v>
      </c>
      <c r="M144" s="17" t="s">
        <v>198</v>
      </c>
      <c r="N144" s="14">
        <f>VLOOKUP(M144,'Nilai Kurikulum 2013'!$E$4:$I$176,2,FALSE)</f>
        <v>3</v>
      </c>
      <c r="O144" s="14" t="str">
        <f t="shared" si="1"/>
        <v>AIF444-3</v>
      </c>
      <c r="P144" s="15" t="str">
        <f>VLOOKUP(M144,'Nilai Kurikulum 2013'!$E$4:$I$176,5,FALSE)</f>
        <v>Pemrograman Permainan Komputer</v>
      </c>
      <c r="Q144" s="39"/>
    </row>
    <row r="145" spans="1:17" x14ac:dyDescent="0.25">
      <c r="A145" s="6"/>
      <c r="B145" s="6"/>
      <c r="C145" s="6"/>
      <c r="D145" s="6"/>
      <c r="E145" s="6"/>
      <c r="F145" s="6"/>
      <c r="G145" s="6"/>
      <c r="H145" s="6"/>
      <c r="J145" s="393"/>
      <c r="K145" s="390"/>
      <c r="L145" s="14">
        <v>8</v>
      </c>
      <c r="M145" s="17" t="s">
        <v>199</v>
      </c>
      <c r="N145" s="14">
        <f>VLOOKUP(M145,'Nilai Kurikulum 2013'!$E$4:$I$176,2,FALSE)</f>
        <v>3</v>
      </c>
      <c r="O145" s="14" t="str">
        <f t="shared" ref="O145:O186" si="3">M145&amp;"-"&amp;N145</f>
        <v>AIF446-3</v>
      </c>
      <c r="P145" s="15" t="str">
        <f>VLOOKUP(M145,'Nilai Kurikulum 2013'!$E$4:$I$176,5,FALSE)</f>
        <v>Kompresi Data</v>
      </c>
      <c r="Q145" s="39"/>
    </row>
    <row r="146" spans="1:17" x14ac:dyDescent="0.25">
      <c r="A146" s="6"/>
      <c r="B146" s="6"/>
      <c r="C146" s="6"/>
      <c r="D146" s="6"/>
      <c r="E146" s="6"/>
      <c r="F146" s="6"/>
      <c r="G146" s="6"/>
      <c r="H146" s="6"/>
      <c r="J146" s="393"/>
      <c r="K146" s="390"/>
      <c r="L146" s="14">
        <v>9</v>
      </c>
      <c r="M146" s="17" t="s">
        <v>200</v>
      </c>
      <c r="N146" s="14">
        <f>VLOOKUP(M146,'Nilai Kurikulum 2013'!$E$4:$I$176,2,FALSE)</f>
        <v>3</v>
      </c>
      <c r="O146" s="14" t="str">
        <f t="shared" si="3"/>
        <v>AIF448-3</v>
      </c>
      <c r="P146" s="15" t="str">
        <f>VLOOKUP(M146,'Nilai Kurikulum 2013'!$E$4:$I$176,5,FALSE)</f>
        <v>Pemrosesan Data Geografis</v>
      </c>
      <c r="Q146" s="39"/>
    </row>
    <row r="147" spans="1:17" x14ac:dyDescent="0.25">
      <c r="A147" s="6"/>
      <c r="B147" s="6"/>
      <c r="C147" s="6"/>
      <c r="D147" s="6"/>
      <c r="E147" s="6"/>
      <c r="F147" s="6"/>
      <c r="G147" s="6"/>
      <c r="H147" s="6"/>
      <c r="J147" s="393"/>
      <c r="K147" s="390"/>
      <c r="L147" s="14">
        <v>10</v>
      </c>
      <c r="M147" s="17" t="s">
        <v>201</v>
      </c>
      <c r="N147" s="14">
        <f>VLOOKUP(M147,'Nilai Kurikulum 2013'!$E$4:$I$176,2,FALSE)</f>
        <v>3</v>
      </c>
      <c r="O147" s="14" t="str">
        <f t="shared" si="3"/>
        <v>AIF450-3</v>
      </c>
      <c r="P147" s="15" t="str">
        <f>VLOOKUP(M147,'Nilai Kurikulum 2013'!$E$4:$I$176,5,FALSE)</f>
        <v>Pengolahan Citra</v>
      </c>
      <c r="Q147" s="39"/>
    </row>
    <row r="148" spans="1:17" x14ac:dyDescent="0.25">
      <c r="A148" s="6"/>
      <c r="B148" s="6"/>
      <c r="C148" s="6"/>
      <c r="D148" s="6"/>
      <c r="E148" s="6"/>
      <c r="F148" s="6"/>
      <c r="G148" s="6"/>
      <c r="H148" s="6"/>
      <c r="J148" s="393"/>
      <c r="K148" s="390"/>
      <c r="L148" s="14">
        <v>11</v>
      </c>
      <c r="M148" s="17" t="s">
        <v>202</v>
      </c>
      <c r="N148" s="14">
        <f>VLOOKUP(M148,'Nilai Kurikulum 2013'!$E$4:$I$176,2,FALSE)</f>
        <v>2</v>
      </c>
      <c r="O148" s="14" t="str">
        <f t="shared" si="3"/>
        <v>AIF452-2</v>
      </c>
      <c r="P148" s="15" t="str">
        <f>VLOOKUP(M148,'Nilai Kurikulum 2013'!$E$4:$I$176,5,FALSE)</f>
        <v>Pemrograman Lojik</v>
      </c>
      <c r="Q148" s="39"/>
    </row>
    <row r="149" spans="1:17" x14ac:dyDescent="0.25">
      <c r="A149" s="6"/>
      <c r="B149" s="6"/>
      <c r="C149" s="6"/>
      <c r="D149" s="6"/>
      <c r="E149" s="6"/>
      <c r="F149" s="6"/>
      <c r="G149" s="6"/>
      <c r="H149" s="6"/>
      <c r="J149" s="393"/>
      <c r="K149" s="390"/>
      <c r="L149" s="14">
        <v>12</v>
      </c>
      <c r="M149" s="17" t="s">
        <v>203</v>
      </c>
      <c r="N149" s="14">
        <f>VLOOKUP(M149,'Nilai Kurikulum 2013'!$E$4:$I$176,2,FALSE)</f>
        <v>2</v>
      </c>
      <c r="O149" s="14" t="str">
        <f t="shared" si="3"/>
        <v>AIF454-2</v>
      </c>
      <c r="P149" s="15" t="str">
        <f>VLOOKUP(M149,'Nilai Kurikulum 2013'!$E$4:$I$176,5,FALSE)</f>
        <v>Sistem Multi Agen</v>
      </c>
      <c r="Q149" s="39"/>
    </row>
    <row r="150" spans="1:17" x14ac:dyDescent="0.25">
      <c r="A150" s="6"/>
      <c r="B150" s="6"/>
      <c r="C150" s="6"/>
      <c r="D150" s="6"/>
      <c r="E150" s="6"/>
      <c r="F150" s="6"/>
      <c r="G150" s="6"/>
      <c r="H150" s="6"/>
      <c r="J150" s="393"/>
      <c r="K150" s="390"/>
      <c r="L150" s="14">
        <v>13</v>
      </c>
      <c r="M150" s="17" t="s">
        <v>204</v>
      </c>
      <c r="N150" s="14">
        <f>VLOOKUP(M150,'Nilai Kurikulum 2013'!$E$4:$I$176,2,FALSE)</f>
        <v>3</v>
      </c>
      <c r="O150" s="14" t="str">
        <f t="shared" si="3"/>
        <v>AIF456-3</v>
      </c>
      <c r="P150" s="15" t="str">
        <f>VLOOKUP(M150,'Nilai Kurikulum 2013'!$E$4:$I$176,5,FALSE)</f>
        <v>Strategi Sistem Informasi &amp; Arsitektur Perusahaan Berskala Besar</v>
      </c>
      <c r="Q150" s="39"/>
    </row>
    <row r="151" spans="1:17" x14ac:dyDescent="0.25">
      <c r="A151" s="6"/>
      <c r="B151" s="6"/>
      <c r="C151" s="6"/>
      <c r="D151" s="6"/>
      <c r="E151" s="6"/>
      <c r="F151" s="6"/>
      <c r="G151" s="6"/>
      <c r="H151" s="6"/>
      <c r="J151" s="393"/>
      <c r="K151" s="390"/>
      <c r="L151" s="14">
        <v>14</v>
      </c>
      <c r="M151" s="17" t="s">
        <v>205</v>
      </c>
      <c r="N151" s="14">
        <f>VLOOKUP(M151,'Nilai Kurikulum 2013'!$E$4:$I$176,2,FALSE)</f>
        <v>3</v>
      </c>
      <c r="O151" s="14" t="str">
        <f t="shared" si="3"/>
        <v>AIF458-3</v>
      </c>
      <c r="P151" s="15" t="str">
        <f>VLOOKUP(M151,'Nilai Kurikulum 2013'!$E$4:$I$176,5,FALSE)</f>
        <v>Pengendalian &amp; Audit Teknologi Informasi</v>
      </c>
      <c r="Q151" s="39"/>
    </row>
    <row r="152" spans="1:17" x14ac:dyDescent="0.25">
      <c r="A152" s="6"/>
      <c r="B152" s="6"/>
      <c r="C152" s="6"/>
      <c r="D152" s="6"/>
      <c r="E152" s="6"/>
      <c r="F152" s="6"/>
      <c r="G152" s="6"/>
      <c r="H152" s="6"/>
      <c r="J152" s="393"/>
      <c r="K152" s="390"/>
      <c r="L152" s="14">
        <v>15</v>
      </c>
      <c r="M152" s="17" t="s">
        <v>206</v>
      </c>
      <c r="N152" s="14">
        <f>VLOOKUP(M152,'Nilai Kurikulum 2013'!$E$4:$I$176,2,FALSE)</f>
        <v>3</v>
      </c>
      <c r="O152" s="14" t="str">
        <f t="shared" si="3"/>
        <v>AIF460-3</v>
      </c>
      <c r="P152" s="15" t="str">
        <f>VLOOKUP(M152,'Nilai Kurikulum 2013'!$E$4:$I$176,5,FALSE)</f>
        <v>Manajemen Pengetahuan</v>
      </c>
      <c r="Q152" s="39"/>
    </row>
    <row r="153" spans="1:17" x14ac:dyDescent="0.25">
      <c r="A153" s="6"/>
      <c r="B153" s="6"/>
      <c r="C153" s="6"/>
      <c r="D153" s="6"/>
      <c r="E153" s="6"/>
      <c r="F153" s="6"/>
      <c r="G153" s="6"/>
      <c r="H153" s="6"/>
      <c r="J153" s="393"/>
      <c r="K153" s="390"/>
      <c r="L153" s="14">
        <v>16</v>
      </c>
      <c r="M153" s="17" t="s">
        <v>207</v>
      </c>
      <c r="N153" s="14">
        <f>VLOOKUP(M153,'Nilai Kurikulum 2013'!$E$4:$I$176,2,FALSE)</f>
        <v>3</v>
      </c>
      <c r="O153" s="14" t="str">
        <f t="shared" si="3"/>
        <v>AIF462-3</v>
      </c>
      <c r="P153" s="15" t="str">
        <f>VLOOKUP(M153,'Nilai Kurikulum 2013'!$E$4:$I$176,5,FALSE)</f>
        <v>Manajemen Proses Bisnis</v>
      </c>
      <c r="Q153" s="39"/>
    </row>
    <row r="154" spans="1:17" x14ac:dyDescent="0.25">
      <c r="A154" s="6"/>
      <c r="B154" s="6"/>
      <c r="C154" s="6"/>
      <c r="D154" s="6"/>
      <c r="E154" s="6"/>
      <c r="F154" s="6"/>
      <c r="G154" s="6"/>
      <c r="H154" s="6"/>
      <c r="J154" s="393"/>
      <c r="K154" s="390"/>
      <c r="L154" s="14">
        <v>17</v>
      </c>
      <c r="M154" s="17" t="s">
        <v>208</v>
      </c>
      <c r="N154" s="14">
        <f>VLOOKUP(M154,'Nilai Kurikulum 2013'!$E$4:$I$176,2,FALSE)</f>
        <v>2</v>
      </c>
      <c r="O154" s="14" t="str">
        <f t="shared" si="3"/>
        <v>AIF464-2</v>
      </c>
      <c r="P154" s="15" t="str">
        <f>VLOOKUP(M154,'Nilai Kurikulum 2013'!$E$4:$I$176,5,FALSE)</f>
        <v>Sistem Perusahaan Skala Besar</v>
      </c>
      <c r="Q154" s="39"/>
    </row>
    <row r="155" spans="1:17" x14ac:dyDescent="0.25">
      <c r="A155" s="6"/>
      <c r="B155" s="6"/>
      <c r="C155" s="6"/>
      <c r="D155" s="6"/>
      <c r="E155" s="6"/>
      <c r="F155" s="6"/>
      <c r="G155" s="6"/>
      <c r="H155" s="6"/>
      <c r="J155" s="393"/>
      <c r="K155" s="390"/>
      <c r="L155" s="14">
        <v>18</v>
      </c>
      <c r="M155" s="17" t="s">
        <v>209</v>
      </c>
      <c r="N155" s="14">
        <f>VLOOKUP(M155,'Nilai Kurikulum 2013'!$E$4:$I$176,2,FALSE)</f>
        <v>3</v>
      </c>
      <c r="O155" s="14" t="str">
        <f t="shared" si="3"/>
        <v>AIF466-3</v>
      </c>
      <c r="P155" s="15" t="str">
        <f>VLOOKUP(M155,'Nilai Kurikulum 2013'!$E$4:$I$176,5,FALSE)</f>
        <v>Sistem Terdistribusi</v>
      </c>
      <c r="Q155" s="39"/>
    </row>
    <row r="156" spans="1:17" x14ac:dyDescent="0.25">
      <c r="A156" s="6"/>
      <c r="B156" s="6"/>
      <c r="C156" s="6"/>
      <c r="D156" s="6"/>
      <c r="E156" s="6"/>
      <c r="F156" s="6"/>
      <c r="G156" s="6"/>
      <c r="H156" s="6"/>
      <c r="J156" s="393"/>
      <c r="K156" s="390"/>
      <c r="L156" s="14">
        <v>19</v>
      </c>
      <c r="M156" s="17" t="s">
        <v>210</v>
      </c>
      <c r="N156" s="14">
        <f>VLOOKUP(M156,'Nilai Kurikulum 2013'!$E$4:$I$176,2,FALSE)</f>
        <v>3</v>
      </c>
      <c r="O156" s="14" t="str">
        <f t="shared" si="3"/>
        <v>AIF468-3</v>
      </c>
      <c r="P156" s="15" t="str">
        <f>VLOOKUP(M156,'Nilai Kurikulum 2013'!$E$4:$I$176,5,FALSE)</f>
        <v>Teknologi Multimedia</v>
      </c>
      <c r="Q156" s="39"/>
    </row>
    <row r="157" spans="1:17" x14ac:dyDescent="0.25">
      <c r="A157" s="6"/>
      <c r="B157" s="6"/>
      <c r="C157" s="6"/>
      <c r="D157" s="6"/>
      <c r="E157" s="6"/>
      <c r="F157" s="6"/>
      <c r="G157" s="6"/>
      <c r="H157" s="6"/>
      <c r="J157" s="393"/>
      <c r="K157" s="390"/>
      <c r="L157" s="14">
        <v>20</v>
      </c>
      <c r="M157" s="17" t="s">
        <v>211</v>
      </c>
      <c r="N157" s="14">
        <f>VLOOKUP(M157,'Nilai Kurikulum 2013'!$E$4:$I$176,2,FALSE)</f>
        <v>2</v>
      </c>
      <c r="O157" s="14" t="str">
        <f t="shared" si="3"/>
        <v>AIF470-2</v>
      </c>
      <c r="P157" s="15" t="str">
        <f>VLOOKUP(M157,'Nilai Kurikulum 2013'!$E$4:$I$176,5,FALSE)</f>
        <v>Pemrograman Jaringan</v>
      </c>
      <c r="Q157" s="39"/>
    </row>
    <row r="158" spans="1:17" x14ac:dyDescent="0.25">
      <c r="A158" s="6"/>
      <c r="B158" s="6"/>
      <c r="C158" s="6"/>
      <c r="D158" s="6"/>
      <c r="E158" s="6"/>
      <c r="F158" s="6"/>
      <c r="G158" s="6"/>
      <c r="H158" s="6"/>
      <c r="J158" s="393"/>
      <c r="K158" s="390"/>
      <c r="L158" s="14">
        <v>21</v>
      </c>
      <c r="M158" s="17" t="s">
        <v>606</v>
      </c>
      <c r="N158" s="14">
        <v>3</v>
      </c>
      <c r="O158" s="14" t="s">
        <v>608</v>
      </c>
      <c r="P158" s="15" t="s">
        <v>607</v>
      </c>
      <c r="Q158" s="39"/>
    </row>
    <row r="159" spans="1:17" x14ac:dyDescent="0.25">
      <c r="A159" s="6"/>
      <c r="B159" s="6"/>
      <c r="C159" s="6"/>
      <c r="D159" s="6"/>
      <c r="E159" s="6"/>
      <c r="F159" s="6"/>
      <c r="G159" s="6"/>
      <c r="H159" s="6"/>
      <c r="J159" s="393"/>
      <c r="K159" s="390"/>
      <c r="L159" s="14">
        <v>22</v>
      </c>
      <c r="M159" s="17" t="s">
        <v>212</v>
      </c>
      <c r="N159" s="14">
        <f>VLOOKUP(M159,'Nilai Kurikulum 2013'!$E$4:$I$176,2,FALSE)</f>
        <v>2</v>
      </c>
      <c r="O159" s="14" t="str">
        <f t="shared" si="3"/>
        <v>AIF480-2</v>
      </c>
      <c r="P159" s="15" t="str">
        <f>VLOOKUP(M159,'Nilai Kurikulum 2013'!$E$4:$I$176,5,FALSE)</f>
        <v>Pemrograman Sistem</v>
      </c>
      <c r="Q159" s="39"/>
    </row>
    <row r="160" spans="1:17" x14ac:dyDescent="0.25">
      <c r="A160" s="6"/>
      <c r="B160" s="6"/>
      <c r="C160" s="6"/>
      <c r="D160" s="6"/>
      <c r="E160" s="6"/>
      <c r="F160" s="6"/>
      <c r="G160" s="6"/>
      <c r="H160" s="6"/>
      <c r="J160" s="393"/>
      <c r="K160" s="390"/>
      <c r="L160" s="14">
        <v>23</v>
      </c>
      <c r="M160" s="17" t="s">
        <v>213</v>
      </c>
      <c r="N160" s="14">
        <f>VLOOKUP(M160,'Nilai Kurikulum 2013'!$E$4:$I$176,2,FALSE)</f>
        <v>2</v>
      </c>
      <c r="O160" s="14" t="str">
        <f t="shared" si="3"/>
        <v>AIF482-2</v>
      </c>
      <c r="P160" s="15" t="str">
        <f>VLOOKUP(M160,'Nilai Kurikulum 2013'!$E$4:$I$176,5,FALSE)</f>
        <v>Pemerintahan Berbasis Elektronik</v>
      </c>
      <c r="Q160" s="39"/>
    </row>
    <row r="161" spans="1:17" x14ac:dyDescent="0.25">
      <c r="A161" s="6"/>
      <c r="B161" s="6"/>
      <c r="C161" s="6"/>
      <c r="D161" s="6"/>
      <c r="E161" s="6"/>
      <c r="F161" s="6"/>
      <c r="G161" s="6"/>
      <c r="H161" s="6"/>
      <c r="J161" s="393"/>
      <c r="K161" s="390"/>
      <c r="L161" s="14">
        <v>24</v>
      </c>
      <c r="M161" s="17" t="s">
        <v>214</v>
      </c>
      <c r="N161" s="14">
        <f>VLOOKUP(M161,'Nilai Kurikulum 2013'!$E$4:$I$176,2,FALSE)</f>
        <v>3</v>
      </c>
      <c r="O161" s="14" t="str">
        <f t="shared" si="3"/>
        <v>AIF484-3</v>
      </c>
      <c r="P161" s="15" t="str">
        <f>VLOOKUP(M161,'Nilai Kurikulum 2013'!$E$4:$I$176,5,FALSE)</f>
        <v>Kewirausahaan</v>
      </c>
      <c r="Q161" s="39"/>
    </row>
    <row r="162" spans="1:17" ht="15.75" thickBot="1" x14ac:dyDescent="0.3">
      <c r="A162" s="6"/>
      <c r="B162" s="6"/>
      <c r="C162" s="6"/>
      <c r="D162" s="6"/>
      <c r="E162" s="6"/>
      <c r="F162" s="6"/>
      <c r="G162" s="6"/>
      <c r="H162" s="6"/>
      <c r="J162" s="393"/>
      <c r="K162" s="391"/>
      <c r="L162" s="252">
        <v>25</v>
      </c>
      <c r="M162" s="35" t="s">
        <v>215</v>
      </c>
      <c r="N162" s="252">
        <f>VLOOKUP(M162,'Nilai Kurikulum 2013'!$E$4:$I$176,2,FALSE)</f>
        <v>3</v>
      </c>
      <c r="O162" s="252" t="str">
        <f t="shared" si="3"/>
        <v>AIF486-3</v>
      </c>
      <c r="P162" s="36" t="str">
        <f>VLOOKUP(M162,'Nilai Kurikulum 2013'!$E$4:$I$176,5,FALSE)</f>
        <v>Keamanan Jaringan</v>
      </c>
      <c r="Q162" s="44"/>
    </row>
    <row r="163" spans="1:17" ht="15.75" customHeight="1" thickTop="1" x14ac:dyDescent="0.25">
      <c r="A163" s="6"/>
      <c r="B163" s="6"/>
      <c r="C163" s="6"/>
      <c r="D163" s="6"/>
      <c r="E163" s="6"/>
      <c r="F163" s="6"/>
      <c r="G163" s="6"/>
      <c r="H163" s="6"/>
      <c r="I163" s="236"/>
      <c r="J163" s="386" t="s">
        <v>55</v>
      </c>
      <c r="K163" s="389">
        <v>9</v>
      </c>
      <c r="L163" s="11">
        <v>1</v>
      </c>
      <c r="M163" s="28" t="s">
        <v>217</v>
      </c>
      <c r="N163" s="11">
        <f>VLOOKUP(M163,'Nilai Kurikulum 2013'!$E$4:$I$176,2,FALSE)</f>
        <v>3</v>
      </c>
      <c r="O163" s="11" t="str">
        <f t="shared" si="3"/>
        <v>AMS390-3</v>
      </c>
      <c r="P163" s="12" t="str">
        <f>VLOOKUP(M163,'Nilai Kurikulum 2013'!$E$4:$I$176,5,FALSE)</f>
        <v>Pemrograman Linear</v>
      </c>
      <c r="Q163" s="43"/>
    </row>
    <row r="164" spans="1:17" x14ac:dyDescent="0.25">
      <c r="A164" s="6"/>
      <c r="B164" s="6"/>
      <c r="C164" s="6"/>
      <c r="D164" s="6"/>
      <c r="E164" s="6"/>
      <c r="F164" s="6"/>
      <c r="G164" s="6"/>
      <c r="H164" s="6"/>
      <c r="I164" s="236"/>
      <c r="J164" s="387"/>
      <c r="K164" s="390"/>
      <c r="L164" s="14">
        <v>2</v>
      </c>
      <c r="M164" s="17" t="s">
        <v>218</v>
      </c>
      <c r="N164" s="14">
        <f>VLOOKUP(M164,'Nilai Kurikulum 2013'!$E$4:$I$176,2,FALSE)</f>
        <v>3</v>
      </c>
      <c r="O164" s="14" t="str">
        <f t="shared" si="3"/>
        <v>AMS391-3</v>
      </c>
      <c r="P164" s="15" t="str">
        <f>VLOOKUP(M164,'Nilai Kurikulum 2013'!$E$4:$I$176,5,FALSE)</f>
        <v>Teori Bilangan</v>
      </c>
      <c r="Q164" s="39"/>
    </row>
    <row r="165" spans="1:17" x14ac:dyDescent="0.25">
      <c r="A165" s="6"/>
      <c r="B165" s="6"/>
      <c r="C165" s="6"/>
      <c r="D165" s="6"/>
      <c r="E165" s="6"/>
      <c r="F165" s="6"/>
      <c r="G165" s="6"/>
      <c r="H165" s="6"/>
      <c r="I165" s="236"/>
      <c r="J165" s="387"/>
      <c r="K165" s="390"/>
      <c r="L165" s="14">
        <v>3</v>
      </c>
      <c r="M165" s="17" t="s">
        <v>594</v>
      </c>
      <c r="N165" s="14">
        <f>VLOOKUP(M165,'Nilai Kurikulum 2013'!$E$4:$I$176,2,FALSE)</f>
        <v>2</v>
      </c>
      <c r="O165" s="14" t="str">
        <f t="shared" si="3"/>
        <v>APS302-2</v>
      </c>
      <c r="P165" s="17" t="str">
        <f>VLOOKUP(M165,'Nilai Kurikulum 2013'!$E$4:$I$176,5,FALSE)</f>
        <v>Dunia Digital dan Sains : Suatu Pengantar</v>
      </c>
      <c r="Q165" s="39"/>
    </row>
    <row r="166" spans="1:17" x14ac:dyDescent="0.25">
      <c r="A166" s="6"/>
      <c r="B166" s="6"/>
      <c r="C166" s="6"/>
      <c r="D166" s="6"/>
      <c r="E166" s="6"/>
      <c r="F166" s="6"/>
      <c r="G166" s="6"/>
      <c r="H166" s="6"/>
      <c r="I166" s="236"/>
      <c r="J166" s="387"/>
      <c r="K166" s="390"/>
      <c r="L166" s="14">
        <v>4</v>
      </c>
      <c r="M166" s="15" t="s">
        <v>219</v>
      </c>
      <c r="N166" s="14">
        <f>VLOOKUP(M166,'Nilai Kurikulum 2013'!$E$4:$I$176,2,FALSE)</f>
        <v>2</v>
      </c>
      <c r="O166" s="14" t="str">
        <f t="shared" si="3"/>
        <v>EAA101-2</v>
      </c>
      <c r="P166" s="17" t="str">
        <f>VLOOKUP(M166,'Nilai Kurikulum 2013'!$E$4:$I$176,5,FALSE)</f>
        <v>Akuntansi Keuangan Dasar I</v>
      </c>
      <c r="Q166" s="39"/>
    </row>
    <row r="167" spans="1:17" x14ac:dyDescent="0.25">
      <c r="A167" s="6"/>
      <c r="B167" s="6"/>
      <c r="C167" s="6"/>
      <c r="D167" s="6"/>
      <c r="E167" s="6"/>
      <c r="F167" s="6"/>
      <c r="G167" s="6"/>
      <c r="H167" s="6"/>
      <c r="I167" s="236"/>
      <c r="J167" s="387"/>
      <c r="K167" s="390"/>
      <c r="L167" s="14">
        <v>5</v>
      </c>
      <c r="M167" s="15" t="s">
        <v>220</v>
      </c>
      <c r="N167" s="14">
        <f>VLOOKUP(M167,'Nilai Kurikulum 2013'!$E$4:$I$176,2,FALSE)</f>
        <v>2</v>
      </c>
      <c r="O167" s="14" t="str">
        <f t="shared" si="3"/>
        <v>EAA102-2</v>
      </c>
      <c r="P167" s="17" t="str">
        <f>VLOOKUP(M167,'Nilai Kurikulum 2013'!$E$4:$I$176,5,FALSE)</f>
        <v>Akuntansi Keuangan Dasar II</v>
      </c>
      <c r="Q167" s="39"/>
    </row>
    <row r="168" spans="1:17" x14ac:dyDescent="0.25">
      <c r="A168" s="6"/>
      <c r="B168" s="6"/>
      <c r="C168" s="6"/>
      <c r="D168" s="6"/>
      <c r="E168" s="6"/>
      <c r="F168" s="6"/>
      <c r="G168" s="6"/>
      <c r="H168" s="6"/>
      <c r="I168" s="236"/>
      <c r="J168" s="387"/>
      <c r="K168" s="390"/>
      <c r="L168" s="14">
        <v>6</v>
      </c>
      <c r="M168" s="15" t="s">
        <v>221</v>
      </c>
      <c r="N168" s="14">
        <f>VLOOKUP(M168,'Nilai Kurikulum 2013'!$E$4:$I$176,2,FALSE)</f>
        <v>3</v>
      </c>
      <c r="O168" s="14" t="str">
        <f t="shared" si="3"/>
        <v>EMS101-3</v>
      </c>
      <c r="P168" s="17" t="str">
        <f>VLOOKUP(M168,'Nilai Kurikulum 2013'!$E$4:$I$176,5,FALSE)</f>
        <v>Pengantar Bisnis</v>
      </c>
      <c r="Q168" s="39"/>
    </row>
    <row r="169" spans="1:17" x14ac:dyDescent="0.25">
      <c r="A169" s="6"/>
      <c r="B169" s="6"/>
      <c r="C169" s="6"/>
      <c r="D169" s="6"/>
      <c r="E169" s="6"/>
      <c r="F169" s="6"/>
      <c r="G169" s="6"/>
      <c r="H169" s="6"/>
      <c r="I169" s="236"/>
      <c r="J169" s="387"/>
      <c r="K169" s="390"/>
      <c r="L169" s="14">
        <v>7</v>
      </c>
      <c r="M169" s="15" t="s">
        <v>222</v>
      </c>
      <c r="N169" s="14">
        <f>VLOOKUP(M169,'Nilai Kurikulum 2013'!$E$4:$I$176,2,FALSE)</f>
        <v>3</v>
      </c>
      <c r="O169" s="14" t="str">
        <f t="shared" si="3"/>
        <v>EMS105-3</v>
      </c>
      <c r="P169" s="17" t="str">
        <f>VLOOKUP(M169,'Nilai Kurikulum 2013'!$E$4:$I$176,5,FALSE)</f>
        <v>Manajemen</v>
      </c>
      <c r="Q169" s="39"/>
    </row>
    <row r="170" spans="1:17" x14ac:dyDescent="0.25">
      <c r="A170" s="6"/>
      <c r="B170" s="6"/>
      <c r="C170" s="6"/>
      <c r="D170" s="6"/>
      <c r="E170" s="6"/>
      <c r="F170" s="6"/>
      <c r="G170" s="6"/>
      <c r="H170" s="6"/>
      <c r="I170" s="236"/>
      <c r="J170" s="387"/>
      <c r="K170" s="390"/>
      <c r="L170" s="14">
        <v>8</v>
      </c>
      <c r="M170" s="15" t="s">
        <v>223</v>
      </c>
      <c r="N170" s="14">
        <f>VLOOKUP(M170,'Nilai Kurikulum 2013'!$E$4:$I$176,2,FALSE)</f>
        <v>3</v>
      </c>
      <c r="O170" s="14" t="str">
        <f t="shared" ref="O170" si="4">M170&amp;"-"&amp;N170</f>
        <v>EMS206-3</v>
      </c>
      <c r="P170" s="17" t="str">
        <f>VLOOKUP(M170,'Nilai Kurikulum 2013'!$E$4:$I$176,5,FALSE)</f>
        <v>Pengantar Manajemen Sumber Daya Manusia</v>
      </c>
      <c r="Q170" s="39"/>
    </row>
    <row r="171" spans="1:17" x14ac:dyDescent="0.25">
      <c r="A171" s="6"/>
      <c r="B171" s="6"/>
      <c r="C171" s="6"/>
      <c r="D171" s="6"/>
      <c r="E171" s="6"/>
      <c r="F171" s="6"/>
      <c r="G171" s="6"/>
      <c r="H171" s="6"/>
      <c r="I171" s="236"/>
      <c r="J171" s="387"/>
      <c r="K171" s="390"/>
      <c r="L171" s="14">
        <v>9</v>
      </c>
      <c r="M171" s="15" t="s">
        <v>224</v>
      </c>
      <c r="N171" s="14">
        <f>VLOOKUP(M171,'Nilai Kurikulum 2013'!$E$4:$I$176,2,FALSE)</f>
        <v>2</v>
      </c>
      <c r="O171" s="14" t="str">
        <f t="shared" si="3"/>
        <v>EMS208-2</v>
      </c>
      <c r="P171" s="17" t="str">
        <f>VLOOKUP(M171,'Nilai Kurikulum 2013'!$E$4:$I$176,5,FALSE)</f>
        <v>Bahasa Inggris Bisnis</v>
      </c>
      <c r="Q171" s="39"/>
    </row>
    <row r="172" spans="1:17" x14ac:dyDescent="0.25">
      <c r="A172" s="6"/>
      <c r="B172" s="6"/>
      <c r="C172" s="6"/>
      <c r="D172" s="6"/>
      <c r="E172" s="6"/>
      <c r="F172" s="6"/>
      <c r="G172" s="6"/>
      <c r="H172" s="6"/>
      <c r="I172" s="236"/>
      <c r="J172" s="387"/>
      <c r="K172" s="390"/>
      <c r="L172" s="14">
        <v>10</v>
      </c>
      <c r="M172" s="17" t="s">
        <v>225</v>
      </c>
      <c r="N172" s="14">
        <f>VLOOKUP(M172,'Nilai Kurikulum 2013'!$E$4:$I$176,2,FALSE)</f>
        <v>2</v>
      </c>
      <c r="O172" s="14" t="str">
        <f t="shared" si="3"/>
        <v>EMS307-2</v>
      </c>
      <c r="P172" s="17" t="str">
        <f>VLOOKUP(M172,'Nilai Kurikulum 2013'!$E$4:$I$176,5,FALSE)</f>
        <v>Komunikasi Bisnis</v>
      </c>
      <c r="Q172" s="39"/>
    </row>
    <row r="173" spans="1:17" x14ac:dyDescent="0.25">
      <c r="A173" s="6"/>
      <c r="B173" s="6"/>
      <c r="C173" s="6"/>
      <c r="D173" s="6"/>
      <c r="E173" s="6"/>
      <c r="F173" s="6"/>
      <c r="G173" s="6"/>
      <c r="H173" s="6"/>
      <c r="I173" s="236"/>
      <c r="J173" s="387"/>
      <c r="K173" s="390"/>
      <c r="L173" s="14">
        <v>11</v>
      </c>
      <c r="M173" s="17" t="s">
        <v>226</v>
      </c>
      <c r="N173" s="14">
        <f>VLOOKUP(M173,'Nilai Kurikulum 2013'!$E$4:$I$176,2,FALSE)</f>
        <v>4</v>
      </c>
      <c r="O173" s="14" t="str">
        <f t="shared" si="3"/>
        <v>ESA101-4</v>
      </c>
      <c r="P173" s="17" t="str">
        <f>VLOOKUP(M173,'Nilai Kurikulum 2013'!$E$4:$I$176,5,FALSE)</f>
        <v>Akuntansi Keuangan Dasar</v>
      </c>
      <c r="Q173" s="39"/>
    </row>
    <row r="174" spans="1:17" x14ac:dyDescent="0.25">
      <c r="A174" s="6"/>
      <c r="B174" s="6"/>
      <c r="C174" s="6"/>
      <c r="D174" s="6"/>
      <c r="E174" s="6"/>
      <c r="F174" s="6"/>
      <c r="G174" s="6"/>
      <c r="H174" s="6"/>
      <c r="I174" s="236"/>
      <c r="J174" s="387"/>
      <c r="K174" s="390"/>
      <c r="L174" s="14">
        <v>12</v>
      </c>
      <c r="M174" s="15" t="s">
        <v>227</v>
      </c>
      <c r="N174" s="14">
        <f>VLOOKUP(M174,'Nilai Kurikulum 2013'!$E$4:$I$176,2,FALSE)</f>
        <v>3</v>
      </c>
      <c r="O174" s="14" t="str">
        <f t="shared" si="3"/>
        <v>ESM104-3</v>
      </c>
      <c r="P174" s="17" t="str">
        <f>VLOOKUP(M174,'Nilai Kurikulum 2013'!$E$4:$I$176,5,FALSE)</f>
        <v>Kepemimpinan Dasar</v>
      </c>
      <c r="Q174" s="39"/>
    </row>
    <row r="175" spans="1:17" x14ac:dyDescent="0.25">
      <c r="A175" s="6"/>
      <c r="B175" s="6"/>
      <c r="C175" s="6"/>
      <c r="D175" s="6"/>
      <c r="E175" s="6"/>
      <c r="F175" s="6"/>
      <c r="G175" s="6"/>
      <c r="H175" s="6"/>
      <c r="I175" s="236"/>
      <c r="J175" s="387"/>
      <c r="K175" s="390"/>
      <c r="L175" s="14">
        <v>13</v>
      </c>
      <c r="M175" s="15" t="s">
        <v>228</v>
      </c>
      <c r="N175" s="14">
        <f>VLOOKUP(M175,'Nilai Kurikulum 2013'!$E$4:$I$176,2,FALSE)</f>
        <v>3</v>
      </c>
      <c r="O175" s="14" t="str">
        <f t="shared" si="3"/>
        <v>ESM201-3</v>
      </c>
      <c r="P175" s="17" t="str">
        <f>VLOOKUP(M175,'Nilai Kurikulum 2013'!$E$4:$I$176,5,FALSE)</f>
        <v>Perilaku Keorganisasian</v>
      </c>
      <c r="Q175" s="39"/>
    </row>
    <row r="176" spans="1:17" x14ac:dyDescent="0.25">
      <c r="A176" s="6"/>
      <c r="B176" s="6"/>
      <c r="C176" s="6"/>
      <c r="D176" s="6"/>
      <c r="E176" s="6"/>
      <c r="F176" s="6"/>
      <c r="G176" s="6"/>
      <c r="H176" s="6"/>
      <c r="I176" s="236"/>
      <c r="J176" s="387"/>
      <c r="K176" s="390"/>
      <c r="L176" s="14">
        <v>14</v>
      </c>
      <c r="M176" s="17" t="s">
        <v>229</v>
      </c>
      <c r="N176" s="14">
        <f>VLOOKUP(M176,'Nilai Kurikulum 2013'!$E$4:$I$176,2,FALSE)</f>
        <v>3</v>
      </c>
      <c r="O176" s="14" t="str">
        <f t="shared" si="3"/>
        <v>ESM202-3</v>
      </c>
      <c r="P176" s="17" t="str">
        <f>VLOOKUP(M176,'Nilai Kurikulum 2013'!$E$4:$I$176,5,FALSE)</f>
        <v>Pengantar Manajemen Operasi</v>
      </c>
      <c r="Q176" s="39"/>
    </row>
    <row r="177" spans="1:17" x14ac:dyDescent="0.25">
      <c r="A177" s="6"/>
      <c r="B177" s="6"/>
      <c r="C177" s="6"/>
      <c r="D177" s="6"/>
      <c r="E177" s="6"/>
      <c r="F177" s="6"/>
      <c r="G177" s="6"/>
      <c r="H177" s="6"/>
      <c r="I177" s="236"/>
      <c r="J177" s="387"/>
      <c r="K177" s="390"/>
      <c r="L177" s="14">
        <v>15</v>
      </c>
      <c r="M177" s="15" t="s">
        <v>230</v>
      </c>
      <c r="N177" s="14">
        <f>VLOOKUP(M177,'Nilai Kurikulum 2013'!$E$4:$I$176,2,FALSE)</f>
        <v>3</v>
      </c>
      <c r="O177" s="14" t="str">
        <f t="shared" si="3"/>
        <v>ESM203-3</v>
      </c>
      <c r="P177" s="17" t="str">
        <f>VLOOKUP(M177,'Nilai Kurikulum 2013'!$E$4:$I$176,5,FALSE)</f>
        <v>Pengantar Manajemen Pemasaran</v>
      </c>
      <c r="Q177" s="39"/>
    </row>
    <row r="178" spans="1:17" x14ac:dyDescent="0.25">
      <c r="A178" s="6"/>
      <c r="B178" s="6"/>
      <c r="C178" s="6"/>
      <c r="D178" s="6"/>
      <c r="E178" s="6"/>
      <c r="F178" s="6"/>
      <c r="G178" s="6"/>
      <c r="H178" s="6"/>
      <c r="I178" s="236"/>
      <c r="J178" s="387"/>
      <c r="K178" s="390"/>
      <c r="L178" s="14">
        <v>16</v>
      </c>
      <c r="M178" s="15" t="s">
        <v>231</v>
      </c>
      <c r="N178" s="14">
        <f>VLOOKUP(M178,'Nilai Kurikulum 2013'!$E$4:$I$176,2,FALSE)</f>
        <v>3</v>
      </c>
      <c r="O178" s="14" t="str">
        <f t="shared" si="3"/>
        <v>ESM204-3</v>
      </c>
      <c r="P178" s="17" t="str">
        <f>VLOOKUP(M178,'Nilai Kurikulum 2013'!$E$4:$I$176,5,FALSE)</f>
        <v>Manajemen Keuangan I</v>
      </c>
      <c r="Q178" s="39"/>
    </row>
    <row r="179" spans="1:17" x14ac:dyDescent="0.25">
      <c r="A179" s="6"/>
      <c r="B179" s="6"/>
      <c r="C179" s="6"/>
      <c r="D179" s="6"/>
      <c r="E179" s="6"/>
      <c r="F179" s="6"/>
      <c r="G179" s="6"/>
      <c r="H179" s="6"/>
      <c r="I179" s="236"/>
      <c r="J179" s="387"/>
      <c r="K179" s="390"/>
      <c r="L179" s="14">
        <v>17</v>
      </c>
      <c r="M179" s="15" t="s">
        <v>232</v>
      </c>
      <c r="N179" s="14">
        <f>VLOOKUP(M179,'Nilai Kurikulum 2013'!$E$4:$I$176,2,FALSE)</f>
        <v>3</v>
      </c>
      <c r="O179" s="14" t="str">
        <f t="shared" si="3"/>
        <v>ESM206-3</v>
      </c>
      <c r="P179" s="17" t="str">
        <f>VLOOKUP(M179,'Nilai Kurikulum 2013'!$E$4:$I$176,5,FALSE)</f>
        <v>Manajemen Insani</v>
      </c>
      <c r="Q179" s="39"/>
    </row>
    <row r="180" spans="1:17" x14ac:dyDescent="0.25">
      <c r="A180" s="6"/>
      <c r="B180" s="6"/>
      <c r="C180" s="6"/>
      <c r="D180" s="6"/>
      <c r="E180" s="6"/>
      <c r="F180" s="6"/>
      <c r="G180" s="6"/>
      <c r="H180" s="6"/>
      <c r="I180" s="236"/>
      <c r="J180" s="387"/>
      <c r="K180" s="390"/>
      <c r="L180" s="14">
        <v>18</v>
      </c>
      <c r="M180" s="15" t="s">
        <v>233</v>
      </c>
      <c r="N180" s="14">
        <f>VLOOKUP(M180,'Nilai Kurikulum 2013'!$E$4:$I$176,2,FALSE)</f>
        <v>3</v>
      </c>
      <c r="O180" s="14" t="str">
        <f t="shared" si="3"/>
        <v>ESM209-3</v>
      </c>
      <c r="P180" s="17" t="str">
        <f>VLOOKUP(M180,'Nilai Kurikulum 2013'!$E$4:$I$176,5,FALSE)</f>
        <v>Manajemen Keuangan II</v>
      </c>
      <c r="Q180" s="39"/>
    </row>
    <row r="181" spans="1:17" x14ac:dyDescent="0.25">
      <c r="A181" s="6"/>
      <c r="B181" s="6"/>
      <c r="C181" s="6"/>
      <c r="D181" s="6"/>
      <c r="E181" s="6"/>
      <c r="F181" s="6"/>
      <c r="G181" s="6"/>
      <c r="H181" s="6"/>
      <c r="I181" s="236"/>
      <c r="J181" s="387"/>
      <c r="K181" s="390"/>
      <c r="L181" s="14">
        <v>19</v>
      </c>
      <c r="M181" s="15" t="s">
        <v>234</v>
      </c>
      <c r="N181" s="37">
        <f>VLOOKUP(M181,'Nilai Kurikulum 2013'!$E$4:$I$176,2,FALSE)</f>
        <v>2</v>
      </c>
      <c r="O181" s="37" t="str">
        <f t="shared" si="3"/>
        <v>ESM314-2</v>
      </c>
      <c r="P181" s="17" t="str">
        <f>VLOOKUP(M181,'Nilai Kurikulum 2013'!$E$4:$I$176,5,FALSE)</f>
        <v>Studi Kelayakan Bisnis</v>
      </c>
      <c r="Q181" s="39"/>
    </row>
    <row r="182" spans="1:17" x14ac:dyDescent="0.25">
      <c r="A182" s="6"/>
      <c r="B182" s="6"/>
      <c r="C182" s="6"/>
      <c r="D182" s="6"/>
      <c r="E182" s="6"/>
      <c r="F182" s="6"/>
      <c r="G182" s="6"/>
      <c r="H182" s="6"/>
      <c r="I182" s="236"/>
      <c r="J182" s="387"/>
      <c r="K182" s="390"/>
      <c r="L182" s="14">
        <v>20</v>
      </c>
      <c r="M182" s="15" t="s">
        <v>235</v>
      </c>
      <c r="N182" s="14">
        <f>VLOOKUP(M182,'Nilai Kurikulum 2013'!$E$4:$I$176,2,FALSE)</f>
        <v>3</v>
      </c>
      <c r="O182" s="14" t="str">
        <f t="shared" si="3"/>
        <v>IND463-3</v>
      </c>
      <c r="P182" s="17" t="str">
        <f>VLOOKUP(M182,'Nilai Kurikulum 2013'!$E$4:$I$176,5,FALSE)</f>
        <v>Komunikasi Profesional</v>
      </c>
      <c r="Q182" s="39"/>
    </row>
    <row r="183" spans="1:17" x14ac:dyDescent="0.25">
      <c r="A183" s="6"/>
      <c r="B183" s="6"/>
      <c r="C183" s="6"/>
      <c r="D183" s="6"/>
      <c r="E183" s="6"/>
      <c r="F183" s="6"/>
      <c r="G183" s="6"/>
      <c r="H183" s="6"/>
      <c r="I183" s="236"/>
      <c r="J183" s="387"/>
      <c r="K183" s="390"/>
      <c r="L183" s="14">
        <v>21</v>
      </c>
      <c r="M183" s="15" t="s">
        <v>236</v>
      </c>
      <c r="N183" s="14">
        <f>VLOOKUP(M183,'Nilai Kurikulum 2013'!$E$4:$I$176,2,FALSE)</f>
        <v>3</v>
      </c>
      <c r="O183" s="14" t="str">
        <f t="shared" si="3"/>
        <v>SIR103-3</v>
      </c>
      <c r="P183" s="17" t="str">
        <f>VLOOKUP(M183,'Nilai Kurikulum 2013'!$E$4:$I$176,5,FALSE)</f>
        <v>Bahasa Mandarin</v>
      </c>
      <c r="Q183" s="39"/>
    </row>
    <row r="184" spans="1:17" x14ac:dyDescent="0.25">
      <c r="A184" s="6"/>
      <c r="B184" s="6"/>
      <c r="C184" s="6"/>
      <c r="D184" s="6"/>
      <c r="E184" s="6"/>
      <c r="F184" s="6"/>
      <c r="G184" s="6"/>
      <c r="H184" s="6"/>
      <c r="I184" s="236"/>
      <c r="J184" s="387"/>
      <c r="K184" s="390"/>
      <c r="L184" s="14">
        <v>22</v>
      </c>
      <c r="M184" s="15" t="s">
        <v>237</v>
      </c>
      <c r="N184" s="14">
        <f>VLOOKUP(M184,'Nilai Kurikulum 2013'!$E$4:$I$176,2,FALSE)</f>
        <v>3</v>
      </c>
      <c r="O184" s="14" t="str">
        <f t="shared" si="3"/>
        <v>SIR104-3</v>
      </c>
      <c r="P184" s="17" t="str">
        <f>VLOOKUP(M184,'Nilai Kurikulum 2013'!$E$4:$I$176,5,FALSE)</f>
        <v>Bahasa Jepang</v>
      </c>
      <c r="Q184" s="39"/>
    </row>
    <row r="185" spans="1:17" x14ac:dyDescent="0.25">
      <c r="A185" s="6"/>
      <c r="B185" s="6"/>
      <c r="C185" s="6"/>
      <c r="D185" s="6"/>
      <c r="E185" s="6"/>
      <c r="F185" s="6"/>
      <c r="G185" s="6"/>
      <c r="H185" s="6"/>
      <c r="I185" s="236"/>
      <c r="J185" s="387"/>
      <c r="K185" s="390"/>
      <c r="L185" s="14">
        <v>23</v>
      </c>
      <c r="M185" s="15" t="s">
        <v>238</v>
      </c>
      <c r="N185" s="14">
        <f>VLOOKUP(M185,'Nilai Kurikulum 2013'!$E$4:$I$176,2,FALSE)</f>
        <v>3</v>
      </c>
      <c r="O185" s="14" t="str">
        <f t="shared" si="3"/>
        <v>SIR105-3</v>
      </c>
      <c r="P185" s="17" t="str">
        <f>VLOOKUP(M185,'Nilai Kurikulum 2013'!$E$4:$I$176,5,FALSE)</f>
        <v>Bahasa Perancis</v>
      </c>
      <c r="Q185" s="39"/>
    </row>
    <row r="186" spans="1:17" ht="15.75" thickBot="1" x14ac:dyDescent="0.3">
      <c r="A186" s="6"/>
      <c r="B186" s="6"/>
      <c r="C186" s="6"/>
      <c r="D186" s="6"/>
      <c r="E186" s="6"/>
      <c r="F186" s="6"/>
      <c r="G186" s="6"/>
      <c r="H186" s="6"/>
      <c r="I186" s="236"/>
      <c r="J186" s="388"/>
      <c r="K186" s="391"/>
      <c r="L186" s="29">
        <v>24</v>
      </c>
      <c r="M186" s="30" t="s">
        <v>239</v>
      </c>
      <c r="N186" s="29">
        <f>VLOOKUP(M186,'Nilai Kurikulum 2013'!$E$4:$I$176,2,FALSE)</f>
        <v>2</v>
      </c>
      <c r="O186" s="29" t="str">
        <f t="shared" si="3"/>
        <v>SPO116-2</v>
      </c>
      <c r="P186" s="38" t="str">
        <f>VLOOKUP(M186,'Nilai Kurikulum 2013'!$E$4:$I$176,5,FALSE)</f>
        <v>Perekonomian Indonesia</v>
      </c>
      <c r="Q186" s="44"/>
    </row>
    <row r="187" spans="1:17" ht="15.75" thickTop="1" x14ac:dyDescent="0.25">
      <c r="A187" s="6"/>
      <c r="B187" s="6"/>
      <c r="C187" s="6"/>
      <c r="D187" s="6"/>
      <c r="E187" s="6"/>
      <c r="F187" s="6"/>
      <c r="G187" s="6"/>
      <c r="H187" s="6"/>
    </row>
    <row r="188" spans="1:17" x14ac:dyDescent="0.25">
      <c r="A188" s="6"/>
      <c r="B188" s="6"/>
      <c r="C188" s="6"/>
      <c r="D188" s="6"/>
      <c r="E188" s="6"/>
      <c r="F188" s="6"/>
      <c r="G188" s="6"/>
      <c r="H188" s="6"/>
    </row>
    <row r="189" spans="1:17" x14ac:dyDescent="0.25">
      <c r="A189" s="6"/>
      <c r="B189" s="6"/>
      <c r="C189" s="6"/>
      <c r="D189" s="6"/>
      <c r="E189" s="6"/>
      <c r="F189" s="6"/>
      <c r="G189" s="6"/>
      <c r="H189" s="6"/>
    </row>
    <row r="190" spans="1:17" x14ac:dyDescent="0.25">
      <c r="A190" s="6"/>
      <c r="B190" s="6"/>
      <c r="C190" s="6"/>
      <c r="D190" s="6"/>
      <c r="E190" s="6"/>
      <c r="F190" s="6"/>
      <c r="G190" s="6"/>
      <c r="H190" s="6"/>
    </row>
    <row r="191" spans="1:17" x14ac:dyDescent="0.25">
      <c r="A191" s="6"/>
      <c r="B191" s="6"/>
      <c r="C191" s="6"/>
      <c r="D191" s="6"/>
      <c r="E191" s="6"/>
      <c r="F191" s="6"/>
      <c r="G191" s="6"/>
      <c r="H191" s="6"/>
    </row>
    <row r="192" spans="1:17"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row r="315" spans="1:8" x14ac:dyDescent="0.25">
      <c r="A315" s="6"/>
      <c r="B315" s="6"/>
      <c r="C315" s="6"/>
      <c r="D315" s="6"/>
      <c r="E315" s="6"/>
      <c r="F315" s="6"/>
      <c r="G315" s="6"/>
      <c r="H315" s="6"/>
    </row>
  </sheetData>
  <sheetProtection selectLockedCells="1"/>
  <mergeCells count="33">
    <mergeCell ref="C9:P9"/>
    <mergeCell ref="C11:P11"/>
    <mergeCell ref="B12:P12"/>
    <mergeCell ref="B2:P2"/>
    <mergeCell ref="B3:P3"/>
    <mergeCell ref="B4:P4"/>
    <mergeCell ref="C5:P5"/>
    <mergeCell ref="C6:P6"/>
    <mergeCell ref="C7:P7"/>
    <mergeCell ref="C8:P8"/>
    <mergeCell ref="C10:P10"/>
    <mergeCell ref="K48:K52"/>
    <mergeCell ref="K15:K21"/>
    <mergeCell ref="K22:K29"/>
    <mergeCell ref="K30:K36"/>
    <mergeCell ref="K37:K43"/>
    <mergeCell ref="K44:K47"/>
    <mergeCell ref="J163:J186"/>
    <mergeCell ref="K163:K186"/>
    <mergeCell ref="J14:J58"/>
    <mergeCell ref="J59:J66"/>
    <mergeCell ref="J67:J162"/>
    <mergeCell ref="K75:K76"/>
    <mergeCell ref="K77:K91"/>
    <mergeCell ref="K92:K113"/>
    <mergeCell ref="K114:K137"/>
    <mergeCell ref="K138:K162"/>
    <mergeCell ref="K53:K55"/>
    <mergeCell ref="K56:K58"/>
    <mergeCell ref="K59:K62"/>
    <mergeCell ref="K63:K66"/>
    <mergeCell ref="K67:K69"/>
    <mergeCell ref="K70:K73"/>
  </mergeCells>
  <dataValidations count="1">
    <dataValidation type="list" allowBlank="1" showInputMessage="1" showErrorMessage="1" sqref="Q15:Q186">
      <formula1>"A,B,C,D"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5"/>
  <sheetViews>
    <sheetView tabSelected="1" zoomScaleNormal="100" workbookViewId="0">
      <selection activeCell="C30" sqref="C30"/>
    </sheetView>
  </sheetViews>
  <sheetFormatPr defaultColWidth="9.140625" defaultRowHeight="15" x14ac:dyDescent="0.25"/>
  <cols>
    <col min="1" max="1" width="31.28515625" style="1" bestFit="1" customWidth="1"/>
    <col min="2" max="2" width="1.85546875" style="218" customWidth="1"/>
    <col min="3" max="3" width="104.42578125" style="1" customWidth="1"/>
    <col min="4" max="4" width="9.7109375" style="1" hidden="1" customWidth="1"/>
    <col min="5" max="5" width="18" style="1" hidden="1" customWidth="1"/>
    <col min="6" max="6" width="7.7109375" style="1" customWidth="1"/>
    <col min="7" max="7" width="9.28515625" style="1" customWidth="1"/>
    <col min="8" max="15" width="9.140625" style="1" customWidth="1"/>
    <col min="16" max="16384" width="9.140625" style="1"/>
  </cols>
  <sheetData>
    <row r="1" spans="1:5" x14ac:dyDescent="0.25">
      <c r="B1" s="237"/>
      <c r="C1" s="88" t="s">
        <v>462</v>
      </c>
    </row>
    <row r="2" spans="1:5" x14ac:dyDescent="0.25">
      <c r="B2" s="79">
        <v>1</v>
      </c>
      <c r="C2" s="75" t="s">
        <v>499</v>
      </c>
      <c r="E2" s="220">
        <v>29221</v>
      </c>
    </row>
    <row r="3" spans="1:5" ht="25.5" x14ac:dyDescent="0.25">
      <c r="B3" s="81">
        <v>2</v>
      </c>
      <c r="C3" s="82" t="s">
        <v>500</v>
      </c>
      <c r="E3" s="220">
        <f ca="1">TODAY()+90</f>
        <v>43034</v>
      </c>
    </row>
    <row r="4" spans="1:5" x14ac:dyDescent="0.25">
      <c r="B4" s="81">
        <v>3</v>
      </c>
      <c r="C4" s="82" t="s">
        <v>501</v>
      </c>
    </row>
    <row r="5" spans="1:5" ht="25.5" x14ac:dyDescent="0.25">
      <c r="B5" s="81">
        <v>4</v>
      </c>
      <c r="C5" s="221" t="s">
        <v>592</v>
      </c>
    </row>
    <row r="6" spans="1:5" x14ac:dyDescent="0.25">
      <c r="B6" s="81">
        <v>5</v>
      </c>
      <c r="C6" s="82" t="s">
        <v>502</v>
      </c>
    </row>
    <row r="7" spans="1:5" ht="15.75" thickBot="1" x14ac:dyDescent="0.3">
      <c r="B7" s="81"/>
      <c r="C7" s="82"/>
    </row>
    <row r="8" spans="1:5" ht="20.25" thickTop="1" thickBot="1" x14ac:dyDescent="0.35">
      <c r="A8" s="396" t="s">
        <v>503</v>
      </c>
      <c r="B8" s="397"/>
      <c r="C8" s="398"/>
    </row>
    <row r="9" spans="1:5" ht="18.75" x14ac:dyDescent="0.3">
      <c r="A9" s="99" t="s">
        <v>35</v>
      </c>
      <c r="B9" s="97" t="s">
        <v>34</v>
      </c>
      <c r="C9" s="100">
        <v>2012730009</v>
      </c>
    </row>
    <row r="10" spans="1:5" ht="18.75" x14ac:dyDescent="0.3">
      <c r="A10" s="89" t="s">
        <v>33</v>
      </c>
      <c r="B10" s="86" t="s">
        <v>34</v>
      </c>
      <c r="C10" s="90" t="s">
        <v>612</v>
      </c>
    </row>
    <row r="11" spans="1:5" ht="18.75" x14ac:dyDescent="0.3">
      <c r="A11" s="89" t="s">
        <v>504</v>
      </c>
      <c r="B11" s="86" t="s">
        <v>34</v>
      </c>
      <c r="C11" s="90" t="s">
        <v>613</v>
      </c>
    </row>
    <row r="12" spans="1:5" s="219" customFormat="1" ht="18" customHeight="1" x14ac:dyDescent="0.25">
      <c r="A12" s="91" t="s">
        <v>505</v>
      </c>
      <c r="B12" s="87" t="s">
        <v>34</v>
      </c>
      <c r="C12" s="222">
        <v>34362</v>
      </c>
      <c r="D12" s="83" t="s">
        <v>506</v>
      </c>
      <c r="E12" s="83" t="str">
        <f>TEXT(C12,"[$-0421]dd MMMM yyyy")</f>
        <v>28 Januari 1994</v>
      </c>
    </row>
    <row r="13" spans="1:5" ht="18.75" x14ac:dyDescent="0.3">
      <c r="A13" s="89" t="s">
        <v>74</v>
      </c>
      <c r="B13" s="86" t="s">
        <v>34</v>
      </c>
      <c r="C13" s="90" t="s">
        <v>614</v>
      </c>
    </row>
    <row r="14" spans="1:5" ht="18.75" x14ac:dyDescent="0.3">
      <c r="A14" s="89" t="s">
        <v>507</v>
      </c>
      <c r="B14" s="86" t="s">
        <v>34</v>
      </c>
      <c r="C14" s="90" t="s">
        <v>615</v>
      </c>
    </row>
    <row r="15" spans="1:5" ht="18.75" x14ac:dyDescent="0.3">
      <c r="A15" s="89" t="s">
        <v>508</v>
      </c>
      <c r="B15" s="86" t="s">
        <v>34</v>
      </c>
      <c r="C15" s="90" t="s">
        <v>703</v>
      </c>
    </row>
    <row r="16" spans="1:5" ht="18.75" x14ac:dyDescent="0.3">
      <c r="A16" s="89" t="s">
        <v>509</v>
      </c>
      <c r="B16" s="86" t="s">
        <v>34</v>
      </c>
      <c r="C16" s="92">
        <v>40141</v>
      </c>
    </row>
    <row r="17" spans="1:3" ht="18.75" x14ac:dyDescent="0.3">
      <c r="A17" s="89" t="s">
        <v>510</v>
      </c>
      <c r="B17" s="86" t="s">
        <v>34</v>
      </c>
      <c r="C17" s="93" t="s">
        <v>616</v>
      </c>
    </row>
    <row r="18" spans="1:3" ht="18.75" x14ac:dyDescent="0.3">
      <c r="A18" s="89" t="s">
        <v>76</v>
      </c>
      <c r="B18" s="86" t="s">
        <v>34</v>
      </c>
      <c r="C18" s="94" t="s">
        <v>617</v>
      </c>
    </row>
    <row r="19" spans="1:3" ht="18.75" x14ac:dyDescent="0.3">
      <c r="A19" s="89" t="s">
        <v>511</v>
      </c>
      <c r="B19" s="86" t="s">
        <v>34</v>
      </c>
      <c r="C19" s="277" t="s">
        <v>548</v>
      </c>
    </row>
    <row r="20" spans="1:3" ht="18.75" x14ac:dyDescent="0.3">
      <c r="A20" s="89" t="s">
        <v>512</v>
      </c>
      <c r="B20" s="86" t="s">
        <v>34</v>
      </c>
      <c r="C20" s="277" t="s">
        <v>548</v>
      </c>
    </row>
    <row r="21" spans="1:3" ht="18.75" x14ac:dyDescent="0.3">
      <c r="A21" s="89" t="s">
        <v>513</v>
      </c>
      <c r="B21" s="86" t="s">
        <v>34</v>
      </c>
      <c r="C21" s="277" t="s">
        <v>548</v>
      </c>
    </row>
    <row r="22" spans="1:3" ht="18.75" x14ac:dyDescent="0.3">
      <c r="A22" s="89" t="s">
        <v>514</v>
      </c>
      <c r="B22" s="86" t="s">
        <v>34</v>
      </c>
      <c r="C22" s="278" t="s">
        <v>548</v>
      </c>
    </row>
    <row r="23" spans="1:3" ht="18.75" x14ac:dyDescent="0.3">
      <c r="A23" s="89" t="s">
        <v>77</v>
      </c>
      <c r="B23" s="86" t="s">
        <v>34</v>
      </c>
      <c r="C23" s="90" t="s">
        <v>618</v>
      </c>
    </row>
    <row r="24" spans="1:3" ht="18.75" x14ac:dyDescent="0.3">
      <c r="A24" s="89" t="s">
        <v>515</v>
      </c>
      <c r="B24" s="86" t="s">
        <v>34</v>
      </c>
      <c r="C24" s="90" t="s">
        <v>619</v>
      </c>
    </row>
    <row r="25" spans="1:3" ht="18.75" x14ac:dyDescent="0.3">
      <c r="A25" s="89" t="s">
        <v>516</v>
      </c>
      <c r="B25" s="86" t="s">
        <v>34</v>
      </c>
      <c r="C25" s="90" t="s">
        <v>703</v>
      </c>
    </row>
    <row r="26" spans="1:3" ht="18.75" x14ac:dyDescent="0.3">
      <c r="A26" s="89" t="s">
        <v>517</v>
      </c>
      <c r="B26" s="86" t="s">
        <v>34</v>
      </c>
      <c r="C26" s="92">
        <v>46126</v>
      </c>
    </row>
    <row r="27" spans="1:3" ht="19.5" thickBot="1" x14ac:dyDescent="0.35">
      <c r="A27" s="101" t="s">
        <v>510</v>
      </c>
      <c r="B27" s="98" t="s">
        <v>34</v>
      </c>
      <c r="C27" s="102" t="s">
        <v>704</v>
      </c>
    </row>
    <row r="28" spans="1:3" ht="19.5" thickBot="1" x14ac:dyDescent="0.35">
      <c r="A28" s="402"/>
      <c r="B28" s="403"/>
      <c r="C28" s="404"/>
    </row>
    <row r="29" spans="1:3" ht="19.5" thickBot="1" x14ac:dyDescent="0.35">
      <c r="A29" s="399" t="s">
        <v>518</v>
      </c>
      <c r="B29" s="400"/>
      <c r="C29" s="401"/>
    </row>
    <row r="30" spans="1:3" ht="18.75" x14ac:dyDescent="0.3">
      <c r="A30" s="99" t="s">
        <v>519</v>
      </c>
      <c r="B30" s="97" t="s">
        <v>34</v>
      </c>
      <c r="C30" s="100">
        <v>10</v>
      </c>
    </row>
    <row r="31" spans="1:3" ht="19.5" thickBot="1" x14ac:dyDescent="0.35">
      <c r="A31" s="101" t="s">
        <v>520</v>
      </c>
      <c r="B31" s="98" t="s">
        <v>34</v>
      </c>
      <c r="C31" s="103">
        <v>0</v>
      </c>
    </row>
    <row r="32" spans="1:3" ht="19.5" thickBot="1" x14ac:dyDescent="0.35">
      <c r="A32" s="402"/>
      <c r="B32" s="403"/>
      <c r="C32" s="404"/>
    </row>
    <row r="33" spans="1:5" ht="19.5" thickBot="1" x14ac:dyDescent="0.35">
      <c r="A33" s="399" t="s">
        <v>521</v>
      </c>
      <c r="B33" s="400"/>
      <c r="C33" s="401"/>
    </row>
    <row r="34" spans="1:5" ht="18.75" x14ac:dyDescent="0.3">
      <c r="A34" s="99" t="s">
        <v>522</v>
      </c>
      <c r="B34" s="97" t="s">
        <v>34</v>
      </c>
      <c r="C34" s="100">
        <v>1</v>
      </c>
    </row>
    <row r="35" spans="1:5" s="219" customFormat="1" ht="60.75" customHeight="1" x14ac:dyDescent="0.25">
      <c r="A35" s="91" t="s">
        <v>523</v>
      </c>
      <c r="B35" s="87" t="s">
        <v>34</v>
      </c>
      <c r="C35" s="203" t="s">
        <v>620</v>
      </c>
    </row>
    <row r="36" spans="1:5" s="219" customFormat="1" ht="60.75" customHeight="1" x14ac:dyDescent="0.25">
      <c r="A36" s="91" t="s">
        <v>524</v>
      </c>
      <c r="B36" s="87" t="s">
        <v>34</v>
      </c>
      <c r="C36" s="203" t="s">
        <v>621</v>
      </c>
    </row>
    <row r="37" spans="1:5" ht="18.75" x14ac:dyDescent="0.3">
      <c r="A37" s="89" t="s">
        <v>525</v>
      </c>
      <c r="B37" s="86" t="s">
        <v>34</v>
      </c>
      <c r="C37" s="90" t="s">
        <v>565</v>
      </c>
    </row>
    <row r="38" spans="1:5" ht="18.75" x14ac:dyDescent="0.3">
      <c r="A38" s="89" t="s">
        <v>527</v>
      </c>
      <c r="B38" s="86" t="s">
        <v>34</v>
      </c>
      <c r="C38" s="90"/>
    </row>
    <row r="39" spans="1:5" ht="18" customHeight="1" x14ac:dyDescent="0.3">
      <c r="A39" s="89" t="s">
        <v>528</v>
      </c>
      <c r="B39" s="86" t="s">
        <v>34</v>
      </c>
      <c r="C39" s="222">
        <v>42885</v>
      </c>
      <c r="D39" s="83" t="s">
        <v>529</v>
      </c>
      <c r="E39" s="83" t="str">
        <f>TEXT(C39,"[$-0421]dd MMMM yyyy")</f>
        <v>30 Mei 2017</v>
      </c>
    </row>
    <row r="40" spans="1:5" ht="18.75" x14ac:dyDescent="0.3">
      <c r="A40" s="89" t="s">
        <v>530</v>
      </c>
      <c r="B40" s="86" t="s">
        <v>34</v>
      </c>
      <c r="C40" s="90" t="s">
        <v>543</v>
      </c>
    </row>
    <row r="41" spans="1:5" ht="19.5" thickBot="1" x14ac:dyDescent="0.35">
      <c r="A41" s="101" t="s">
        <v>532</v>
      </c>
      <c r="B41" s="98" t="s">
        <v>34</v>
      </c>
      <c r="C41" s="103" t="s">
        <v>562</v>
      </c>
    </row>
    <row r="42" spans="1:5" ht="19.5" thickBot="1" x14ac:dyDescent="0.35">
      <c r="A42" s="402"/>
      <c r="B42" s="403"/>
      <c r="C42" s="404"/>
    </row>
    <row r="43" spans="1:5" ht="19.5" thickBot="1" x14ac:dyDescent="0.35">
      <c r="A43" s="399" t="s">
        <v>534</v>
      </c>
      <c r="B43" s="400"/>
      <c r="C43" s="401"/>
    </row>
    <row r="44" spans="1:5" ht="18" customHeight="1" x14ac:dyDescent="0.3">
      <c r="A44" s="99" t="s">
        <v>535</v>
      </c>
      <c r="B44" s="97" t="s">
        <v>34</v>
      </c>
      <c r="C44" s="223">
        <v>42748</v>
      </c>
      <c r="D44" s="83" t="s">
        <v>536</v>
      </c>
      <c r="E44" s="83" t="str">
        <f>TEXT(C44,"[$-0421]dd MMMM yyyy")</f>
        <v>13 Januari 2017</v>
      </c>
    </row>
    <row r="45" spans="1:5" ht="18" customHeight="1" x14ac:dyDescent="0.3">
      <c r="A45" s="89" t="s">
        <v>559</v>
      </c>
      <c r="B45" s="86" t="s">
        <v>34</v>
      </c>
      <c r="C45" s="258" t="s">
        <v>564</v>
      </c>
      <c r="D45" s="83"/>
      <c r="E45" s="83"/>
    </row>
    <row r="46" spans="1:5" ht="18" customHeight="1" x14ac:dyDescent="0.3">
      <c r="A46" s="255" t="s">
        <v>560</v>
      </c>
      <c r="B46" s="256" t="s">
        <v>34</v>
      </c>
      <c r="C46" s="257" t="s">
        <v>561</v>
      </c>
      <c r="D46" s="83"/>
      <c r="E46" s="83"/>
    </row>
    <row r="47" spans="1:5" ht="18" customHeight="1" thickBot="1" x14ac:dyDescent="0.35">
      <c r="A47" s="95" t="s">
        <v>537</v>
      </c>
      <c r="B47" s="96" t="s">
        <v>34</v>
      </c>
      <c r="C47" s="279">
        <f ca="1">TODAY()</f>
        <v>42944</v>
      </c>
    </row>
    <row r="48" spans="1:5" ht="15.75" thickTop="1" x14ac:dyDescent="0.25">
      <c r="B48" s="237"/>
    </row>
    <row r="50" spans="1:3" x14ac:dyDescent="0.25">
      <c r="B50" s="237"/>
      <c r="C50" s="84"/>
    </row>
    <row r="53" spans="1:3" ht="15" hidden="1" customHeight="1" x14ac:dyDescent="0.25">
      <c r="A53" s="1" t="s">
        <v>561</v>
      </c>
      <c r="B53" s="253">
        <v>11609</v>
      </c>
    </row>
    <row r="54" spans="1:3" ht="15" hidden="1" customHeight="1" x14ac:dyDescent="0.25">
      <c r="A54" s="1" t="s">
        <v>543</v>
      </c>
      <c r="B54" s="253">
        <v>21991</v>
      </c>
    </row>
    <row r="55" spans="1:3" ht="15" hidden="1" customHeight="1" x14ac:dyDescent="0.25">
      <c r="A55" s="1" t="s">
        <v>562</v>
      </c>
      <c r="B55" s="253">
        <v>11271</v>
      </c>
    </row>
    <row r="56" spans="1:3" ht="15" hidden="1" customHeight="1" x14ac:dyDescent="0.25">
      <c r="A56" s="1" t="s">
        <v>563</v>
      </c>
      <c r="B56" s="253">
        <v>11786</v>
      </c>
    </row>
    <row r="57" spans="1:3" ht="15" hidden="1" customHeight="1" x14ac:dyDescent="0.25">
      <c r="A57" s="1" t="s">
        <v>541</v>
      </c>
      <c r="B57" s="253">
        <v>11252</v>
      </c>
    </row>
    <row r="58" spans="1:3" ht="15" hidden="1" customHeight="1" x14ac:dyDescent="0.25">
      <c r="A58" s="1" t="s">
        <v>526</v>
      </c>
      <c r="B58" s="253">
        <v>21895</v>
      </c>
    </row>
    <row r="59" spans="1:3" ht="15" hidden="1" customHeight="1" x14ac:dyDescent="0.25">
      <c r="A59" s="1" t="s">
        <v>564</v>
      </c>
      <c r="B59" s="253">
        <v>21219</v>
      </c>
    </row>
    <row r="60" spans="1:3" ht="15" hidden="1" customHeight="1" x14ac:dyDescent="0.25">
      <c r="A60" s="1" t="s">
        <v>542</v>
      </c>
      <c r="B60" s="253">
        <v>11254</v>
      </c>
    </row>
    <row r="61" spans="1:3" ht="15" hidden="1" customHeight="1" x14ac:dyDescent="0.25">
      <c r="A61" s="1" t="s">
        <v>539</v>
      </c>
      <c r="B61" s="253">
        <v>11886</v>
      </c>
    </row>
    <row r="62" spans="1:3" ht="15" hidden="1" customHeight="1" x14ac:dyDescent="0.25">
      <c r="A62" s="1" t="s">
        <v>538</v>
      </c>
      <c r="B62" s="253">
        <v>21200</v>
      </c>
    </row>
    <row r="63" spans="1:3" ht="15" hidden="1" customHeight="1" x14ac:dyDescent="0.25">
      <c r="A63" s="1" t="s">
        <v>565</v>
      </c>
      <c r="B63" s="253">
        <v>21894</v>
      </c>
    </row>
    <row r="64" spans="1:3" ht="15" hidden="1" customHeight="1" x14ac:dyDescent="0.25">
      <c r="A64" s="1" t="s">
        <v>531</v>
      </c>
      <c r="B64" s="253">
        <v>11233</v>
      </c>
    </row>
    <row r="65" spans="1:2" ht="15" hidden="1" customHeight="1" x14ac:dyDescent="0.25">
      <c r="A65" s="1" t="s">
        <v>533</v>
      </c>
      <c r="B65" s="253">
        <v>21236</v>
      </c>
    </row>
    <row r="66" spans="1:2" ht="15" hidden="1" customHeight="1" x14ac:dyDescent="0.25">
      <c r="A66" s="1" t="s">
        <v>566</v>
      </c>
      <c r="B66" s="253">
        <v>21231</v>
      </c>
    </row>
    <row r="67" spans="1:2" ht="15" hidden="1" customHeight="1" x14ac:dyDescent="0.25">
      <c r="A67" s="1" t="s">
        <v>540</v>
      </c>
      <c r="B67" s="253">
        <v>21234</v>
      </c>
    </row>
    <row r="68" spans="1:2" ht="15" hidden="1" customHeight="1" x14ac:dyDescent="0.25">
      <c r="A68" s="1" t="s">
        <v>567</v>
      </c>
      <c r="B68" s="253">
        <v>12347</v>
      </c>
    </row>
    <row r="69" spans="1:2" ht="15" hidden="1" customHeight="1" x14ac:dyDescent="0.25">
      <c r="A69" s="1" t="s">
        <v>609</v>
      </c>
      <c r="B69" s="282">
        <v>41390</v>
      </c>
    </row>
    <row r="70" spans="1:2" ht="15" hidden="1" customHeight="1" x14ac:dyDescent="0.25">
      <c r="A70" s="1" t="s">
        <v>555</v>
      </c>
      <c r="B70" s="253">
        <v>21235</v>
      </c>
    </row>
    <row r="71" spans="1:2" ht="15" hidden="1" customHeight="1" x14ac:dyDescent="0.25">
      <c r="A71" s="259" t="s">
        <v>568</v>
      </c>
      <c r="B71" s="253"/>
    </row>
    <row r="72" spans="1:2" ht="15" hidden="1" customHeight="1" x14ac:dyDescent="0.25">
      <c r="A72" s="259" t="s">
        <v>569</v>
      </c>
      <c r="B72" s="253"/>
    </row>
    <row r="73" spans="1:2" ht="15" hidden="1" customHeight="1" x14ac:dyDescent="0.25">
      <c r="A73" s="259" t="s">
        <v>570</v>
      </c>
      <c r="B73" s="253"/>
    </row>
    <row r="74" spans="1:2" ht="15" hidden="1" customHeight="1" x14ac:dyDescent="0.25">
      <c r="A74" s="259" t="s">
        <v>571</v>
      </c>
      <c r="B74" s="253"/>
    </row>
    <row r="75" spans="1:2" ht="15" hidden="1" customHeight="1" x14ac:dyDescent="0.25">
      <c r="A75" s="259" t="s">
        <v>572</v>
      </c>
      <c r="B75" s="253"/>
    </row>
    <row r="76" spans="1:2" ht="15" hidden="1" customHeight="1" x14ac:dyDescent="0.25">
      <c r="A76" s="259" t="s">
        <v>573</v>
      </c>
      <c r="B76" s="253"/>
    </row>
    <row r="77" spans="1:2" ht="15" hidden="1" customHeight="1" x14ac:dyDescent="0.25">
      <c r="A77" s="259" t="s">
        <v>574</v>
      </c>
      <c r="B77" s="253"/>
    </row>
    <row r="78" spans="1:2" hidden="1" x14ac:dyDescent="0.25">
      <c r="A78" s="259" t="s">
        <v>575</v>
      </c>
      <c r="B78" s="253"/>
    </row>
    <row r="79" spans="1:2" hidden="1" x14ac:dyDescent="0.25">
      <c r="A79" s="259" t="s">
        <v>576</v>
      </c>
      <c r="B79" s="253"/>
    </row>
    <row r="80" spans="1:2" hidden="1" x14ac:dyDescent="0.25">
      <c r="A80" s="259" t="s">
        <v>577</v>
      </c>
      <c r="B80" s="253"/>
    </row>
    <row r="81" spans="1:2" hidden="1" x14ac:dyDescent="0.25">
      <c r="A81" s="259" t="s">
        <v>578</v>
      </c>
      <c r="B81" s="253"/>
    </row>
    <row r="82" spans="1:2" hidden="1" x14ac:dyDescent="0.25">
      <c r="A82" s="259" t="s">
        <v>579</v>
      </c>
      <c r="B82" s="253"/>
    </row>
    <row r="83" spans="1:2" hidden="1" x14ac:dyDescent="0.25">
      <c r="A83" s="259" t="s">
        <v>580</v>
      </c>
      <c r="B83" s="253"/>
    </row>
    <row r="84" spans="1:2" hidden="1" x14ac:dyDescent="0.25">
      <c r="A84" s="260" t="s">
        <v>581</v>
      </c>
      <c r="B84" s="260"/>
    </row>
    <row r="85" spans="1:2" hidden="1" x14ac:dyDescent="0.25">
      <c r="A85" s="260" t="s">
        <v>582</v>
      </c>
      <c r="B85" s="260"/>
    </row>
    <row r="86" spans="1:2" hidden="1" x14ac:dyDescent="0.25">
      <c r="A86" s="260" t="s">
        <v>583</v>
      </c>
      <c r="B86" s="260"/>
    </row>
    <row r="87" spans="1:2" hidden="1" x14ac:dyDescent="0.25">
      <c r="A87" s="260" t="s">
        <v>584</v>
      </c>
      <c r="B87" s="260"/>
    </row>
    <row r="88" spans="1:2" hidden="1" x14ac:dyDescent="0.25">
      <c r="A88" s="260" t="s">
        <v>585</v>
      </c>
      <c r="B88" s="260"/>
    </row>
    <row r="89" spans="1:2" hidden="1" x14ac:dyDescent="0.25">
      <c r="A89" s="260" t="s">
        <v>544</v>
      </c>
      <c r="B89" s="261">
        <v>21925</v>
      </c>
    </row>
    <row r="90" spans="1:2" hidden="1" x14ac:dyDescent="0.25">
      <c r="A90" s="260" t="s">
        <v>586</v>
      </c>
      <c r="B90" s="260"/>
    </row>
    <row r="91" spans="1:2" hidden="1" x14ac:dyDescent="0.25">
      <c r="A91" s="260" t="s">
        <v>587</v>
      </c>
      <c r="B91" s="260"/>
    </row>
    <row r="92" spans="1:2" hidden="1" x14ac:dyDescent="0.25">
      <c r="A92" s="260" t="s">
        <v>588</v>
      </c>
      <c r="B92" s="260"/>
    </row>
    <row r="93" spans="1:2" hidden="1" x14ac:dyDescent="0.25">
      <c r="A93" s="260" t="s">
        <v>589</v>
      </c>
      <c r="B93" s="260"/>
    </row>
    <row r="94" spans="1:2" hidden="1" x14ac:dyDescent="0.25">
      <c r="A94" s="260" t="s">
        <v>590</v>
      </c>
      <c r="B94" s="260"/>
    </row>
    <row r="95" spans="1:2" ht="39" hidden="1" customHeight="1" x14ac:dyDescent="0.25">
      <c r="A95" s="260" t="s">
        <v>591</v>
      </c>
      <c r="B95" s="260"/>
    </row>
  </sheetData>
  <sheetProtection password="882B" sheet="1" objects="1" scenarios="1" selectLockedCells="1"/>
  <sortState ref="A1:L377">
    <sortCondition ref="A1:A377"/>
  </sortState>
  <mergeCells count="7">
    <mergeCell ref="A8:C8"/>
    <mergeCell ref="A29:C29"/>
    <mergeCell ref="A33:C33"/>
    <mergeCell ref="A43:C43"/>
    <mergeCell ref="A28:C28"/>
    <mergeCell ref="A32:C32"/>
    <mergeCell ref="A42:C42"/>
  </mergeCells>
  <dataValidations count="7">
    <dataValidation type="list" allowBlank="1" showInputMessage="1" showErrorMessage="1" sqref="C40:C41">
      <formula1>$A$53:$A$70</formula1>
    </dataValidation>
    <dataValidation type="date" allowBlank="1" showInputMessage="1" showErrorMessage="1" sqref="C39 C44">
      <formula1>$E$2</formula1>
      <formula2>$E$3</formula2>
    </dataValidation>
    <dataValidation type="date" allowBlank="1" showInputMessage="1" showErrorMessage="1" sqref="C12">
      <formula1>$E$23</formula1>
      <formula2>$E$3</formula2>
    </dataValidation>
    <dataValidation type="list" allowBlank="1" showInputMessage="1" showErrorMessage="1" sqref="C38">
      <formula1>$A$53:$A$96</formula1>
    </dataValidation>
    <dataValidation type="list" showInputMessage="1" showErrorMessage="1" sqref="C45">
      <formula1>$A$53:$A$70</formula1>
    </dataValidation>
    <dataValidation type="list" showInputMessage="1" showErrorMessage="1" sqref="C46">
      <formula1>$A$53:$A$95</formula1>
    </dataValidation>
    <dataValidation type="list" showInputMessage="1" showErrorMessage="1" sqref="C37">
      <formula1>$A$53:$A$96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Petunjuk</vt:lpstr>
      <vt:lpstr>Lembar Pernyataan</vt:lpstr>
      <vt:lpstr>Lembar Data Diri</vt:lpstr>
      <vt:lpstr>Lembar Transkrip</vt:lpstr>
      <vt:lpstr>Nilai Kurikulum 2013</vt:lpstr>
      <vt:lpstr>Hapus MK</vt:lpstr>
      <vt:lpstr>Data Akademik</vt:lpstr>
      <vt:lpstr>Data Diri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Luke</cp:lastModifiedBy>
  <dcterms:created xsi:type="dcterms:W3CDTF">2013-06-26T02:51:13Z</dcterms:created>
  <dcterms:modified xsi:type="dcterms:W3CDTF">2017-07-28T10:01:25Z</dcterms:modified>
</cp:coreProperties>
</file>