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an.elfeld/Desktop/Repo/rechnungMARSters/"/>
    </mc:Choice>
  </mc:AlternateContent>
  <xr:revisionPtr revIDLastSave="0" documentId="13_ncr:1_{DDF19574-3A17-2749-9194-79DE89D5BBFC}" xr6:coauthVersionLast="47" xr6:coauthVersionMax="47" xr10:uidLastSave="{00000000-0000-0000-0000-000000000000}"/>
  <bookViews>
    <workbookView xWindow="2720" yWindow="22380" windowWidth="34200" windowHeight="21360" xr2:uid="{D3EC4FF9-2BB6-2944-B9C2-FA9566BC8D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1" l="1"/>
  <c r="D77" i="1"/>
  <c r="D76" i="1"/>
  <c r="D75" i="1"/>
  <c r="F70" i="1"/>
  <c r="F69" i="1"/>
  <c r="F68" i="1"/>
  <c r="F67" i="1"/>
  <c r="F66" i="1"/>
  <c r="F65" i="1"/>
  <c r="F64" i="1"/>
  <c r="F63" i="1"/>
  <c r="F62" i="1"/>
  <c r="F61" i="1"/>
  <c r="B31" i="1"/>
  <c r="F29" i="1"/>
  <c r="D29" i="1"/>
  <c r="F28" i="1"/>
  <c r="D28" i="1"/>
  <c r="F27" i="1"/>
  <c r="D27" i="1"/>
  <c r="F26" i="1"/>
  <c r="D26" i="1"/>
  <c r="F25" i="1"/>
  <c r="D25" i="1"/>
  <c r="F24" i="1"/>
  <c r="D24" i="1"/>
  <c r="D79" i="1" l="1"/>
  <c r="D31" i="1"/>
  <c r="H72" i="1"/>
  <c r="F31" i="1"/>
  <c r="B36" i="1" l="1"/>
  <c r="F8" i="1"/>
  <c r="F9" i="1" s="1"/>
  <c r="F10" i="1" s="1"/>
  <c r="F11" i="1" s="1"/>
  <c r="F12" i="1" s="1"/>
  <c r="F14" i="1" s="1"/>
  <c r="D8" i="1"/>
  <c r="D9" i="1" s="1"/>
  <c r="D10" i="1" s="1"/>
  <c r="D11" i="1" s="1"/>
  <c r="D12" i="1" s="1"/>
  <c r="D14" i="1" s="1"/>
  <c r="B41" i="1" l="1"/>
  <c r="B42" i="1" s="1"/>
  <c r="B44" i="1" s="1"/>
  <c r="B45" i="1" s="1"/>
  <c r="B46" i="1" s="1"/>
  <c r="B48" i="1" l="1"/>
  <c r="B47" i="1"/>
  <c r="B49" i="1" s="1"/>
  <c r="B51" i="1" l="1"/>
  <c r="B53" i="1" s="1"/>
</calcChain>
</file>

<file path=xl/sharedStrings.xml><?xml version="1.0" encoding="utf-8"?>
<sst xmlns="http://schemas.openxmlformats.org/spreadsheetml/2006/main" count="84" uniqueCount="76">
  <si>
    <t>1. Quantitativer Vergleich</t>
  </si>
  <si>
    <t>Lieferant</t>
  </si>
  <si>
    <t>Lieferant A</t>
  </si>
  <si>
    <t>Lieferant B</t>
  </si>
  <si>
    <t>Kondition in %</t>
  </si>
  <si>
    <t>EUR</t>
  </si>
  <si>
    <t>Listeneinkaufspreis</t>
  </si>
  <si>
    <t>Lieferrabatt</t>
  </si>
  <si>
    <t>Zieleinkaufspreis</t>
  </si>
  <si>
    <t>Lieferskonto</t>
  </si>
  <si>
    <t>Bareinkaufspreis</t>
  </si>
  <si>
    <t>Bezugskosten</t>
  </si>
  <si>
    <t>Bezugs- oder Einstandspreis (Netto)</t>
  </si>
  <si>
    <t>2. Nutzwert Analyse</t>
  </si>
  <si>
    <t>Entscheidungskriterium</t>
  </si>
  <si>
    <t>Gewichtung in %</t>
  </si>
  <si>
    <t>Punkte</t>
  </si>
  <si>
    <t>Gewichtete Punkte</t>
  </si>
  <si>
    <t>Preis</t>
  </si>
  <si>
    <t>Produktqualität</t>
  </si>
  <si>
    <t>Fachliche Perspektive</t>
  </si>
  <si>
    <t>Vergangene Zusammenarbeit</t>
  </si>
  <si>
    <t>Lieferschnelligkeit</t>
  </si>
  <si>
    <t>Service</t>
  </si>
  <si>
    <t>Summe</t>
  </si>
  <si>
    <t>Punkte werden von 1-10 vergeben, damit eine detaillierte Einordung gewährleistet werden kann</t>
  </si>
  <si>
    <t>Bester Lieferant (nach Nutzwert)</t>
  </si>
  <si>
    <t>3. Verkaufskalkulation</t>
  </si>
  <si>
    <t>Bezugspreis</t>
  </si>
  <si>
    <t>Geschäftskosten</t>
  </si>
  <si>
    <t>Lagerzins</t>
  </si>
  <si>
    <t>Selbstkostenpreis</t>
  </si>
  <si>
    <t>Barverkaufspreis</t>
  </si>
  <si>
    <t>Kundenskonto i.H.</t>
  </si>
  <si>
    <t>Vertreterprovision i.H.</t>
  </si>
  <si>
    <t>Zielverkaufspreis</t>
  </si>
  <si>
    <t>Kundenrabatt (in Prozent)</t>
  </si>
  <si>
    <t>Umsatzsteuer (in Prozent)</t>
  </si>
  <si>
    <t>Bruttoverkaufspreis</t>
  </si>
  <si>
    <t>Pos</t>
  </si>
  <si>
    <t>Leistung</t>
  </si>
  <si>
    <t>MwSt</t>
  </si>
  <si>
    <t>Einzelpreis</t>
  </si>
  <si>
    <t>Anzahl</t>
  </si>
  <si>
    <t>Gesamtpreis</t>
  </si>
  <si>
    <t>Router (ISR4331)</t>
  </si>
  <si>
    <t>Switch (2960)</t>
  </si>
  <si>
    <t>Server</t>
  </si>
  <si>
    <t>Access-Point</t>
  </si>
  <si>
    <t>PC</t>
  </si>
  <si>
    <t>Laptop</t>
  </si>
  <si>
    <t>Tablet</t>
  </si>
  <si>
    <t xml:space="preserve">Smartphone </t>
  </si>
  <si>
    <t>TV</t>
  </si>
  <si>
    <t>Drucker</t>
  </si>
  <si>
    <t>Nettobetrag:</t>
  </si>
  <si>
    <t>Gewinn in Prozent</t>
  </si>
  <si>
    <t>besitzen kein Lager</t>
  </si>
  <si>
    <t>4. Studensätze</t>
  </si>
  <si>
    <t>Kundenansprechpartner</t>
  </si>
  <si>
    <t>Kundenfirmenname</t>
  </si>
  <si>
    <t>Kundenaddresse</t>
  </si>
  <si>
    <t>Stunden</t>
  </si>
  <si>
    <t>Satz/h (€)</t>
  </si>
  <si>
    <t>Gesamt (€)</t>
  </si>
  <si>
    <t>Netzwerktechnik-Spezialist</t>
  </si>
  <si>
    <t>Hardwareinstallation (Roboterteam)</t>
  </si>
  <si>
    <t>Spezialsoftwareentwicklung</t>
  </si>
  <si>
    <t>Summe netto</t>
  </si>
  <si>
    <t>Projektleitung und Planung</t>
  </si>
  <si>
    <t>Kundendaten</t>
  </si>
  <si>
    <t>Nettoverkaufspreis( + Stundensätze)</t>
  </si>
  <si>
    <t>Lieferanten Packetbeschreibung</t>
  </si>
  <si>
    <t>Spaceone Corp.</t>
  </si>
  <si>
    <t>Marco Peters</t>
  </si>
  <si>
    <t>20537 Hamburg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</si>
</sst>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#,##0.00\ &quot;€&quot;"/>
  </numFmts>
  <fonts count="7" x14ac:knownFonts="1">
    <font>
      <sz val="12"/>
      <color theme="1"/>
      <name val="Aptos Narrow"/>
      <family val="2"/>
      <scheme val="minor"/>
    </font>
    <font>
      <sz val="16"/>
      <color theme="1"/>
      <name val="Aptos Narrow (Body)"/>
    </font>
    <font>
      <sz val="11"/>
      <color theme="1"/>
      <name val="Aptos Narrow"/>
      <scheme val="minor"/>
    </font>
    <font>
      <sz val="16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89"/>
        <bgColor indexed="64"/>
      </patternFill>
    </fill>
    <fill>
      <patternFill patternType="solid">
        <fgColor rgb="FFFFBCBB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9" fontId="0" fillId="3" borderId="7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0" fillId="2" borderId="1" xfId="0" applyFill="1" applyBorder="1"/>
    <xf numFmtId="2" fontId="0" fillId="6" borderId="4" xfId="0" applyNumberFormat="1" applyFill="1" applyBorder="1" applyAlignment="1">
      <alignment horizontal="center"/>
    </xf>
    <xf numFmtId="0" fontId="0" fillId="3" borderId="1" xfId="0" applyFill="1" applyBorder="1"/>
    <xf numFmtId="2" fontId="0" fillId="7" borderId="1" xfId="0" applyNumberFormat="1" applyFill="1" applyBorder="1" applyAlignment="1">
      <alignment horizontal="center"/>
    </xf>
    <xf numFmtId="0" fontId="3" fillId="0" borderId="0" xfId="0" applyFont="1"/>
    <xf numFmtId="0" fontId="0" fillId="8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5" xfId="0" applyFill="1" applyBorder="1"/>
    <xf numFmtId="0" fontId="0" fillId="11" borderId="6" xfId="0" applyFill="1" applyBorder="1" applyAlignment="1">
      <alignment horizontal="center"/>
    </xf>
    <xf numFmtId="0" fontId="0" fillId="12" borderId="0" xfId="0" applyFill="1"/>
    <xf numFmtId="0" fontId="0" fillId="0" borderId="1" xfId="0" applyBorder="1"/>
    <xf numFmtId="2" fontId="0" fillId="1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14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/>
    <xf numFmtId="9" fontId="0" fillId="0" borderId="0" xfId="0" applyNumberFormat="1"/>
    <xf numFmtId="0" fontId="0" fillId="15" borderId="10" xfId="0" applyFill="1" applyBorder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6" fillId="0" borderId="0" xfId="0" applyFont="1"/>
    <xf numFmtId="6" fontId="6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BC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8DD47-7E6D-DD40-92A6-39C8C7C2E111}">
  <dimension ref="A4:I79"/>
  <sheetViews>
    <sheetView tabSelected="1" topLeftCell="A56" zoomScale="143" workbookViewId="0">
      <selection activeCell="C79" sqref="C79"/>
    </sheetView>
  </sheetViews>
  <sheetFormatPr baseColWidth="10" defaultColWidth="8.83203125" defaultRowHeight="16" x14ac:dyDescent="0.2"/>
  <cols>
    <col min="1" max="1" width="35.5" bestFit="1" customWidth="1"/>
    <col min="2" max="2" width="15.6640625" bestFit="1" customWidth="1"/>
    <col min="3" max="3" width="18.6640625" bestFit="1" customWidth="1"/>
    <col min="4" max="4" width="17.6640625" bestFit="1" customWidth="1"/>
    <col min="5" max="5" width="13.6640625" bestFit="1" customWidth="1"/>
    <col min="6" max="6" width="17.6640625" bestFit="1" customWidth="1"/>
    <col min="7" max="7" width="10.1640625" bestFit="1" customWidth="1"/>
    <col min="8" max="8" width="20.83203125" bestFit="1" customWidth="1"/>
    <col min="9" max="9" width="16.1640625" bestFit="1" customWidth="1"/>
  </cols>
  <sheetData>
    <row r="4" spans="1:9" ht="22" x14ac:dyDescent="0.3">
      <c r="A4" s="1" t="s">
        <v>0</v>
      </c>
      <c r="H4" s="1" t="s">
        <v>70</v>
      </c>
    </row>
    <row r="5" spans="1:9" ht="22" x14ac:dyDescent="0.3">
      <c r="A5" s="1"/>
    </row>
    <row r="6" spans="1:9" x14ac:dyDescent="0.2">
      <c r="A6" s="2" t="s">
        <v>1</v>
      </c>
      <c r="C6" s="48" t="s">
        <v>2</v>
      </c>
      <c r="D6" s="48"/>
      <c r="E6" s="49" t="s">
        <v>3</v>
      </c>
      <c r="F6" s="49"/>
      <c r="H6" s="42" t="s">
        <v>59</v>
      </c>
      <c r="I6" s="42" t="s">
        <v>74</v>
      </c>
    </row>
    <row r="7" spans="1:9" x14ac:dyDescent="0.2">
      <c r="C7" s="3" t="s">
        <v>4</v>
      </c>
      <c r="D7" s="3" t="s">
        <v>5</v>
      </c>
      <c r="E7" s="4" t="s">
        <v>4</v>
      </c>
      <c r="F7" s="4" t="s">
        <v>5</v>
      </c>
      <c r="H7" s="42" t="s">
        <v>60</v>
      </c>
      <c r="I7" s="42" t="s">
        <v>73</v>
      </c>
    </row>
    <row r="8" spans="1:9" x14ac:dyDescent="0.2">
      <c r="A8" t="s">
        <v>6</v>
      </c>
      <c r="C8" s="3"/>
      <c r="D8" s="5">
        <f>H72</f>
        <v>79216.510000000009</v>
      </c>
      <c r="E8" s="4"/>
      <c r="F8" s="6">
        <f>H72 *1.2</f>
        <v>95059.812000000005</v>
      </c>
      <c r="H8" s="42" t="s">
        <v>61</v>
      </c>
      <c r="I8" s="42" t="s">
        <v>75</v>
      </c>
    </row>
    <row r="9" spans="1:9" x14ac:dyDescent="0.2">
      <c r="A9" t="s">
        <v>7</v>
      </c>
      <c r="C9" s="7">
        <v>5</v>
      </c>
      <c r="D9" s="5">
        <f>(D8*C9)/100</f>
        <v>3960.8255000000004</v>
      </c>
      <c r="E9" s="8">
        <v>6</v>
      </c>
      <c r="F9" s="6">
        <f>(F8*E9)/100</f>
        <v>5703.5887199999997</v>
      </c>
    </row>
    <row r="10" spans="1:9" x14ac:dyDescent="0.2">
      <c r="A10" t="s">
        <v>8</v>
      </c>
      <c r="C10" s="3"/>
      <c r="D10" s="5">
        <f>D8-D9</f>
        <v>75255.684500000003</v>
      </c>
      <c r="E10" s="4"/>
      <c r="F10" s="6">
        <f>F8-F9</f>
        <v>89356.223280000006</v>
      </c>
    </row>
    <row r="11" spans="1:9" x14ac:dyDescent="0.2">
      <c r="A11" t="s">
        <v>9</v>
      </c>
      <c r="C11" s="7">
        <v>2</v>
      </c>
      <c r="D11" s="5">
        <f>(D10*C11)/100</f>
        <v>1505.1136900000001</v>
      </c>
      <c r="E11" s="8">
        <v>3</v>
      </c>
      <c r="F11" s="6">
        <f>(F10*E11)/100</f>
        <v>2680.6866983999998</v>
      </c>
    </row>
    <row r="12" spans="1:9" x14ac:dyDescent="0.2">
      <c r="A12" t="s">
        <v>10</v>
      </c>
      <c r="C12" s="3"/>
      <c r="D12" s="5">
        <f>D10-D11</f>
        <v>73750.570810000005</v>
      </c>
      <c r="E12" s="4"/>
      <c r="F12" s="6">
        <f>F10-F11</f>
        <v>86675.536581600012</v>
      </c>
    </row>
    <row r="13" spans="1:9" x14ac:dyDescent="0.2">
      <c r="A13" t="s">
        <v>11</v>
      </c>
      <c r="C13" s="9"/>
      <c r="D13" s="5"/>
      <c r="E13" s="10"/>
      <c r="F13" s="11"/>
    </row>
    <row r="14" spans="1:9" x14ac:dyDescent="0.2">
      <c r="A14" t="s">
        <v>12</v>
      </c>
      <c r="C14" s="12"/>
      <c r="D14" s="13">
        <f>D12+D13</f>
        <v>73750.570810000005</v>
      </c>
      <c r="E14" s="14"/>
      <c r="F14" s="15">
        <f>F12+F13</f>
        <v>86675.536581600012</v>
      </c>
    </row>
    <row r="19" spans="1:6" ht="22" x14ac:dyDescent="0.3">
      <c r="A19" s="16" t="s">
        <v>13</v>
      </c>
    </row>
    <row r="20" spans="1:6" ht="22" x14ac:dyDescent="0.3">
      <c r="A20" s="16"/>
    </row>
    <row r="21" spans="1:6" x14ac:dyDescent="0.2">
      <c r="A21" t="s">
        <v>1</v>
      </c>
      <c r="C21" s="48" t="s">
        <v>2</v>
      </c>
      <c r="D21" s="48"/>
      <c r="E21" s="49" t="s">
        <v>3</v>
      </c>
      <c r="F21" s="49"/>
    </row>
    <row r="22" spans="1:6" x14ac:dyDescent="0.2">
      <c r="A22" t="s">
        <v>14</v>
      </c>
      <c r="B22" s="17" t="s">
        <v>15</v>
      </c>
      <c r="C22" s="18" t="s">
        <v>16</v>
      </c>
      <c r="D22" s="19" t="s">
        <v>17</v>
      </c>
      <c r="E22" s="20" t="s">
        <v>16</v>
      </c>
      <c r="F22" s="20" t="s">
        <v>17</v>
      </c>
    </row>
    <row r="23" spans="1:6" x14ac:dyDescent="0.2">
      <c r="B23" s="17"/>
      <c r="C23" s="21"/>
      <c r="D23" s="22"/>
      <c r="E23" s="20"/>
      <c r="F23" s="20"/>
    </row>
    <row r="24" spans="1:6" x14ac:dyDescent="0.2">
      <c r="A24" t="s">
        <v>18</v>
      </c>
      <c r="B24" s="17">
        <v>20</v>
      </c>
      <c r="C24" s="21"/>
      <c r="D24" s="22">
        <f>(C24*B24)/100</f>
        <v>0</v>
      </c>
      <c r="E24" s="20"/>
      <c r="F24" s="20">
        <f>(E24*B24)/100</f>
        <v>0</v>
      </c>
    </row>
    <row r="25" spans="1:6" x14ac:dyDescent="0.2">
      <c r="A25" t="s">
        <v>19</v>
      </c>
      <c r="B25" s="17">
        <v>10</v>
      </c>
      <c r="C25" s="21"/>
      <c r="D25" s="22">
        <f t="shared" ref="D25:D29" si="0">(C25*B25)/100</f>
        <v>0</v>
      </c>
      <c r="E25" s="20"/>
      <c r="F25" s="20">
        <f t="shared" ref="F25:F29" si="1">(E25*B25)/100</f>
        <v>0</v>
      </c>
    </row>
    <row r="26" spans="1:6" x14ac:dyDescent="0.2">
      <c r="A26" t="s">
        <v>20</v>
      </c>
      <c r="B26" s="17">
        <v>25</v>
      </c>
      <c r="C26" s="21"/>
      <c r="D26" s="22">
        <f t="shared" si="0"/>
        <v>0</v>
      </c>
      <c r="E26" s="20"/>
      <c r="F26" s="20">
        <f t="shared" si="1"/>
        <v>0</v>
      </c>
    </row>
    <row r="27" spans="1:6" x14ac:dyDescent="0.2">
      <c r="A27" t="s">
        <v>21</v>
      </c>
      <c r="B27" s="17">
        <v>5</v>
      </c>
      <c r="C27" s="21">
        <v>7</v>
      </c>
      <c r="D27" s="22">
        <f t="shared" si="0"/>
        <v>0.35</v>
      </c>
      <c r="E27" s="20">
        <v>6</v>
      </c>
      <c r="F27" s="20">
        <f t="shared" si="1"/>
        <v>0.3</v>
      </c>
    </row>
    <row r="28" spans="1:6" x14ac:dyDescent="0.2">
      <c r="A28" t="s">
        <v>22</v>
      </c>
      <c r="B28" s="17">
        <v>30</v>
      </c>
      <c r="C28" s="21"/>
      <c r="D28" s="22">
        <f t="shared" si="0"/>
        <v>0</v>
      </c>
      <c r="E28" s="20"/>
      <c r="F28" s="20">
        <f t="shared" si="1"/>
        <v>0</v>
      </c>
    </row>
    <row r="29" spans="1:6" x14ac:dyDescent="0.2">
      <c r="A29" t="s">
        <v>23</v>
      </c>
      <c r="B29" s="17">
        <v>10</v>
      </c>
      <c r="C29" s="21"/>
      <c r="D29" s="22">
        <f t="shared" si="0"/>
        <v>0</v>
      </c>
      <c r="E29" s="20"/>
      <c r="F29" s="20">
        <f t="shared" si="1"/>
        <v>0</v>
      </c>
    </row>
    <row r="30" spans="1:6" x14ac:dyDescent="0.2">
      <c r="B30" s="17"/>
      <c r="C30" s="21"/>
      <c r="D30" s="22"/>
      <c r="E30" s="20"/>
      <c r="F30" s="20"/>
    </row>
    <row r="31" spans="1:6" x14ac:dyDescent="0.2">
      <c r="A31" t="s">
        <v>24</v>
      </c>
      <c r="B31" s="23">
        <f>B24+B25+B26+B27+B28+B29</f>
        <v>100</v>
      </c>
      <c r="C31" s="21"/>
      <c r="D31" s="24">
        <f>SUM(D24:D29)</f>
        <v>0.35</v>
      </c>
      <c r="E31" s="20"/>
      <c r="F31" s="25">
        <f>SUM(F24:F29)</f>
        <v>0.3</v>
      </c>
    </row>
    <row r="33" spans="1:9" x14ac:dyDescent="0.2">
      <c r="A33" t="s">
        <v>25</v>
      </c>
    </row>
    <row r="35" spans="1:9" ht="17" thickBot="1" x14ac:dyDescent="0.25"/>
    <row r="36" spans="1:9" ht="17" thickBot="1" x14ac:dyDescent="0.25">
      <c r="A36" s="26" t="s">
        <v>26</v>
      </c>
      <c r="B36" s="27" t="str">
        <f>IF(D31=MAX(D31,F31),C21,E21)</f>
        <v>Lieferant A</v>
      </c>
      <c r="C36" s="28"/>
      <c r="D36" s="28"/>
      <c r="E36" s="28"/>
      <c r="F36" s="28"/>
    </row>
    <row r="39" spans="1:9" ht="22" x14ac:dyDescent="0.3">
      <c r="A39" s="16" t="s">
        <v>27</v>
      </c>
      <c r="I39" s="1"/>
    </row>
    <row r="40" spans="1:9" ht="22" x14ac:dyDescent="0.3">
      <c r="A40" s="16"/>
    </row>
    <row r="41" spans="1:9" x14ac:dyDescent="0.2">
      <c r="A41" s="29" t="s">
        <v>28</v>
      </c>
      <c r="B41" s="30">
        <f>IF(B36=C6,D14,F14)</f>
        <v>73750.570810000005</v>
      </c>
      <c r="C41" s="31"/>
    </row>
    <row r="42" spans="1:9" x14ac:dyDescent="0.2">
      <c r="A42" s="29" t="s">
        <v>29</v>
      </c>
      <c r="B42" s="32">
        <f>B41*0.3</f>
        <v>22125.171243000001</v>
      </c>
      <c r="C42" s="34">
        <v>0.3</v>
      </c>
      <c r="D42" s="41"/>
    </row>
    <row r="43" spans="1:9" x14ac:dyDescent="0.2">
      <c r="A43" s="29" t="s">
        <v>30</v>
      </c>
      <c r="B43" s="32">
        <v>0</v>
      </c>
      <c r="C43" s="31" t="s">
        <v>57</v>
      </c>
    </row>
    <row r="44" spans="1:9" x14ac:dyDescent="0.2">
      <c r="A44" s="29" t="s">
        <v>31</v>
      </c>
      <c r="B44" s="30">
        <f>(B41+B42+B43)</f>
        <v>95875.742053000009</v>
      </c>
      <c r="C44" s="31"/>
      <c r="E44" s="41"/>
    </row>
    <row r="45" spans="1:9" x14ac:dyDescent="0.2">
      <c r="A45" s="29" t="s">
        <v>56</v>
      </c>
      <c r="B45" s="32">
        <f>B44 * 0.2</f>
        <v>19175.148410600003</v>
      </c>
      <c r="C45" s="34">
        <v>0.2</v>
      </c>
      <c r="D45" s="41"/>
    </row>
    <row r="46" spans="1:9" x14ac:dyDescent="0.2">
      <c r="A46" s="29" t="s">
        <v>32</v>
      </c>
      <c r="B46" s="30">
        <f>(B44+B45)</f>
        <v>115050.89046360001</v>
      </c>
      <c r="C46" s="31"/>
    </row>
    <row r="47" spans="1:9" x14ac:dyDescent="0.2">
      <c r="A47" s="29" t="s">
        <v>33</v>
      </c>
      <c r="B47" s="33">
        <f>(B46*0.02)</f>
        <v>2301.0178092720002</v>
      </c>
      <c r="C47" s="34">
        <v>0.02</v>
      </c>
    </row>
    <row r="48" spans="1:9" x14ac:dyDescent="0.2">
      <c r="A48" s="29" t="s">
        <v>34</v>
      </c>
      <c r="B48" s="33">
        <f>B46*0.01</f>
        <v>1150.5089046360001</v>
      </c>
      <c r="C48" s="34">
        <v>0.01</v>
      </c>
    </row>
    <row r="49" spans="1:6" x14ac:dyDescent="0.2">
      <c r="A49" s="29" t="s">
        <v>35</v>
      </c>
      <c r="B49" s="30">
        <f>(B46+B47+B48)</f>
        <v>118502.417177508</v>
      </c>
      <c r="C49" s="31"/>
    </row>
    <row r="50" spans="1:6" x14ac:dyDescent="0.2">
      <c r="A50" s="29" t="s">
        <v>36</v>
      </c>
      <c r="B50" s="33">
        <v>10</v>
      </c>
      <c r="C50" s="34"/>
    </row>
    <row r="51" spans="1:6" x14ac:dyDescent="0.2">
      <c r="A51" s="29" t="s">
        <v>71</v>
      </c>
      <c r="B51" s="33">
        <f>(B49/((100-B50)/100))+D79</f>
        <v>491479.35241945332</v>
      </c>
      <c r="C51" s="31"/>
    </row>
    <row r="52" spans="1:6" x14ac:dyDescent="0.2">
      <c r="A52" s="29" t="s">
        <v>37</v>
      </c>
      <c r="B52" s="33">
        <v>19</v>
      </c>
      <c r="C52" s="31"/>
    </row>
    <row r="53" spans="1:6" x14ac:dyDescent="0.2">
      <c r="A53" s="29" t="s">
        <v>38</v>
      </c>
      <c r="B53" s="33">
        <f>B51*(1+(B52/100))</f>
        <v>584860.42937914946</v>
      </c>
      <c r="C53" s="31"/>
    </row>
    <row r="59" spans="1:6" ht="22" x14ac:dyDescent="0.3">
      <c r="A59" s="1" t="s">
        <v>72</v>
      </c>
    </row>
    <row r="60" spans="1:6" x14ac:dyDescent="0.2">
      <c r="A60" s="35" t="s">
        <v>39</v>
      </c>
      <c r="B60" s="36" t="s">
        <v>40</v>
      </c>
      <c r="C60" s="36" t="s">
        <v>41</v>
      </c>
      <c r="D60" s="36" t="s">
        <v>42</v>
      </c>
      <c r="E60" s="36" t="s">
        <v>43</v>
      </c>
      <c r="F60" s="36" t="s">
        <v>44</v>
      </c>
    </row>
    <row r="61" spans="1:6" x14ac:dyDescent="0.2">
      <c r="A61" s="37">
        <v>1</v>
      </c>
      <c r="B61" s="37" t="s">
        <v>45</v>
      </c>
      <c r="C61" s="38">
        <v>0.19</v>
      </c>
      <c r="D61" s="39">
        <v>1100</v>
      </c>
      <c r="E61" s="37">
        <v>9</v>
      </c>
      <c r="F61" s="39">
        <f t="shared" ref="F61:F70" si="2">D61*E61</f>
        <v>9900</v>
      </c>
    </row>
    <row r="62" spans="1:6" x14ac:dyDescent="0.2">
      <c r="A62" s="37">
        <v>2</v>
      </c>
      <c r="B62" s="37" t="s">
        <v>46</v>
      </c>
      <c r="C62" s="38">
        <v>0.19</v>
      </c>
      <c r="D62" s="39">
        <v>449.89</v>
      </c>
      <c r="E62" s="37">
        <v>8</v>
      </c>
      <c r="F62" s="39">
        <f t="shared" si="2"/>
        <v>3599.12</v>
      </c>
    </row>
    <row r="63" spans="1:6" x14ac:dyDescent="0.2">
      <c r="A63" s="37">
        <v>3</v>
      </c>
      <c r="B63" s="37" t="s">
        <v>47</v>
      </c>
      <c r="C63" s="38">
        <v>0.19</v>
      </c>
      <c r="D63" s="39">
        <v>3299.99</v>
      </c>
      <c r="E63" s="37">
        <v>11</v>
      </c>
      <c r="F63" s="39">
        <f t="shared" si="2"/>
        <v>36299.89</v>
      </c>
    </row>
    <row r="64" spans="1:6" x14ac:dyDescent="0.2">
      <c r="A64" s="37">
        <v>4</v>
      </c>
      <c r="B64" s="37" t="s">
        <v>48</v>
      </c>
      <c r="C64" s="38">
        <v>0.19</v>
      </c>
      <c r="D64" s="39">
        <v>219.99</v>
      </c>
      <c r="E64" s="37">
        <v>11</v>
      </c>
      <c r="F64" s="39">
        <f t="shared" si="2"/>
        <v>2419.8900000000003</v>
      </c>
    </row>
    <row r="65" spans="1:8" x14ac:dyDescent="0.2">
      <c r="A65" s="37">
        <v>5</v>
      </c>
      <c r="B65" s="37" t="s">
        <v>49</v>
      </c>
      <c r="C65" s="38">
        <v>0.19</v>
      </c>
      <c r="D65" s="39">
        <v>655.99</v>
      </c>
      <c r="E65" s="37">
        <v>18</v>
      </c>
      <c r="F65" s="39">
        <f t="shared" si="2"/>
        <v>11807.82</v>
      </c>
    </row>
    <row r="66" spans="1:8" x14ac:dyDescent="0.2">
      <c r="A66" s="37">
        <v>6</v>
      </c>
      <c r="B66" s="37" t="s">
        <v>50</v>
      </c>
      <c r="C66" s="38">
        <v>0.19</v>
      </c>
      <c r="D66" s="39">
        <v>699.99</v>
      </c>
      <c r="E66" s="37">
        <v>11</v>
      </c>
      <c r="F66" s="39">
        <f t="shared" si="2"/>
        <v>7699.89</v>
      </c>
    </row>
    <row r="67" spans="1:8" x14ac:dyDescent="0.2">
      <c r="A67" s="37">
        <v>7</v>
      </c>
      <c r="B67" s="37" t="s">
        <v>51</v>
      </c>
      <c r="C67" s="38">
        <v>0.19</v>
      </c>
      <c r="D67" s="39">
        <v>649.99</v>
      </c>
      <c r="E67" s="37">
        <v>5</v>
      </c>
      <c r="F67" s="39">
        <f t="shared" si="2"/>
        <v>3249.95</v>
      </c>
    </row>
    <row r="68" spans="1:8" x14ac:dyDescent="0.2">
      <c r="A68" s="37">
        <v>8</v>
      </c>
      <c r="B68" s="37" t="s">
        <v>52</v>
      </c>
      <c r="C68" s="38">
        <v>0.19</v>
      </c>
      <c r="D68" s="39">
        <v>789.99</v>
      </c>
      <c r="E68" s="37">
        <v>1</v>
      </c>
      <c r="F68" s="39">
        <f t="shared" si="2"/>
        <v>789.99</v>
      </c>
    </row>
    <row r="69" spans="1:8" x14ac:dyDescent="0.2">
      <c r="A69" s="37">
        <v>9</v>
      </c>
      <c r="B69" s="37" t="s">
        <v>53</v>
      </c>
      <c r="C69" s="38">
        <v>0.19</v>
      </c>
      <c r="D69" s="39">
        <v>819.99</v>
      </c>
      <c r="E69" s="37">
        <v>4</v>
      </c>
      <c r="F69" s="39">
        <f t="shared" si="2"/>
        <v>3279.96</v>
      </c>
    </row>
    <row r="70" spans="1:8" x14ac:dyDescent="0.2">
      <c r="A70" s="37">
        <v>10</v>
      </c>
      <c r="B70" s="37" t="s">
        <v>54</v>
      </c>
      <c r="C70" s="38">
        <v>0.19</v>
      </c>
      <c r="D70" s="39">
        <v>170</v>
      </c>
      <c r="E70" s="37">
        <v>1</v>
      </c>
      <c r="F70" s="39">
        <f t="shared" si="2"/>
        <v>170</v>
      </c>
    </row>
    <row r="72" spans="1:8" x14ac:dyDescent="0.2">
      <c r="G72" t="s">
        <v>55</v>
      </c>
      <c r="H72" s="40">
        <f>F61+F62+F63+F64+F65+F66+F67+F68+F69+F70</f>
        <v>79216.510000000009</v>
      </c>
    </row>
    <row r="73" spans="1:8" ht="22" x14ac:dyDescent="0.3">
      <c r="A73" s="1" t="s">
        <v>58</v>
      </c>
      <c r="H73" s="41"/>
    </row>
    <row r="74" spans="1:8" x14ac:dyDescent="0.2">
      <c r="A74" s="43" t="s">
        <v>40</v>
      </c>
      <c r="B74" s="43" t="s">
        <v>62</v>
      </c>
      <c r="C74" s="43" t="s">
        <v>63</v>
      </c>
      <c r="D74" s="43" t="s">
        <v>64</v>
      </c>
    </row>
    <row r="75" spans="1:8" x14ac:dyDescent="0.2">
      <c r="A75" t="s">
        <v>65</v>
      </c>
      <c r="B75" s="44">
        <v>75</v>
      </c>
      <c r="C75" s="45">
        <v>1200</v>
      </c>
      <c r="D75" s="45">
        <f>B75*C75</f>
        <v>90000</v>
      </c>
    </row>
    <row r="76" spans="1:8" x14ac:dyDescent="0.2">
      <c r="A76" t="s">
        <v>69</v>
      </c>
      <c r="B76" s="44">
        <v>85</v>
      </c>
      <c r="C76" s="44">
        <v>900</v>
      </c>
      <c r="D76" s="45">
        <f>B76*C76</f>
        <v>76500</v>
      </c>
    </row>
    <row r="77" spans="1:8" x14ac:dyDescent="0.2">
      <c r="A77" t="s">
        <v>66</v>
      </c>
      <c r="B77" s="44">
        <v>118.85</v>
      </c>
      <c r="C77" s="44">
        <v>600</v>
      </c>
      <c r="D77" s="45">
        <f>B77*C77</f>
        <v>71310</v>
      </c>
    </row>
    <row r="78" spans="1:8" x14ac:dyDescent="0.2">
      <c r="A78" t="s">
        <v>67</v>
      </c>
      <c r="B78" s="44">
        <v>122</v>
      </c>
      <c r="C78" s="45">
        <v>1000</v>
      </c>
      <c r="D78" s="45">
        <f>B78*C78</f>
        <v>122000</v>
      </c>
    </row>
    <row r="79" spans="1:8" x14ac:dyDescent="0.2">
      <c r="A79" s="46" t="s">
        <v>68</v>
      </c>
      <c r="B79" s="44"/>
      <c r="C79" s="44"/>
      <c r="D79" s="47">
        <f>D75+D76+D77+D78</f>
        <v>359810</v>
      </c>
    </row>
  </sheetData>
  <mergeCells count="4">
    <mergeCell ref="C21:D21"/>
    <mergeCell ref="E21:F21"/>
    <mergeCell ref="C6:D6"/>
    <mergeCell ref="E6:F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bh4-lisslu</dc:creator>
  <cp:lastModifiedBy>Johan Elfeld</cp:lastModifiedBy>
  <dcterms:created xsi:type="dcterms:W3CDTF">2025-07-14T15:27:19Z</dcterms:created>
  <dcterms:modified xsi:type="dcterms:W3CDTF">2025-07-15T19:41:24Z</dcterms:modified>
</cp:coreProperties>
</file>