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omments14.xml" ContentType="application/vnd.openxmlformats-officedocument.spreadsheetml.comments+xml"/>
  <Override PartName="/xl/comments5.xml" ContentType="application/vnd.openxmlformats-officedocument.spreadsheetml.comments+xml"/>
  <Override PartName="/xl/drawings/vmlDrawing3.vml" ContentType="application/vnd.openxmlformats-officedocument.vmlDrawing"/>
  <Override PartName="/xl/drawings/vmlDrawing2.vml" ContentType="application/vnd.openxmlformats-officedocument.vmlDrawing"/>
  <Override PartName="/xl/drawings/vmlDrawing1.vml" ContentType="application/vnd.openxmlformats-officedocument.vmlDrawing"/>
  <Override PartName="/xl/workbook.xml" ContentType="application/vnd.openxmlformats-officedocument.spreadsheetml.sheet.main+xml"/>
  <Override PartName="/xl/comments13.xml" ContentType="application/vnd.openxmlformats-officedocument.spreadsheetml.comments+xml"/>
  <Override PartName="/xl/styles.xml" ContentType="application/vnd.openxmlformats-officedocument.spreadsheetml.styles+xml"/>
  <Override PartName="/xl/worksheets/_rels/sheet14.xml.rels" ContentType="application/vnd.openxmlformats-package.relationships+xml"/>
  <Override PartName="/xl/worksheets/_rels/sheet13.xml.rels" ContentType="application/vnd.openxmlformats-package.relationships+xml"/>
  <Override PartName="/xl/worksheets/_rels/sheet5.xml.rels" ContentType="application/vnd.openxmlformats-package.relationships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7" activeTab="7"/>
  </bookViews>
  <sheets>
    <sheet name="Bột Cá 1 Cty LH" sheetId="1" state="hidden" r:id="rId2"/>
    <sheet name="T5" sheetId="2" state="hidden" r:id="rId3"/>
    <sheet name="T6" sheetId="3" state="hidden" r:id="rId4"/>
    <sheet name="T2.19" sheetId="4" state="hidden" r:id="rId5"/>
    <sheet name="t3.19" sheetId="5" state="hidden" r:id="rId6"/>
    <sheet name="T9" sheetId="6" state="hidden" r:id="rId7"/>
    <sheet name="t10" sheetId="7" state="hidden" r:id="rId8"/>
    <sheet name="surumi" sheetId="8" state="visible" r:id="rId9"/>
    <sheet name="bột cá " sheetId="9" state="visible" r:id="rId10"/>
    <sheet name="tháng 3. L2" sheetId="10" state="hidden" r:id="rId11"/>
    <sheet name="thang3.L3" sheetId="11" state="hidden" r:id="rId12"/>
    <sheet name="thang3.L4" sheetId="12" state="hidden" r:id="rId13"/>
    <sheet name="thang3.L5" sheetId="13" state="hidden" r:id="rId14"/>
    <sheet name="thang3.L6" sheetId="14" state="hidden" r:id="rId1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5.xml><?xml version="1.0" encoding="utf-8"?>
<comments xmlns="http://schemas.openxmlformats.org/spreadsheetml/2006/main" xmlns:xdr="http://schemas.openxmlformats.org/drawingml/2006/spreadsheetDrawing">
  <authors>
    <author/>
  </authors>
  <commentList>
    <comment ref="C7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chuyển từ hàng A56 sang hàng A68
</t>
        </r>
      </text>
    </comment>
    <comment ref="C10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chuyển từ hàng A56 sang hàng A68
</t>
        </r>
      </text>
    </comment>
    <comment ref="C12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A54: 900 sang A60: 900</t>
        </r>
      </text>
    </comment>
    <comment ref="C13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từ hàng A54: 100 sang A60; 100
</t>
        </r>
      </text>
    </comment>
    <comment ref="C13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lại hàng A50: 400kg
</t>
        </r>
      </text>
    </comment>
    <comment ref="C15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A54: 900 sang A60: 900</t>
        </r>
      </text>
    </comment>
    <comment ref="C16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từ hàng A54: 100 sang A60; 100
</t>
        </r>
      </text>
    </comment>
    <comment ref="C16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lại hàng A50: 400kg
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/>
  </authors>
  <commentList>
    <comment ref="D2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nhập lại từ hàng A56
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/>
  </authors>
  <commentList>
    <comment ref="D18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nhập xử lý từ hàng A50+A54
</t>
        </r>
      </text>
    </comment>
    <comment ref="D2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900 từ hàng A54 chuyển qua
</t>
        </r>
      </text>
    </comment>
  </commentList>
</comments>
</file>

<file path=xl/sharedStrings.xml><?xml version="1.0" encoding="utf-8"?>
<sst xmlns="http://schemas.openxmlformats.org/spreadsheetml/2006/main" count="6180" uniqueCount="693">
  <si>
    <t xml:space="preserve">CÔNG TY CỔ PHẦN TMVT &amp; CBHS LONG HẢI</t>
  </si>
  <si>
    <t xml:space="preserve">KẾT QUẢ SẢN XUẤT NGÀY Lô 16/2/2019</t>
  </si>
  <si>
    <t xml:space="preserve">BỘT CÁ</t>
  </si>
  <si>
    <t xml:space="preserve">I. NGUYÊN LIỆU ĐẦU VÀO</t>
  </si>
  <si>
    <t xml:space="preserve">ĐVT: Kg</t>
  </si>
  <si>
    <t xml:space="preserve">Tồn đầu</t>
  </si>
  <si>
    <t xml:space="preserve">Nhập trong ngày 16/2</t>
  </si>
  <si>
    <t xml:space="preserve">Xuất dùng sản xuất</t>
  </si>
  <si>
    <t xml:space="preserve">Tồn cuối</t>
  </si>
  <si>
    <t xml:space="preserve">Đầu xương</t>
  </si>
  <si>
    <t xml:space="preserve">Cá nguyên liệu</t>
  </si>
  <si>
    <t xml:space="preserve">CỘNG</t>
  </si>
  <si>
    <t xml:space="preserve">II. THÀNH PHẨM</t>
  </si>
  <si>
    <t xml:space="preserve">Loại hàng</t>
  </si>
  <si>
    <t xml:space="preserve">Số lượng 
nhập 16/2</t>
  </si>
  <si>
    <t xml:space="preserve">Độ đạm TB</t>
  </si>
  <si>
    <t xml:space="preserve">Định mức</t>
  </si>
  <si>
    <t xml:space="preserve">Bột nguyên con</t>
  </si>
  <si>
    <t xml:space="preserve">Bột moi</t>
  </si>
  <si>
    <t xml:space="preserve">Ghi chú : </t>
  </si>
  <si>
    <t xml:space="preserve">III. TỒN KHO THÀNH PHẨM</t>
  </si>
  <si>
    <t xml:space="preserve">Số lượng</t>
  </si>
  <si>
    <t xml:space="preserve">Đầu Xương</t>
  </si>
  <si>
    <t xml:space="preserve">KẾ TOÁN</t>
  </si>
  <si>
    <t xml:space="preserve">THỦ KHO</t>
  </si>
  <si>
    <t xml:space="preserve">PHÒNG QC</t>
  </si>
  <si>
    <t xml:space="preserve">GIÁM SÁT SX</t>
  </si>
  <si>
    <t xml:space="preserve">KIỂM SOÁT</t>
  </si>
  <si>
    <t xml:space="preserve">ĐỖ THỊ NGUYỆT</t>
  </si>
  <si>
    <t xml:space="preserve">PHAN TRUNG TUYẾN</t>
  </si>
  <si>
    <t xml:space="preserve">KẾT QUẢ SẢN XUẤT NGÀY Lô 9/4/2018</t>
  </si>
  <si>
    <t xml:space="preserve">Nhập trong ngày 9/4</t>
  </si>
  <si>
    <t xml:space="preserve">Ghi chú : không sản xuất</t>
  </si>
  <si>
    <t xml:space="preserve">Số lượng 
nhập 9/4</t>
  </si>
  <si>
    <t xml:space="preserve">PHẠM THỊ HƯỜNG</t>
  </si>
  <si>
    <t xml:space="preserve">Nhập trong ngày 10/4</t>
  </si>
  <si>
    <t xml:space="preserve">Ghi chú : Nguyên liệu đầu xương chạy SX hàng nguyên con</t>
  </si>
  <si>
    <t xml:space="preserve">Số lượng 
nhập 10/4</t>
  </si>
  <si>
    <t xml:space="preserve">KẾT QUẢ SẢN XUẤT NGÀY Lô 11/4/2018</t>
  </si>
  <si>
    <t xml:space="preserve">Nhập trong ngày 11/4</t>
  </si>
  <si>
    <t xml:space="preserve">Ghi chú : Nguyên liệu đang chạy SX chưa tách được lô</t>
  </si>
  <si>
    <t xml:space="preserve">Số lượng 
nhập 11/4</t>
  </si>
  <si>
    <t xml:space="preserve">KẾT QUẢ SẢN XUẤT NGÀY Lô 11-12/4/2018</t>
  </si>
  <si>
    <t xml:space="preserve">Nhập trong ngày 12/4</t>
  </si>
  <si>
    <t xml:space="preserve">Ghi chú 1 : Nguyên liệu vào ngày 11/4 chạy hết , chạy thêm 25.362,4 kg của ngày 12/4</t>
  </si>
  <si>
    <t xml:space="preserve">Ghi chú  2 : Nguyên liệu đầu xương chạy chạy lẫn </t>
  </si>
  <si>
    <t xml:space="preserve">Ghi chú 3: Nguyên liệu 310.474 kg đang chạy tiếp</t>
  </si>
  <si>
    <t xml:space="preserve">1. Sản xuất 11/4-12h 12/4/2018</t>
  </si>
  <si>
    <t xml:space="preserve">Số lượng 
nhập 11-12/4</t>
  </si>
  <si>
    <t xml:space="preserve">Đầu xương 
</t>
  </si>
  <si>
    <t xml:space="preserve">Bột nguyên con    </t>
  </si>
  <si>
    <t xml:space="preserve">2. Sản xuất 12h01 12/4-</t>
  </si>
  <si>
    <t xml:space="preserve">Chưa có định mức</t>
  </si>
  <si>
    <t xml:space="preserve">Bột nguyên con      </t>
  </si>
  <si>
    <t xml:space="preserve">KẾT QUẢ SẢN XUẤT NGÀY Lô 12-13/4/2018</t>
  </si>
  <si>
    <t xml:space="preserve">Nhập trong ngày 13/4</t>
  </si>
  <si>
    <t xml:space="preserve">Cá nguyên liệu
 Surimi chuyển qua</t>
  </si>
  <si>
    <t xml:space="preserve">Ghi chú  2 : Nguyên liệu đang chạy tiếp chưa tách được lô</t>
  </si>
  <si>
    <t xml:space="preserve">Số lượng 
nhập  13/4</t>
  </si>
  <si>
    <t xml:space="preserve">Độ đạm 
Ngày 13/4</t>
  </si>
  <si>
    <t xml:space="preserve">chưa có 
định mức</t>
  </si>
  <si>
    <t xml:space="preserve">KẾT QUẢ SẢN XUẤT NGÀY Lô 12h01 12/4-</t>
  </si>
  <si>
    <t xml:space="preserve">Nhập trong ngày 14/4</t>
  </si>
  <si>
    <t xml:space="preserve">PP đầu xương thu hồi</t>
  </si>
  <si>
    <t xml:space="preserve">Ghi chú  1 : Nguyên liệu đang chạy tiếp chưa tách được lô</t>
  </si>
  <si>
    <t xml:space="preserve">Số lượng 
nhập 12h01 12/4</t>
  </si>
  <si>
    <t xml:space="preserve">Số lượng 
nhập  14/4</t>
  </si>
  <si>
    <t xml:space="preserve">Độ đạm 
Ngày 14/4</t>
  </si>
  <si>
    <t xml:space="preserve">KẾT QUẢ SẢN XUẤT NGÀY Lô 12h01 12/4-15/4</t>
  </si>
  <si>
    <t xml:space="preserve">Nhập trong ngày 15/4</t>
  </si>
  <si>
    <t xml:space="preserve">Ghi chú  1 : Nguyên liệu chạy hết</t>
  </si>
  <si>
    <t xml:space="preserve">2. Sản xuất 12h01 12/4-15/4</t>
  </si>
  <si>
    <t xml:space="preserve">Số lượng 
nhập 12h01 12/4-14/4</t>
  </si>
  <si>
    <t xml:space="preserve">Số lượng 
nhập  15/4</t>
  </si>
  <si>
    <t xml:space="preserve">Độ đạm 
Ngày 15/4</t>
  </si>
  <si>
    <t xml:space="preserve">KẾT QUẢ SẢN XUẤT NGÀY Lô 15/4-16/4</t>
  </si>
  <si>
    <t xml:space="preserve">Nhập trong ngày 16/4</t>
  </si>
  <si>
    <t xml:space="preserve">Ghi chú : Đầu xương dùng cho chạy SX nguyên con</t>
  </si>
  <si>
    <t xml:space="preserve">Số lượng 
nhập 16/4</t>
  </si>
  <si>
    <t xml:space="preserve">Độ đạm 
Ngày 16/4</t>
  </si>
  <si>
    <t xml:space="preserve">KẾT QUẢ SẢN XUẤT NGÀY Lô 16/4-17/4</t>
  </si>
  <si>
    <t xml:space="preserve">Nhập trong ngày 17/4</t>
  </si>
  <si>
    <t xml:space="preserve">Số lượng 
nhập 17/4</t>
  </si>
  <si>
    <t xml:space="preserve">Độ đạm 
Ngày 17/4</t>
  </si>
  <si>
    <t xml:space="preserve">Ghi chú : Định mức cao nguyên nhân do ca đốm heo cá xe đông lạnh nhiều nước</t>
  </si>
  <si>
    <t xml:space="preserve">KẾT QUẢ SẢN XUẤT NGÀY Lô 17-18/4</t>
  </si>
  <si>
    <t xml:space="preserve">Nhập trong ngày 18/4</t>
  </si>
  <si>
    <t xml:space="preserve">Ghi chú : Nguyên liệu đang chạy tiếp chưa tách được lô</t>
  </si>
  <si>
    <t xml:space="preserve">Số lượng 
nhập 18/4</t>
  </si>
  <si>
    <t xml:space="preserve">Độ đạm 
Ngày 18/4</t>
  </si>
  <si>
    <t xml:space="preserve">Ghi chú : Bột đầu xương vét máy </t>
  </si>
  <si>
    <t xml:space="preserve">KẾT QUẢ SẢN XUẤT NGÀY Lô 18-19/4</t>
  </si>
  <si>
    <t xml:space="preserve">Nhập trong ngày 19/4</t>
  </si>
  <si>
    <t xml:space="preserve">Ghi chú : Nguyên liệu chạy đến 12h 20/4</t>
  </si>
  <si>
    <t xml:space="preserve">Số lượng 
nhập 19/4-12h20/4</t>
  </si>
  <si>
    <t xml:space="preserve">Ghi chú : chưa trừ xuất hàng 20/4</t>
  </si>
  <si>
    <t xml:space="preserve">KẾT QUẢ SẢN XUẤT NGÀY Lô 12h01 20/4-20/4</t>
  </si>
  <si>
    <t xml:space="preserve">Nhập trong ngày 20/4</t>
  </si>
  <si>
    <t xml:space="preserve">Số lượng 
nhập 12h01 20/4</t>
  </si>
  <si>
    <t xml:space="preserve">KẾT QUẢ SẢN XUẤT NGÀY Lô 12h01 20/4-21/4</t>
  </si>
  <si>
    <t xml:space="preserve">Nhập trong ngày 21/4</t>
  </si>
  <si>
    <t xml:space="preserve">Số lượng 
nhập 21/4</t>
  </si>
  <si>
    <t xml:space="preserve">KẾT QUẢ SẢN XUẤT NGÀY Lô 12h01 20/4-22/4</t>
  </si>
  <si>
    <t xml:space="preserve">Nhập trong ngày 22/4</t>
  </si>
  <si>
    <t xml:space="preserve">Số lượng 
nhập 12h01 20/4-24/4</t>
  </si>
  <si>
    <t xml:space="preserve">Số lượng 
nhập 22/4</t>
  </si>
  <si>
    <t xml:space="preserve">KẾT QUẢ SẢN XUẤT NGÀY Lô 12h01 20/4-14h 23/4</t>
  </si>
  <si>
    <t xml:space="preserve">Nhập trong ngày 23/4</t>
  </si>
  <si>
    <t xml:space="preserve">Ghi chú 1 : Nguyên liệu chạy hết 22/4 , Nguyên liệu ngày 23/4 đang chạy</t>
  </si>
  <si>
    <t xml:space="preserve">Ghi chú 2 : Cá + Mực ( hỏng ) bên kho Điệp Chi chuyển về chưa chạy SX </t>
  </si>
  <si>
    <t xml:space="preserve"> 1. Sản xuất từ 12h01-14h 23/4</t>
  </si>
  <si>
    <t xml:space="preserve">Số lượng 
nhập 12h01 20/4- 22/4</t>
  </si>
  <si>
    <t xml:space="preserve">Số lượng 
nhập  23/4-14h 23/4</t>
  </si>
  <si>
    <t xml:space="preserve">2 . Sản xuất từ 14h01 23/4-23/4</t>
  </si>
  <si>
    <t xml:space="preserve">Số lượng 
nhập 14h01 23/4-23/4</t>
  </si>
  <si>
    <t xml:space="preserve">KẾT QUẢ SẢN XUẤT NGÀY Lô 14h 01 23/4-24/4</t>
  </si>
  <si>
    <t xml:space="preserve">Nhập trong ngày 24/4</t>
  </si>
  <si>
    <t xml:space="preserve">Xuất dùng sản xuất 23/4</t>
  </si>
  <si>
    <t xml:space="preserve">Nguyên liệu cấp đông 
bên kho Điệp chi</t>
  </si>
  <si>
    <t xml:space="preserve">Ghi chú 1 : Nguyên liệu chạy hết 23/4 , Nguyên liệu ngày 24/4 đang chạy</t>
  </si>
  <si>
    <t xml:space="preserve">Ghi chú 2 : Nguyên liệu cấp đông Mực + Cá cấp đông bên Kho Điệp Chi Hỏng về Long Hải làm cá lơn</t>
  </si>
  <si>
    <t xml:space="preserve"> 1. Sản xuất từ 14h01 23/4-23/4 </t>
  </si>
  <si>
    <t xml:space="preserve">2 . Sản xuất 24/4</t>
  </si>
  <si>
    <t xml:space="preserve">Số lượng 
nhập 24/4</t>
  </si>
  <si>
    <t xml:space="preserve">Ghi chú : Nguyên liệu ngày 24/4 chưa chạy hết , chuyển tiếp nguyên liệu chạy 25/4</t>
  </si>
  <si>
    <t xml:space="preserve">KẾT QUẢ SẢN XUẤT NGÀY Lô 24/4-25/4 ( đã sữa )</t>
  </si>
  <si>
    <t xml:space="preserve">Nhập trong ngày 25/4</t>
  </si>
  <si>
    <t xml:space="preserve"> 1. Sản xuất từ 24-25/4</t>
  </si>
  <si>
    <t xml:space="preserve">Số lượng 
nhập 25/4</t>
  </si>
  <si>
    <t xml:space="preserve">Độ đạm TB
 24-25/4</t>
  </si>
  <si>
    <t xml:space="preserve">KẾT QUẢ SẢN XUẤT NGÀY Lô 26/4</t>
  </si>
  <si>
    <t xml:space="preserve">Nhập trong ngày 26/4</t>
  </si>
  <si>
    <t xml:space="preserve">Số lượng 
nhập 26/4</t>
  </si>
  <si>
    <t xml:space="preserve">Độ đạm TB
</t>
  </si>
  <si>
    <t xml:space="preserve">KẾT QUẢ SẢN XUẤT NGÀY Lô 26-18h 27/4</t>
  </si>
  <si>
    <t xml:space="preserve">Nhập trong ngày 27/4</t>
  </si>
  <si>
    <t xml:space="preserve">Ghi chú : Nguyên liệu chạy hết ngày 26/4 và chạy thêm 108.598 kg của 27/4</t>
  </si>
  <si>
    <t xml:space="preserve">Số lượng 
nhập 27/4</t>
  </si>
  <si>
    <t xml:space="preserve">Độ đạm
 TB
</t>
  </si>
  <si>
    <t xml:space="preserve">KẾT QUẢ SẢN XUẤT NGÀY Lô 18h01 27/4-28/4</t>
  </si>
  <si>
    <t xml:space="preserve">Nhập trong ngày 28/4</t>
  </si>
  <si>
    <t xml:space="preserve">Ghi chú : Nguyên liệu chạy chưa tách được lô</t>
  </si>
  <si>
    <t xml:space="preserve">Số lượng 
nhập 28/4</t>
  </si>
  <si>
    <t xml:space="preserve">KẾT QUẢ SẢN XUẤT NGÀY Lô 18h01 27/4-20h 29/4</t>
  </si>
  <si>
    <t xml:space="preserve">Nhập trong ngày 29/7</t>
  </si>
  <si>
    <t xml:space="preserve">Cá surimi chuyển qua</t>
  </si>
  <si>
    <t xml:space="preserve">Số lượng 
nhập 29/4</t>
  </si>
  <si>
    <t xml:space="preserve">KẾT QUẢ SẢN XUẤT NGÀY Lô 20h01 29/4-30/4</t>
  </si>
  <si>
    <t xml:space="preserve">Nhập trong ngày 30/4</t>
  </si>
  <si>
    <t xml:space="preserve">Số lượng 
nhập 30/4</t>
  </si>
  <si>
    <t xml:space="preserve">KẾT QUẢ SẢN XUẤT NGÀY Lô 20h01 29/4-1/5</t>
  </si>
  <si>
    <t xml:space="preserve">Nhập trong ngày 1/5</t>
  </si>
  <si>
    <t xml:space="preserve">Số lượng 
nhập 1/5</t>
  </si>
  <si>
    <t xml:space="preserve">KẾT QUẢ SẢN XUẤT NGÀY Lô 20h01 29/4-2/5</t>
  </si>
  <si>
    <t xml:space="preserve">Nhập trong ngày 2/5</t>
  </si>
  <si>
    <t xml:space="preserve">Số lượng 
nhập 30/4+1/5</t>
  </si>
  <si>
    <t xml:space="preserve">Số lượng 
nhập 2/5</t>
  </si>
  <si>
    <t xml:space="preserve">KẾT QUẢ SẢN XUẤT NGÀY Lô 3/5</t>
  </si>
  <si>
    <t xml:space="preserve">Nhập trong ngày 3/5</t>
  </si>
  <si>
    <t xml:space="preserve">PP đầu xương 
thu hồi</t>
  </si>
  <si>
    <t xml:space="preserve">Số lượng 
nhập 3/5</t>
  </si>
  <si>
    <t xml:space="preserve">KẾT QUẢ SẢN XUẤT NGÀY Lô 3-4/5</t>
  </si>
  <si>
    <t xml:space="preserve">Nhập trong ngày 4/5</t>
  </si>
  <si>
    <t xml:space="preserve">Ghi chú : Nguyên liệu chạy hết</t>
  </si>
  <si>
    <t xml:space="preserve">Số lượng 
nhập 4/5</t>
  </si>
  <si>
    <t xml:space="preserve">KẾT QUẢ SẢN XUẤT NGÀY Lô 5/5</t>
  </si>
  <si>
    <t xml:space="preserve">Nhập trong ngày 5/5</t>
  </si>
  <si>
    <t xml:space="preserve">Số lượng 
nhập 5/5</t>
  </si>
  <si>
    <t xml:space="preserve">KẾT QUẢ SẢN XUẤT NGÀY Lô 6/5</t>
  </si>
  <si>
    <t xml:space="preserve">Nhập trong ngày 6/5</t>
  </si>
  <si>
    <t xml:space="preserve">Số lượng 
nhập 6/5</t>
  </si>
  <si>
    <t xml:space="preserve">KẾT QUẢ SẢN XUẤT NGÀY Lô 6/5-7/5</t>
  </si>
  <si>
    <t xml:space="preserve">Nhập trong ngày 7/5</t>
  </si>
  <si>
    <t xml:space="preserve">Ghi chú : Nguyên liệu chạy đến 12h 7/5 ngắt lô nguyên liệu dùng 168.303 kg .
 Nguyên liệu : 101.804 kg chạy hết lô sau</t>
  </si>
  <si>
    <t xml:space="preserve">1. Sản xuất từ ngày 6/5 đến 12h 7/5</t>
  </si>
  <si>
    <t xml:space="preserve">Số lượng 
nhập 7/5</t>
  </si>
  <si>
    <t xml:space="preserve">2. Sản xuất từ ngày 12h01 7/5 - hết 7/5</t>
  </si>
  <si>
    <t xml:space="preserve">KẾT QUẢ SẢN XUẤT NGÀY 8/5</t>
  </si>
  <si>
    <t xml:space="preserve">Nhập trong ngày 8/5</t>
  </si>
  <si>
    <t xml:space="preserve">Số lượng 
nhập 8/5</t>
  </si>
  <si>
    <t xml:space="preserve">KẾT QUẢ SẢN XUẤT NGÀY 9/5</t>
  </si>
  <si>
    <t xml:space="preserve">Nhập trong ngày 9/5</t>
  </si>
  <si>
    <t xml:space="preserve">Số lượng 
nhập 9/5</t>
  </si>
  <si>
    <t xml:space="preserve">KẾT QUẢ SẢN XUẤT NGÀY Lô 9-10/5</t>
  </si>
  <si>
    <t xml:space="preserve">Nhập trong ngày 10/5</t>
  </si>
  <si>
    <t xml:space="preserve">Ghi chú : Nguyên liệu chạy hết 9/5 . Nguyên liệu 10/5 đang chạy tiếp</t>
  </si>
  <si>
    <t xml:space="preserve">1 Sản xuất từ 9/5 đến 14h30 ngày 10/5</t>
  </si>
  <si>
    <t xml:space="preserve">Số lượng 
nhập 10/5</t>
  </si>
  <si>
    <t xml:space="preserve">2 Sản xuất từ 14h31 ngày 10/5</t>
  </si>
  <si>
    <t xml:space="preserve">KẾT QUẢ SẢN XUẤT NGÀY Lô 14h31 10/5-11/5</t>
  </si>
  <si>
    <t xml:space="preserve">Nhập trong ngày 11/5</t>
  </si>
  <si>
    <t xml:space="preserve">Ghi chú : Nguyên liệu chạy hết 11/5. </t>
  </si>
  <si>
    <t xml:space="preserve">Ghi chú : Nguyên liệu ngày 10/5 chất lượng kém</t>
  </si>
  <si>
    <t xml:space="preserve">1 Sản xuất từ  14h31 ngày 10/5-11/5</t>
  </si>
  <si>
    <t xml:space="preserve">Số lượng 
nhập 11/5</t>
  </si>
  <si>
    <t xml:space="preserve">KẾT QUẢ SẢN XUẤT NGÀY Lô 9/5-11/5</t>
  </si>
  <si>
    <t xml:space="preserve">Lô gộp</t>
  </si>
  <si>
    <t xml:space="preserve">Tồn đầu
9-10/5</t>
  </si>
  <si>
    <t xml:space="preserve">1 Sản xuất từ 9/5-11/5</t>
  </si>
  <si>
    <t xml:space="preserve">Số lượng 
nhập 9-10/5</t>
  </si>
  <si>
    <t xml:space="preserve">KẾT QUẢ SẢN XUẤT NGÀY 12/5</t>
  </si>
  <si>
    <t xml:space="preserve">Nhập trong ngày 12/5</t>
  </si>
  <si>
    <t xml:space="preserve">Nguyên liệu Surimi chuyển qua</t>
  </si>
  <si>
    <t xml:space="preserve">Ghi chú : Nguyên liệu đang chạy tiếp</t>
  </si>
  <si>
    <t xml:space="preserve">Số lượng 
nhập 12/5</t>
  </si>
  <si>
    <t xml:space="preserve">KẾT QUẢ SẢN XUẤT NGÀY 12-13/5</t>
  </si>
  <si>
    <t xml:space="preserve">Nhập trong ngày 13/5</t>
  </si>
  <si>
    <t xml:space="preserve">Số lượng 
nhập 13/5</t>
  </si>
  <si>
    <t xml:space="preserve">KẾT QUẢ SẢN XUẤT NGÀY 14/5</t>
  </si>
  <si>
    <t xml:space="preserve">Nhập trong ngày 14/5</t>
  </si>
  <si>
    <t xml:space="preserve">Ghi chú 2 : Nguyên liệu chạy tách dầu</t>
  </si>
  <si>
    <t xml:space="preserve">Số lượng 
nhập 14/5</t>
  </si>
  <si>
    <t xml:space="preserve">KẾT QUẢ SẢN XUẤT NGÀY 15/5</t>
  </si>
  <si>
    <t xml:space="preserve">Nhập trong ngày 15/5</t>
  </si>
  <si>
    <t xml:space="preserve">Số lượng 
nhập 15/5</t>
  </si>
  <si>
    <t xml:space="preserve">KẾT QUẢ SẢN XUẤT NGÀY 15-16/5</t>
  </si>
  <si>
    <t xml:space="preserve">Nhập trong ngày 16/5</t>
  </si>
  <si>
    <t xml:space="preserve">Số lượng 
nhập 16/5</t>
  </si>
  <si>
    <t xml:space="preserve">KẾT QUẢ SẢN XUẤT NGÀY 15-17/5</t>
  </si>
  <si>
    <t xml:space="preserve">Nhập trong ngày 17/5</t>
  </si>
  <si>
    <t xml:space="preserve">Số lượng 
nhập 15/5+16/5</t>
  </si>
  <si>
    <t xml:space="preserve">Số lượng 
nhập 17/5</t>
  </si>
  <si>
    <t xml:space="preserve">KẾT QUẢ SẢN XUẤT NGÀY 15-18/5</t>
  </si>
  <si>
    <t xml:space="preserve">Nhập trong ngày 18/5</t>
  </si>
  <si>
    <t xml:space="preserve"> </t>
  </si>
  <si>
    <t xml:space="preserve">Số lượng 
nhập 15-17/5</t>
  </si>
  <si>
    <t xml:space="preserve">Số lượng 
nhập 18/5</t>
  </si>
  <si>
    <t xml:space="preserve">KẾT QUẢ SẢN XUẤT NGÀY 19/5</t>
  </si>
  <si>
    <t xml:space="preserve">Nhập trong ngày 19/5</t>
  </si>
  <si>
    <t xml:space="preserve">Số lượng 
nhập 19/5</t>
  </si>
  <si>
    <t xml:space="preserve">KẾT QUẢ SẢN XUẤT NGÀY 19-20/5</t>
  </si>
  <si>
    <t xml:space="preserve">Nhập trong ngày 20/5</t>
  </si>
  <si>
    <t xml:space="preserve">Số lượng 
nhập 20/5</t>
  </si>
  <si>
    <t xml:space="preserve">KẾT QUẢ SẢN XUẤT NGÀY 21/5</t>
  </si>
  <si>
    <t xml:space="preserve">Nhập trong ngày 21/5</t>
  </si>
  <si>
    <t xml:space="preserve">Số lượng 
nhập 21/5</t>
  </si>
  <si>
    <t xml:space="preserve">KẾT QUẢ SẢN XUẤT NGÀY 22/5</t>
  </si>
  <si>
    <t xml:space="preserve">Nhập trong ngày 22/5</t>
  </si>
  <si>
    <t xml:space="preserve">Ghi chú : Không Sản Xuất</t>
  </si>
  <si>
    <t xml:space="preserve">Số lượng 
nhập 22/5</t>
  </si>
  <si>
    <t xml:space="preserve">KẾT QUẢ SẢN XUẤT NGÀY 22-23/5</t>
  </si>
  <si>
    <t xml:space="preserve">Nhập trong ngày 23/5</t>
  </si>
  <si>
    <t xml:space="preserve">Ghi chú : Nguyên liệu đang sản xuất</t>
  </si>
  <si>
    <t xml:space="preserve">Số lượng 
nhập 23/5</t>
  </si>
  <si>
    <t xml:space="preserve">KẾT QUẢ SẢN XUẤT NGÀY 22-24/5</t>
  </si>
  <si>
    <t xml:space="preserve">Nhập trong ngày 24/5</t>
  </si>
  <si>
    <t xml:space="preserve">Số lượng 
nhập 24/5</t>
  </si>
  <si>
    <t xml:space="preserve">KẾT QUẢ SẢN XUẤT NGÀY 22-25/5</t>
  </si>
  <si>
    <t xml:space="preserve">Nhập trong ngày 25/5</t>
  </si>
  <si>
    <t xml:space="preserve">Ghi chú : Nguyên liệu đang sản xuất </t>
  </si>
  <si>
    <t xml:space="preserve">Số lượng 
nhập 23-24/5</t>
  </si>
  <si>
    <t xml:space="preserve">Số lượng 
nhập 25/5</t>
  </si>
  <si>
    <t xml:space="preserve">KẾT QUẢ SẢN XUẤT NGÀY 22-26/5</t>
  </si>
  <si>
    <t xml:space="preserve">Nhập trong ngày 26/5</t>
  </si>
  <si>
    <t xml:space="preserve">Số lượng 
nhập 23-25/5</t>
  </si>
  <si>
    <t xml:space="preserve">Số lượng 
nhập 26/5</t>
  </si>
  <si>
    <t xml:space="preserve">KẾT QUẢ SẢN XUẤT NGÀY 22-27/5</t>
  </si>
  <si>
    <t xml:space="preserve">Nhập trong ngày 27/5</t>
  </si>
  <si>
    <t xml:space="preserve">Số lượng 
nhập 23-26/5</t>
  </si>
  <si>
    <t xml:space="preserve">Số lượng 
nhập 27/5</t>
  </si>
  <si>
    <t xml:space="preserve">KẾT QUẢ SẢN XUẤT NGÀY 28/5</t>
  </si>
  <si>
    <t xml:space="preserve">Nhập trong ngày 28/5</t>
  </si>
  <si>
    <t xml:space="preserve">Số lượng 
nhập 28/5</t>
  </si>
  <si>
    <t xml:space="preserve">KẾT QUẢ SẢN XUẤT NGÀY 29/5</t>
  </si>
  <si>
    <t xml:space="preserve">Nhập trong ngày 29/5</t>
  </si>
  <si>
    <t xml:space="preserve">Số lượng 
nhập 29/5</t>
  </si>
  <si>
    <t xml:space="preserve">KẾT QUẢ SẢN XUẤT NGÀY 30/5</t>
  </si>
  <si>
    <t xml:space="preserve">Nhập trong ngày 30/5</t>
  </si>
  <si>
    <t xml:space="preserve">Số lượng 
nhập 30/5</t>
  </si>
  <si>
    <t xml:space="preserve">Bột nguyên con tách dầu</t>
  </si>
  <si>
    <t xml:space="preserve">KẾT QUẢ SẢN XUẤT NGÀY 30-31/5</t>
  </si>
  <si>
    <t xml:space="preserve">Nhập trong ngày 31/5</t>
  </si>
  <si>
    <t xml:space="preserve">Số lượng 
nhập 31/5</t>
  </si>
  <si>
    <t xml:space="preserve">KẾT QUẢ SẢN XUẤT NGÀY 1/6</t>
  </si>
  <si>
    <t xml:space="preserve">Nhập trong ngày 1/6</t>
  </si>
  <si>
    <t xml:space="preserve">Số lượng 
nhập 1/6</t>
  </si>
  <si>
    <t xml:space="preserve">KẾT QUẢ SẢN XUẤT NGÀY 1-2/6</t>
  </si>
  <si>
    <t xml:space="preserve">Nhập trong ngày 2/6</t>
  </si>
  <si>
    <t xml:space="preserve">Số lượng 
nhập 2/6</t>
  </si>
  <si>
    <t xml:space="preserve">KẾT QUẢ SẢN XUẤT NGÀY 1-3/6</t>
  </si>
  <si>
    <t xml:space="preserve">Nhập trong ngày 3/6</t>
  </si>
  <si>
    <t xml:space="preserve">Số lượng 
nhập 1-2/6</t>
  </si>
  <si>
    <t xml:space="preserve">Số lượng 
nhập 3/6</t>
  </si>
  <si>
    <t xml:space="preserve">KẾT QUẢ SẢN XUẤT NGÀY 1-4/6</t>
  </si>
  <si>
    <t xml:space="preserve">Nhập trong ngày 4/6</t>
  </si>
  <si>
    <t xml:space="preserve">Số lượng 
nhập 1-3/6</t>
  </si>
  <si>
    <t xml:space="preserve">Số lượng 
nhập 4/6</t>
  </si>
  <si>
    <t xml:space="preserve">KẾT QUẢ SẢN XUẤT NGÀY 1-5/6</t>
  </si>
  <si>
    <t xml:space="preserve">Nhập trong ngày 5/6</t>
  </si>
  <si>
    <t xml:space="preserve">Số lượng 
nhập 1-4/6</t>
  </si>
  <si>
    <t xml:space="preserve">Số lượng 
nhập 5/6</t>
  </si>
  <si>
    <t xml:space="preserve">KẾT QUẢ SẢN XUẤT NGÀY 1-6/6</t>
  </si>
  <si>
    <t xml:space="preserve">Nhập trong ngày 6/6</t>
  </si>
  <si>
    <t xml:space="preserve">Số lượng 
nhập 1-5/6</t>
  </si>
  <si>
    <t xml:space="preserve">KẾT QUẢ SẢN XUẤT NGÀY 1-7/6</t>
  </si>
  <si>
    <t xml:space="preserve">Nhập trong ngày 7/6</t>
  </si>
  <si>
    <t xml:space="preserve">KẾT QUẢ SẢN XUẤT NGÀY 1-8/6</t>
  </si>
  <si>
    <t xml:space="preserve">Nhập trong ngày 8/6</t>
  </si>
  <si>
    <t xml:space="preserve">Số lượng 
nhập 1-7/6</t>
  </si>
  <si>
    <t xml:space="preserve">Số lượng 
nhập 8/6</t>
  </si>
  <si>
    <t xml:space="preserve">KẾT QUẢ SẢN XUẤT NGÀY 1-9/6</t>
  </si>
  <si>
    <t xml:space="preserve">Nhập trong ngày 9/6</t>
  </si>
  <si>
    <t xml:space="preserve">Số lượng 
nhập 1-8/6</t>
  </si>
  <si>
    <t xml:space="preserve">Số lượng 
nhập 9/6</t>
  </si>
  <si>
    <t xml:space="preserve">KẾT QUẢ SẢN XUẤT NGÀY 1-10/6</t>
  </si>
  <si>
    <t xml:space="preserve">Nhập trong ngày 10/6</t>
  </si>
  <si>
    <t xml:space="preserve">Số lượng 
nhập 1-9/6</t>
  </si>
  <si>
    <t xml:space="preserve">Số lượng 
nhập 10/6</t>
  </si>
  <si>
    <t xml:space="preserve">KẾT QUẢ SẢN XUẤT NGÀY 11/6</t>
  </si>
  <si>
    <t xml:space="preserve">Nhập trong ngày 11/6</t>
  </si>
  <si>
    <t xml:space="preserve">Số lượng 
nhập 11/6</t>
  </si>
  <si>
    <t xml:space="preserve">Ghi chú: Thành phẩm Đầu Xương trong máy ra.</t>
  </si>
  <si>
    <t xml:space="preserve">KẾT QUẢ SẢN XUẤT NGÀY 12/6</t>
  </si>
  <si>
    <t xml:space="preserve">Nhập trong ngày 12/6</t>
  </si>
  <si>
    <t xml:space="preserve">Số lượng 
nhập 12/6</t>
  </si>
  <si>
    <t xml:space="preserve">KẾT QUẢ SẢN XUẤT NGÀY 13/6</t>
  </si>
  <si>
    <t xml:space="preserve">Nhập trong ngày 13/6</t>
  </si>
  <si>
    <t xml:space="preserve">Ghi chú : Nguyên liệu đang sản xuất chưa tách được lô</t>
  </si>
  <si>
    <t xml:space="preserve">Số lượng 
nhập 13/6</t>
  </si>
  <si>
    <t xml:space="preserve">KẾT QUẢ SẢN XUẤT NGÀY 13-14/6</t>
  </si>
  <si>
    <t xml:space="preserve">Nhập trong ngày 14/6</t>
  </si>
  <si>
    <t xml:space="preserve">Số lượng 
nhập 14/6</t>
  </si>
  <si>
    <t xml:space="preserve">KẾT QUẢ SẢN XUẤT NGÀY 13-15/6</t>
  </si>
  <si>
    <t xml:space="preserve">Nhập trong ngày 15/6</t>
  </si>
  <si>
    <t xml:space="preserve">Số lượng 
nhập 13-14/6</t>
  </si>
  <si>
    <t xml:space="preserve">Số lượng 
nhập 15/6</t>
  </si>
  <si>
    <t xml:space="preserve">KẾT QUẢ SẢN XUẤT NGÀY 16/6</t>
  </si>
  <si>
    <t xml:space="preserve">Nhập trong ngày 16/6</t>
  </si>
  <si>
    <t xml:space="preserve">Số lượng 
nhập 16/6</t>
  </si>
  <si>
    <t xml:space="preserve">KẾT QUẢ SẢN XUẤT NGÀY 16-17/6</t>
  </si>
  <si>
    <t xml:space="preserve">Nhập trong ngày 17/6</t>
  </si>
  <si>
    <t xml:space="preserve">Số lượng 
nhập 17/6</t>
  </si>
  <si>
    <t xml:space="preserve">KẾT QUẢ SẢN XUẤT NGÀY 18/6</t>
  </si>
  <si>
    <t xml:space="preserve">Nhập trong ngày 18/6</t>
  </si>
  <si>
    <t xml:space="preserve">Số lượng 
nhập 18/6</t>
  </si>
  <si>
    <t xml:space="preserve">KẾT QUẢ SẢN XUẤT NGÀY 19/6</t>
  </si>
  <si>
    <t xml:space="preserve">Nhập trong ngày 19/6</t>
  </si>
  <si>
    <t xml:space="preserve">Số lượng 
nhập 19/6</t>
  </si>
  <si>
    <t xml:space="preserve">KẾT QUẢ SẢN XUẤT NGÀY 20/6</t>
  </si>
  <si>
    <t xml:space="preserve">Nhập trong ngày 20/6</t>
  </si>
  <si>
    <t xml:space="preserve">Số lượng 
nhập 18-19/6</t>
  </si>
  <si>
    <t xml:space="preserve">Số lượng 
nhập 20/6</t>
  </si>
  <si>
    <t xml:space="preserve">Ghi chú : Nguyên liệu SX Đầu xương chưa bao gồm đầu nghiền</t>
  </si>
  <si>
    <t xml:space="preserve">KẾT QUẢ SẢN XUẤT NGÀY 21/6</t>
  </si>
  <si>
    <t xml:space="preserve">Nhập trong ngày 21/6</t>
  </si>
  <si>
    <t xml:space="preserve">Số lượng 
nhập 21/6</t>
  </si>
  <si>
    <t xml:space="preserve">KẾT QUẢ SẢN XUẤT NGÀY 22/6</t>
  </si>
  <si>
    <t xml:space="preserve">Nhập trong ngày 22/6</t>
  </si>
  <si>
    <t xml:space="preserve">Số lượng 
nhập 22/6</t>
  </si>
  <si>
    <t xml:space="preserve">KẾT QUẢ SẢN XUẤT NGÀY 23/6</t>
  </si>
  <si>
    <t xml:space="preserve">Nhập trong ngày 23/6</t>
  </si>
  <si>
    <t xml:space="preserve">Số lượng 
nhập 23/6</t>
  </si>
  <si>
    <t xml:space="preserve">KẾT QUẢ SẢN XUẤT NGÀY 23-24/6</t>
  </si>
  <si>
    <t xml:space="preserve">Nhập trong ngày 24/6</t>
  </si>
  <si>
    <t xml:space="preserve">Số lượng 
nhập 24/6</t>
  </si>
  <si>
    <t xml:space="preserve">KẾT QUẢ SẢN XUẤT NGÀY 25/6</t>
  </si>
  <si>
    <t xml:space="preserve">Nhập trong ngày 25/6</t>
  </si>
  <si>
    <t xml:space="preserve">Số lượng 
nhập 25/6</t>
  </si>
  <si>
    <t xml:space="preserve">KẾT QUẢ SẢN XUẤT NGÀY 26/6</t>
  </si>
  <si>
    <t xml:space="preserve">Nhập trong ngày 26/6</t>
  </si>
  <si>
    <t xml:space="preserve">Số lượng 
nhập 26/6</t>
  </si>
  <si>
    <t xml:space="preserve">KẾT QUẢ SẢN XUẤT NGÀY 27/6</t>
  </si>
  <si>
    <t xml:space="preserve">Nhập trong ngày 27/6</t>
  </si>
  <si>
    <t xml:space="preserve">Số lượng 
nhập 27/6</t>
  </si>
  <si>
    <t xml:space="preserve">KẾT QUẢ SẢN XUẤT NGÀY 28/6</t>
  </si>
  <si>
    <t xml:space="preserve">Nhập trong ngày 28/6</t>
  </si>
  <si>
    <t xml:space="preserve">Số lượng 
nhập 28/6</t>
  </si>
  <si>
    <t xml:space="preserve">Ghi chú : Cá ghé nhỏ</t>
  </si>
  <si>
    <t xml:space="preserve">KẾT QUẢ SẢN XUẤT NGÀY 29/6</t>
  </si>
  <si>
    <t xml:space="preserve">Nhập trong ngày 29/6</t>
  </si>
  <si>
    <t xml:space="preserve">Số lượng 
nhập 29/6</t>
  </si>
  <si>
    <t xml:space="preserve">KẾT QUẢ SẢN XUẤT NGÀY 30/6</t>
  </si>
  <si>
    <t xml:space="preserve">Nhập trong ngày 30/6</t>
  </si>
  <si>
    <t xml:space="preserve">Số lượng 
nhập 30/6</t>
  </si>
  <si>
    <t xml:space="preserve">KẾT QUẢ SẢN XUẤT NGÀY 16/02/2019</t>
  </si>
  <si>
    <t xml:space="preserve">Nguyên liệu </t>
  </si>
  <si>
    <t xml:space="preserve">Lượng nhập</t>
  </si>
  <si>
    <t xml:space="preserve">Đơn giá</t>
  </si>
  <si>
    <t xml:space="preserve">Thành tiền</t>
  </si>
  <si>
    <t xml:space="preserve">Loại SP</t>
  </si>
  <si>
    <t xml:space="preserve">KL hàng  SX (kg)</t>
  </si>
  <si>
    <t xml:space="preserve">KL hàng xử lý lại</t>
  </si>
  <si>
    <t xml:space="preserve">Tổng khối lượng(kg)</t>
  </si>
  <si>
    <t xml:space="preserve">A50</t>
  </si>
  <si>
    <t xml:space="preserve">A56</t>
  </si>
  <si>
    <t xml:space="preserve">Người lập</t>
  </si>
  <si>
    <t xml:space="preserve">KẾT QUẢ SẢN XUẤT NGÀY 17/2/2019</t>
  </si>
  <si>
    <t xml:space="preserve">Đầu xương cá Nóc</t>
  </si>
  <si>
    <t xml:space="preserve">KẾT QUẢ SẢN XUẤT NGÀY 20/2/2019</t>
  </si>
  <si>
    <t xml:space="preserve">Đầu nghiền</t>
  </si>
  <si>
    <t xml:space="preserve">A54</t>
  </si>
  <si>
    <t xml:space="preserve">A52</t>
  </si>
  <si>
    <t xml:space="preserve">KẾT QUẢ SẢN XUẤT NGÀY 26-28/2/2019</t>
  </si>
  <si>
    <t xml:space="preserve">ĐX</t>
  </si>
  <si>
    <t xml:space="preserve">KẾT QUẢ SẢN XUẤT NGÀY 01-02/03/2019</t>
  </si>
  <si>
    <t xml:space="preserve">Lượng đưa
 vào sx</t>
  </si>
  <si>
    <t xml:space="preserve">Người Lập</t>
  </si>
  <si>
    <t xml:space="preserve">KẾT QUẢ SẢN XUẤT NGÀY 3/2/2019</t>
  </si>
  <si>
    <t xml:space="preserve">A58</t>
  </si>
  <si>
    <t xml:space="preserve">A63</t>
  </si>
  <si>
    <t xml:space="preserve">KẾT QUẢ SẢN XUẤT NGÀY 4/3/2019</t>
  </si>
  <si>
    <t xml:space="preserve">A66</t>
  </si>
  <si>
    <t xml:space="preserve">KẾT QUẢ SẢN XUẤT NGÀY 5/3/2019</t>
  </si>
  <si>
    <t xml:space="preserve">A68</t>
  </si>
  <si>
    <t xml:space="preserve"> 850kg hàng A56 chuyển qua</t>
  </si>
  <si>
    <t xml:space="preserve">KẾT QUẢ SẢN XUẤT NGÀY 6/3/2019</t>
  </si>
  <si>
    <t xml:space="preserve">NC A60</t>
  </si>
  <si>
    <t xml:space="preserve">NC A56</t>
  </si>
  <si>
    <t xml:space="preserve">NC A50</t>
  </si>
  <si>
    <t xml:space="preserve">KẾT QUẢ SẢN XUẤT NGÀY 7/3/2019</t>
  </si>
  <si>
    <t xml:space="preserve">KẾT QUẢ SẢN XUẤT NGÀY 1-2/9/2018</t>
  </si>
  <si>
    <t xml:space="preserve">Nhập trong ngày 2/9</t>
  </si>
  <si>
    <t xml:space="preserve">Xuất qua NM  Surimi</t>
  </si>
  <si>
    <t xml:space="preserve">Xuất qua đi làm cá cấp đông</t>
  </si>
  <si>
    <t xml:space="preserve">Nguyên liệu PX BC Ngọc Sơn chuyển qua</t>
  </si>
  <si>
    <t xml:space="preserve">Ghi chú : Nguyên liệu đang SX chưa tách được lô</t>
  </si>
  <si>
    <t xml:space="preserve">Số lượng 
nhập 1/9</t>
  </si>
  <si>
    <t xml:space="preserve">Số lượng 
nhập 2/9</t>
  </si>
  <si>
    <t xml:space="preserve">Tổng TP</t>
  </si>
  <si>
    <t xml:space="preserve">Nguyên liệu 
xuất dùng</t>
  </si>
  <si>
    <t xml:space="preserve">Đầu xương
</t>
  </si>
  <si>
    <t xml:space="preserve">Ghi chú : Nguyên liệu đưa vào Sx chưa bao gồm đầu nghiền</t>
  </si>
  <si>
    <t xml:space="preserve">Phạm Thị Hường</t>
  </si>
  <si>
    <t xml:space="preserve">KẾT QUẢ SẢN XUẤT NGÀY 1-3/9/2018</t>
  </si>
  <si>
    <t xml:space="preserve">Nhập trong ngày 3/9</t>
  </si>
  <si>
    <t xml:space="preserve">Số lượng 
nhập 1-2/9</t>
  </si>
  <si>
    <t xml:space="preserve">Số lượng 
nhập 3/9</t>
  </si>
  <si>
    <t xml:space="preserve">Đầu xương &amp; ĐX TD
</t>
  </si>
  <si>
    <t xml:space="preserve">KẾT QUẢ SẢN XUẤT NGÀY 1-4/9/2018</t>
  </si>
  <si>
    <t xml:space="preserve">Nhập trong ngày 4/9</t>
  </si>
  <si>
    <t xml:space="preserve">Số lượng 
nhập 1-3/9</t>
  </si>
  <si>
    <t xml:space="preserve">Số lượng 
nhập 4/9</t>
  </si>
  <si>
    <t xml:space="preserve">A69</t>
  </si>
  <si>
    <t xml:space="preserve">A65</t>
  </si>
  <si>
    <t xml:space="preserve">A64</t>
  </si>
  <si>
    <t xml:space="preserve">A62</t>
  </si>
  <si>
    <t xml:space="preserve">A60</t>
  </si>
  <si>
    <t xml:space="preserve">KẾT QUẢ SẢN XUẤT NGÀY 1-5/9/2018</t>
  </si>
  <si>
    <t xml:space="preserve">Nhập trong ngày 5/9</t>
  </si>
  <si>
    <t xml:space="preserve">Số lượng 
nhập 1-4/9</t>
  </si>
  <si>
    <t xml:space="preserve">Số lượng 
nhập 5/9</t>
  </si>
  <si>
    <t xml:space="preserve">KẾT QUẢ SẢN XUẤT NGÀY 6/9/2018</t>
  </si>
  <si>
    <t xml:space="preserve">Nhập trong ngày 6/9</t>
  </si>
  <si>
    <t xml:space="preserve">Số lượng 
nhập 6/9</t>
  </si>
  <si>
    <t xml:space="preserve">KẾT QUẢ SẢN XUẤT NGÀY 6-7/9/2018</t>
  </si>
  <si>
    <t xml:space="preserve">Nhập trong ngày 7/9</t>
  </si>
  <si>
    <t xml:space="preserve">Ghi chú : Nguyên liệu đang Sx chưa tách được lô</t>
  </si>
  <si>
    <t xml:space="preserve">Số lượng 
nhập 7/9</t>
  </si>
  <si>
    <t xml:space="preserve">KẾT QUẢ SẢN XUẤT NGÀY 6-8/9/2018</t>
  </si>
  <si>
    <t xml:space="preserve">Nhập trong ngày 8/9</t>
  </si>
  <si>
    <t xml:space="preserve">Số lượng 
nhập 6-7/9</t>
  </si>
  <si>
    <t xml:space="preserve">Số lượng 
nhập 8/9</t>
  </si>
  <si>
    <t xml:space="preserve">KẾT QUẢ SẢN XUẤT NGÀY 6-9/9/2018</t>
  </si>
  <si>
    <t xml:space="preserve">Nhập trong ngày 9/9</t>
  </si>
  <si>
    <t xml:space="preserve">Số lượng 
nhập 6-8/9</t>
  </si>
  <si>
    <t xml:space="preserve">Số lượng 
nhập 9/9</t>
  </si>
  <si>
    <t xml:space="preserve">KẾT QUẢ SẢN XUẤT NGÀY 10/9/2018</t>
  </si>
  <si>
    <t xml:space="preserve">Nhập trong ngày 10/9</t>
  </si>
  <si>
    <t xml:space="preserve">Số lượng 
nhập 10/9</t>
  </si>
  <si>
    <t xml:space="preserve">KẾT QUẢ SẢN XUẤT NGÀY 10-11/9/2018</t>
  </si>
  <si>
    <t xml:space="preserve">Nhập trong ngày 11/9</t>
  </si>
  <si>
    <t xml:space="preserve">Số lượng 
nhập 11/9</t>
  </si>
  <si>
    <t xml:space="preserve">KẾT QUẢ SẢN XUẤT NGÀY 10-13/9/2018</t>
  </si>
  <si>
    <t xml:space="preserve">Nhập trong ngày 12-13/9</t>
  </si>
  <si>
    <t xml:space="preserve">Số lượng 
nhập 10-11/9</t>
  </si>
  <si>
    <t xml:space="preserve">Số lượng 
nhập 12-13/9</t>
  </si>
  <si>
    <t xml:space="preserve">ĐX TD</t>
  </si>
  <si>
    <t xml:space="preserve">KẾT QUẢ SẢN XUẤT NGÀY 10-14/9/2018</t>
  </si>
  <si>
    <t xml:space="preserve">Nhập trong ngày 14/9</t>
  </si>
  <si>
    <t xml:space="preserve">Số lượng 
nhập 10-13/9</t>
  </si>
  <si>
    <t xml:space="preserve">Số lượng 
nhập 14/9</t>
  </si>
  <si>
    <t xml:space="preserve">Ghi chú : Nguyên liệu đưa vào Sx chưa bao gồm đầu nghiền , TP SX ngày 14/9 chưa có phân loại</t>
  </si>
  <si>
    <t xml:space="preserve">KẾT QUẢ SẢN XUẤT NGÀY 15-16/9/2018</t>
  </si>
  <si>
    <t xml:space="preserve">Nhập trong ngày 15-16/9</t>
  </si>
  <si>
    <t xml:space="preserve">Số lượng 
nhập 15/9</t>
  </si>
  <si>
    <t xml:space="preserve">Số lượng 
nhập 16/9</t>
  </si>
  <si>
    <t xml:space="preserve">Ghi chú : Nguyên liệu đưa vào Sx chưa bao gồm đầu nghiền </t>
  </si>
  <si>
    <t xml:space="preserve">KẾT QUẢ SẢN XUẤT NGÀY 15-17/9/2018</t>
  </si>
  <si>
    <t xml:space="preserve">Nhập trong ngày 17/9</t>
  </si>
  <si>
    <t xml:space="preserve">Số lượng 
nhập 15-16/9</t>
  </si>
  <si>
    <t xml:space="preserve">Số lượng 
nhập 17/9</t>
  </si>
  <si>
    <t xml:space="preserve">KẾT QUẢ SẢN XUẤT NGÀY 15-18/9/2018</t>
  </si>
  <si>
    <t xml:space="preserve">Nhập trong ngày 18/9</t>
  </si>
  <si>
    <t xml:space="preserve">Số lượng 
nhập 15-17/9</t>
  </si>
  <si>
    <t xml:space="preserve">Số lượng 
nhập 18/9</t>
  </si>
  <si>
    <t xml:space="preserve">KẾT QUẢ SẢN XUẤT NGÀY 15-19/9/2018</t>
  </si>
  <si>
    <t xml:space="preserve">Nhập trong ngày 19/9</t>
  </si>
  <si>
    <t xml:space="preserve">Số lượng 
nhập 15-18/9</t>
  </si>
  <si>
    <t xml:space="preserve">Số lượng 
nhập 19/9</t>
  </si>
  <si>
    <t xml:space="preserve">KẾT QUẢ SẢN XUẤT NGÀY 20/9/2018</t>
  </si>
  <si>
    <t xml:space="preserve">Nhập trong ngày 20/9</t>
  </si>
  <si>
    <t xml:space="preserve">Số lượng 
nhập 20/9</t>
  </si>
  <si>
    <t xml:space="preserve">KẾT QUẢ SẢN XUẤT NGÀY 21/9/2018</t>
  </si>
  <si>
    <t xml:space="preserve">Nhập trong ngày 21/9</t>
  </si>
  <si>
    <t xml:space="preserve">Số lượng 
nhập 21/9</t>
  </si>
  <si>
    <t xml:space="preserve">KẾT QUẢ SẢN XUẤT NGÀY 21-24/9/2018</t>
  </si>
  <si>
    <t xml:space="preserve">Nhập trong ngày 22-24/9</t>
  </si>
  <si>
    <t xml:space="preserve">Số lượng 
nhập 22-24/9</t>
  </si>
  <si>
    <t xml:space="preserve">KẾT QUẢ SẢN XUẤT NGÀY 25/9/2018</t>
  </si>
  <si>
    <t xml:space="preserve">Nhập trong ngày 25/9</t>
  </si>
  <si>
    <t xml:space="preserve">Số lượng 
nhập 25/9</t>
  </si>
  <si>
    <t xml:space="preserve">KẾT QUẢ SẢN XUẤT NGÀY 25-26/9/2018</t>
  </si>
  <si>
    <t xml:space="preserve">Nhập trong ngày 26/9</t>
  </si>
  <si>
    <t xml:space="preserve">Số lượng 
nhập 26/9</t>
  </si>
  <si>
    <t xml:space="preserve">KẾT QUẢ SẢN XUẤT NGÀY 25-27/9/2018</t>
  </si>
  <si>
    <t xml:space="preserve">Nhập trong ngày 27/9</t>
  </si>
  <si>
    <t xml:space="preserve">Số lượng 
nhập 25-26/9</t>
  </si>
  <si>
    <t xml:space="preserve">Số lượng 
nhập 27/9</t>
  </si>
  <si>
    <t xml:space="preserve">KẾT QUẢ SẢN XUẤT NGÀY 25-28/9/2018</t>
  </si>
  <si>
    <t xml:space="preserve">Nhập trong ngày 28/9</t>
  </si>
  <si>
    <t xml:space="preserve">Số lượng 
nhập 25-27/9</t>
  </si>
  <si>
    <t xml:space="preserve">Số lượng 
nhập 28/9</t>
  </si>
  <si>
    <t xml:space="preserve">KẾT QUẢ SẢN XUẤT NGÀY 25-30/9/2018</t>
  </si>
  <si>
    <t xml:space="preserve">Nhập trong ngày 29-30/9</t>
  </si>
  <si>
    <t xml:space="preserve">Số lượng 
nhập 25-28/9</t>
  </si>
  <si>
    <t xml:space="preserve">Số lượng 
nhập 29-30/9</t>
  </si>
  <si>
    <t xml:space="preserve">KẾT QUẢ SẢN XUẤT T9</t>
  </si>
  <si>
    <t xml:space="preserve">Nhập trong T9</t>
  </si>
  <si>
    <t xml:space="preserve">Số lượng 
nhập T9</t>
  </si>
  <si>
    <t xml:space="preserve">KẾT QUẢ SẢN XUẤT NGÀY 20/02/2019</t>
  </si>
  <si>
    <t xml:space="preserve">Nhập trong ngày 1/10</t>
  </si>
  <si>
    <t xml:space="preserve">Số lượng 
nhập 1/10</t>
  </si>
  <si>
    <t xml:space="preserve">KẾT QUẢ SẢN XUẤT NGÀY 1-2/10/2018</t>
  </si>
  <si>
    <t xml:space="preserve">Nhập trong ngày 2/10</t>
  </si>
  <si>
    <t xml:space="preserve">Số lượng 
nhập 2/10</t>
  </si>
  <si>
    <t xml:space="preserve">KẾT QUẢ SẢN XUẤT NGÀY 1-3/10/2018</t>
  </si>
  <si>
    <t xml:space="preserve">Nhập trong ngày 3/10</t>
  </si>
  <si>
    <t xml:space="preserve">Số lượng 
nhập 1-2/10</t>
  </si>
  <si>
    <t xml:space="preserve">Số lượng 
nhập 3/10</t>
  </si>
  <si>
    <t xml:space="preserve">KẾT QUẢ SẢN XUẤT NGÀY 1- 4/10/2018</t>
  </si>
  <si>
    <t xml:space="preserve">Nhập trong ngày 4/10</t>
  </si>
  <si>
    <t xml:space="preserve">Số lượng 
nhập 1-3/10</t>
  </si>
  <si>
    <t xml:space="preserve">Số lượng 
nhập 4/10</t>
  </si>
  <si>
    <t xml:space="preserve">KẾT QUẢ SẢN XUẤT NGÀY 5/10/2018</t>
  </si>
  <si>
    <t xml:space="preserve">Nhập trong ngày 5/10</t>
  </si>
  <si>
    <t xml:space="preserve">Số lượng 
nhập 1-4/10</t>
  </si>
  <si>
    <t xml:space="preserve">Số lượng 
nhập 5/10</t>
  </si>
  <si>
    <t xml:space="preserve">Ghi chú : Vì định mức Đầu xương lô trước cao nên lô này gộp lô</t>
  </si>
  <si>
    <t xml:space="preserve">KẾT QUẢ SẢN XUẤT NGÀY 6-7/10/2018</t>
  </si>
  <si>
    <t xml:space="preserve">Nhập trong ngày 6-7/10</t>
  </si>
  <si>
    <t xml:space="preserve">Số lượng 
nhập 6/10</t>
  </si>
  <si>
    <t xml:space="preserve">Số lượng 
nhập 7/10</t>
  </si>
  <si>
    <t xml:space="preserve">KẾT QUẢ SẢN XUẤT NGÀY 8-9/10/2018</t>
  </si>
  <si>
    <t xml:space="preserve">Nhập trong ngày 8-9/10</t>
  </si>
  <si>
    <t xml:space="preserve">Số lượng 
nhập 8/10</t>
  </si>
  <si>
    <t xml:space="preserve">Số lượng 
nhập 9/10</t>
  </si>
  <si>
    <t xml:space="preserve">KẾT QUẢ SẢN XUẤT NGÀY 8-10/10/2018</t>
  </si>
  <si>
    <t xml:space="preserve">Nhập trong ngày 10/10</t>
  </si>
  <si>
    <t xml:space="preserve">Số lượng 
nhập 8-9/10</t>
  </si>
  <si>
    <t xml:space="preserve">Số lượng 
nhập 10/10</t>
  </si>
  <si>
    <t xml:space="preserve">Ghi chú : Nguyên liệu đưa vào Sx có cá xe nhỏ nên định mức cao</t>
  </si>
  <si>
    <t xml:space="preserve">KẾT QUẢ SẢN XUẤT NGÀY 11/10/2018</t>
  </si>
  <si>
    <t xml:space="preserve">Nhập trong ngày 11/10</t>
  </si>
  <si>
    <t xml:space="preserve">Số lượng 
nhập 11/10</t>
  </si>
  <si>
    <t xml:space="preserve">KẾT QUẢ SẢN XUẤT NGÀY 12/10/2018</t>
  </si>
  <si>
    <t xml:space="preserve">Nhập trong ngày 12/10</t>
  </si>
  <si>
    <t xml:space="preserve">Số lượng 
nhập 12/10</t>
  </si>
  <si>
    <t xml:space="preserve">KẾT QUẢ SẢN XUẤT NGÀY 13-14/10/2018</t>
  </si>
  <si>
    <t xml:space="preserve">Nhập trong ngày 13-14/10</t>
  </si>
  <si>
    <t xml:space="preserve">Số lượng 
nhập 13-14/10</t>
  </si>
  <si>
    <t xml:space="preserve">KẾT QUẢ SẢN XUẤT NGÀY 15/10/2018</t>
  </si>
  <si>
    <t xml:space="preserve">Nhập trong ngày 15/10</t>
  </si>
  <si>
    <t xml:space="preserve">Số lượng 
nhập 12-14/10</t>
  </si>
  <si>
    <t xml:space="preserve">Số lượng 
nhập 15/10</t>
  </si>
  <si>
    <t xml:space="preserve">KẾT QUẢ SẢN XUẤT NGÀY 16-31/10/2018</t>
  </si>
  <si>
    <t xml:space="preserve">Nhập trong ngày 16-22/10</t>
  </si>
  <si>
    <t xml:space="preserve">Số lượng 
nhập 16-22/10</t>
  </si>
  <si>
    <t xml:space="preserve">Báo cáo tỷ lệ  thu hồi sản xuất  SURUMI</t>
  </si>
  <si>
    <t xml:space="preserve"> C_Activity_ID=1000273</t>
  </si>
  <si>
    <t xml:space="preserve">Từ ngày :</t>
  </si>
  <si>
    <t xml:space="preserve">đến ngày</t>
  </si>
  <si>
    <t xml:space="preserve">HSV_thanhpham</t>
  </si>
  <si>
    <t xml:space="preserve">stt</t>
  </si>
  <si>
    <t xml:space="preserve">Nội Dung</t>
  </si>
  <si>
    <t xml:space="preserve">Định mức </t>
  </si>
  <si>
    <t xml:space="preserve">số lượng </t>
  </si>
  <si>
    <t xml:space="preserve">Thành tiền </t>
  </si>
  <si>
    <t xml:space="preserve">DG BQ</t>
  </si>
  <si>
    <t xml:space="preserve">I</t>
  </si>
  <si>
    <t xml:space="preserve">Nguyên liệu cá </t>
  </si>
  <si>
    <t xml:space="preserve"> M_Product_Category_ID=1000492</t>
  </si>
  <si>
    <t xml:space="preserve">Ngiệp vụ xuất sử dụng nội bộ </t>
  </si>
  <si>
    <t xml:space="preserve">….</t>
  </si>
  <si>
    <t xml:space="preserve">…</t>
  </si>
  <si>
    <t xml:space="preserve">…..</t>
  </si>
  <si>
    <t xml:space="preserve">Cộng nguyên liệu </t>
  </si>
  <si>
    <t xml:space="preserve">II</t>
  </si>
  <si>
    <t xml:space="preserve">Thành phẩm </t>
  </si>
  <si>
    <t xml:space="preserve">Phụ phẩm  (đầu xương)</t>
  </si>
  <si>
    <t xml:space="preserve">  M_Product_ID=1015083;</t>
  </si>
  <si>
    <t xml:space="preserve">nhập kho sản Xuất </t>
  </si>
  <si>
    <t xml:space="preserve">Bán thành phẩm (cá đã sơ chế)</t>
  </si>
  <si>
    <t xml:space="preserve"> M_Product_ID=1016237;</t>
  </si>
  <si>
    <t xml:space="preserve">Thành phẩm SURUMI (lần đầu)</t>
  </si>
  <si>
    <t xml:space="preserve"> M_Product_ID=1015088 ; C_Campaign_ID=1000062</t>
  </si>
  <si>
    <t xml:space="preserve">III</t>
  </si>
  <si>
    <t xml:space="preserve">Kế Quả đánh giá </t>
  </si>
  <si>
    <t xml:space="preserve">chênh lệch </t>
  </si>
  <si>
    <t xml:space="preserve">Tỷ lệ  thu hồi sản phẩm (NL/Tp surumi)  </t>
  </si>
  <si>
    <t xml:space="preserve">xxxx</t>
  </si>
  <si>
    <t xml:space="preserve">xxx</t>
  </si>
  <si>
    <t xml:space="preserve">Tổng SL nguyên liệu sử dụng (I) /Tổng SL thành phẩm  thu được lần 1 (II.3) </t>
  </si>
  <si>
    <t xml:space="preserve">Giá Nguyên liệu  của 1KG TP (đã trừ phụ phẩm)</t>
  </si>
  <si>
    <t xml:space="preserve">(Thành tiền  giá nguyên liệu (I)- thành tiền  phụ phẩm thu hồi (II.2) )/ tổng số lượng thành phẩm thu hồi làn 1 surumi II.3</t>
  </si>
  <si>
    <t xml:space="preserve">% tỷ lệ đầu xương thu </t>
  </si>
  <si>
    <t xml:space="preserve">100 * Tổng SL đầu xương phụ phẩm II.1  /Tổng SL nguyên liệu sử dụng  (I)</t>
  </si>
  <si>
    <t xml:space="preserve">Tỷ lệ thu hồi BTP  (NL/BTP)</t>
  </si>
  <si>
    <t xml:space="preserve">SL Nguyên liệu sử dụng (I)  /SL Bán thành phẩm thu được (II.2)</t>
  </si>
  <si>
    <t xml:space="preserve">Tỷ lệ thu hồi TP từ BTP (BTP/TP )</t>
  </si>
  <si>
    <t xml:space="preserve">SL Bán thành phẩm (II.2)  /SL Thành phẩm thu được (II.3) </t>
  </si>
  <si>
    <t xml:space="preserve">mua nl</t>
  </si>
  <si>
    <t xml:space="preserve">quy trinh sx  (xuất sx)</t>
  </si>
  <si>
    <t xml:space="preserve">sơ chê (cát đầu lọc xưuơng)  nhập kho</t>
  </si>
  <si>
    <t xml:space="preserve">XUẤT </t>
  </si>
  <si>
    <t xml:space="preserve">NHẬP SP </t>
  </si>
  <si>
    <t xml:space="preserve">cá nguyên liêu  Cá A</t>
  </si>
  <si>
    <t xml:space="preserve">đầu  , xương </t>
  </si>
  <si>
    <t xml:space="preserve">ĐẦU XƯƠNG-làm bột cá</t>
  </si>
  <si>
    <t xml:space="preserve">làm bột cá</t>
  </si>
  <si>
    <t xml:space="preserve">                          Cá B</t>
  </si>
  <si>
    <t xml:space="preserve">btp cá đã cắt đầu  size A</t>
  </si>
  <si>
    <t xml:space="preserve">XUẤT CÁ ĐÃ CĂT =&gt;máy làm su ru mi </t>
  </si>
  <si>
    <t xml:space="preserve">máy làm su ru mi </t>
  </si>
  <si>
    <t xml:space="preserve">làm lại </t>
  </si>
  <si>
    <t xml:space="preserve">                          Cá C</t>
  </si>
  <si>
    <t xml:space="preserve">                        Size B</t>
  </si>
  <si>
    <t xml:space="preserve">gia giảm </t>
  </si>
  <si>
    <t xml:space="preserve">                        Size C</t>
  </si>
  <si>
    <t xml:space="preserve">cá xấu </t>
  </si>
  <si>
    <t xml:space="preserve">XUẤT = bột ca</t>
  </si>
  <si>
    <t xml:space="preserve">bột ca</t>
  </si>
  <si>
    <t xml:space="preserve">báo cáo tỷ lệ  thu hồi sản xuất  bôt cá</t>
  </si>
  <si>
    <t xml:space="preserve">
 HSV_thanhpham</t>
  </si>
  <si>
    <t xml:space="preserve"> C_Activity_ID=1000272</t>
  </si>
  <si>
    <t xml:space="preserve">Đầu xương cá </t>
  </si>
  <si>
    <t xml:space="preserve">xuất sử dụng </t>
  </si>
  <si>
    <t xml:space="preserve">Cá nguyên con</t>
  </si>
  <si>
    <t xml:space="preserve">Cộng cá nguyên con  </t>
  </si>
  <si>
    <t xml:space="preserve">Phụ phẩm </t>
  </si>
  <si>
    <t xml:space="preserve">Bột cá đầu xương (lần đầu)</t>
  </si>
  <si>
    <t xml:space="preserve"> M_Product_ID=1015086, C_Campaign_ID=1000060 </t>
  </si>
  <si>
    <t xml:space="preserve">nhập kho sản xuất ra</t>
  </si>
  <si>
    <t xml:space="preserve">Bột cá (lần đầu )</t>
  </si>
  <si>
    <t xml:space="preserve"> M_Product_ID=1015087, C_Campaign_ID=1000060</t>
  </si>
  <si>
    <t xml:space="preserve">Kết Quả đánh giá </t>
  </si>
  <si>
    <t xml:space="preserve">chênh lệch</t>
  </si>
  <si>
    <t xml:space="preserve">Tỷ lệ  thu hồi sản phẩm (chung) </t>
  </si>
  <si>
    <t xml:space="preserve">chỉ số tính được </t>
  </si>
  <si>
    <t xml:space="preserve">Tổng SL nguyên liêu  (I.1+I.2) / Tổng SL thành phẩm thu được lần 1 (II.2+ II.3)</t>
  </si>
  <si>
    <t xml:space="preserve">Tỷ lệ  thu hồi bột cá nguyên con</t>
  </si>
  <si>
    <t xml:space="preserve">SL Nguyên liêu cá nguyên con (I.2) / SL Thành phẩm bột cá  (II.3) </t>
  </si>
  <si>
    <t xml:space="preserve">Tỷ lệ  thu hồi bột cá đầu xương </t>
  </si>
  <si>
    <t xml:space="preserve">SLNguyên liêu đầu xương (I.1) / SL Thành phẩm đầu xương (II.2)</t>
  </si>
  <si>
    <t xml:space="preserve">Giá nguyên liệu bột cá  (chung)</t>
  </si>
  <si>
    <t xml:space="preserve">Thành tiền Tổng giá nguyên liệu (I.1+I.2) /Thành tiền  tống số lượng TP (II.2+II.3)</t>
  </si>
  <si>
    <t xml:space="preserve">Giá nguyên liệu bột cá  nguyên con</t>
  </si>
  <si>
    <t xml:space="preserve">3/7</t>
  </si>
  <si>
    <t xml:space="preserve">Thành tiền cá nguyên con SD (I.2)/ Thành tiền bột cá  (II.3)</t>
  </si>
  <si>
    <t xml:space="preserve">Giá nguyên liệu bột cá  đầu xương</t>
  </si>
  <si>
    <t xml:space="preserve">2/6</t>
  </si>
  <si>
    <t xml:space="preserve">Thành tiền đầu xương  SD (I.1)/ Thành tiền bột cá đầu xương (II.2)</t>
  </si>
  <si>
    <t xml:space="preserve">xuong , dau</t>
  </si>
  <si>
    <t xml:space="preserve">   ======&gt; sản xuat</t>
  </si>
  <si>
    <t xml:space="preserve">bột ca đầu xương</t>
  </si>
  <si>
    <t xml:space="preserve">cá nguyên con</t>
  </si>
  <si>
    <t xml:space="preserve">bột cá</t>
  </si>
  <si>
    <t xml:space="preserve">CTY CPTMVT &amp; CBHS Long H¶i</t>
  </si>
  <si>
    <t xml:space="preserve">H¶i B×nh - TÜnh Gia - Thanh Ho¸</t>
  </si>
  <si>
    <t xml:space="preserve">KẾT QUẢ SẢN XUẤT BỘT CÁ NGÀY 03/03/2019 - LÔ 02</t>
  </si>
  <si>
    <t xml:space="preserve">I. NGUYÊN LIỆU</t>
  </si>
  <si>
    <t xml:space="preserve">STT</t>
  </si>
  <si>
    <t xml:space="preserve">Tên hàng</t>
  </si>
  <si>
    <t xml:space="preserve">Tồn đầu </t>
  </si>
  <si>
    <t xml:space="preserve">NL nhập trong ngày</t>
  </si>
  <si>
    <t xml:space="preserve">NL đưa vào sx</t>
  </si>
  <si>
    <t xml:space="preserve">KL thanh toán</t>
  </si>
  <si>
    <t xml:space="preserve">KL cân điện
 tử</t>
  </si>
  <si>
    <t xml:space="preserve">Giá trị thanh toán</t>
  </si>
  <si>
    <t xml:space="preserve">Cá heo 1</t>
  </si>
  <si>
    <t xml:space="preserve">Cá heo 2</t>
  </si>
  <si>
    <t xml:space="preserve">Tổng</t>
  </si>
  <si>
    <t xml:space="preserve">STT </t>
  </si>
  <si>
    <t xml:space="preserve">Tên sản phẩm</t>
  </si>
  <si>
    <t xml:space="preserve">TP nhập trong ngày</t>
  </si>
  <si>
    <t xml:space="preserve">TP sản xuất</t>
  </si>
  <si>
    <t xml:space="preserve">TP xử lý lại</t>
  </si>
  <si>
    <t xml:space="preserve">A54(đxnc)</t>
  </si>
  <si>
    <t xml:space="preserve">A54NC</t>
  </si>
  <si>
    <t xml:space="preserve">KẾT QUẢ SẢN XUẤT BỘT CÁ NGÀY 4/3/2019 - LÔ 03</t>
  </si>
  <si>
    <t xml:space="preserve">Đầu xương </t>
  </si>
  <si>
    <t xml:space="preserve">KẾT QUẢ SẢN XUẤT BỘT CÁ NGÀY 05/03/2019 - LÔ 04</t>
  </si>
  <si>
    <t xml:space="preserve">KẾT QUẢ SẢN XUẤT BỘT CÁ NGÀY 06/03/2019 - LÔ 05</t>
  </si>
  <si>
    <t xml:space="preserve">KẾT QUẢ SẢN XUẤT BỘT CÁ NGÀY 07/03/2019 - LÔ 06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</si>
</sst>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M/D/YYYY"/>
    <numFmt numFmtId="166" formatCode="#,##0.00"/>
    <numFmt numFmtId="167" formatCode="#,##0.0"/>
    <numFmt numFmtId="168" formatCode="_(* #,##0.00_);_(* \(#,##0.00\);_(* \-??_);_(@_)"/>
    <numFmt numFmtId="169" formatCode="_(* #,##0_);_(* \(#,##0\);_(* \-??_);_(@_)"/>
    <numFmt numFmtId="170" formatCode="0.00"/>
    <numFmt numFmtId="171" formatCode="_(* #,##0.0_);_(* \(#,##0.0\);_(* \-??_);_(@_)"/>
    <numFmt numFmtId="172" formatCode="_(* #,##0.000_);_(* \(#,##0.000\);_(* \-??_);_(@_)"/>
    <numFmt numFmtId="173" formatCode="MM/DD/YY"/>
  </numFmts>
  <fonts count="2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  <charset val="1"/>
    </font>
    <font>
      <b val="true"/>
      <sz val="11"/>
      <name val="Times New Roman"/>
      <family val="1"/>
      <charset val="1"/>
    </font>
    <font>
      <sz val="11"/>
      <name val="Times New Roman"/>
      <family val="1"/>
      <charset val="1"/>
    </font>
    <font>
      <b val="true"/>
      <sz val="15"/>
      <name val="Times New Roman"/>
      <family val="1"/>
      <charset val="1"/>
    </font>
    <font>
      <b val="true"/>
      <u val="single"/>
      <sz val="11"/>
      <name val="Times New Roman"/>
      <family val="1"/>
      <charset val="1"/>
    </font>
    <font>
      <b val="true"/>
      <sz val="13"/>
      <name val="Times New Roman"/>
      <family val="1"/>
      <charset val="1"/>
    </font>
    <font>
      <sz val="13"/>
      <name val="Times New Roman"/>
      <family val="1"/>
      <charset val="1"/>
    </font>
    <font>
      <b val="true"/>
      <sz val="10"/>
      <name val="Times New Roman"/>
      <family val="1"/>
      <charset val="1"/>
    </font>
    <font>
      <b val="true"/>
      <sz val="13"/>
      <color rgb="FFFFFFFF"/>
      <name val="Times New Roman"/>
      <family val="1"/>
      <charset val="1"/>
    </font>
    <font>
      <b val="true"/>
      <sz val="10"/>
      <name val="Arial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sz val="10"/>
      <color rgb="FF333333"/>
      <name val="Arial Unicode MS"/>
      <family val="2"/>
      <charset val="1"/>
    </font>
    <font>
      <b val="true"/>
      <sz val="12"/>
      <name val=".VnTime"/>
      <family val="2"/>
      <charset val="1"/>
    </font>
    <font>
      <sz val="12"/>
      <name val=".VnTime"/>
      <family val="2"/>
      <charset val="1"/>
    </font>
    <font>
      <b val="true"/>
      <sz val="20"/>
      <name val="Times New Roman"/>
      <family val="1"/>
      <charset val="1"/>
    </font>
    <font>
      <b val="true"/>
      <sz val="12"/>
      <color rgb="FFFF0000"/>
      <name val="Times New Roman"/>
      <family val="1"/>
      <charset val="1"/>
    </font>
    <font>
      <sz val="10"/>
      <color rgb="FFFF0000"/>
      <name val="Times New Roman"/>
      <family val="1"/>
      <charset val="1"/>
    </font>
    <font>
      <b val="true"/>
      <sz val="12"/>
      <name val="Times New Roman"/>
      <family val="1"/>
      <charset val="1"/>
    </font>
    <font>
      <sz val="12"/>
      <name val="Times New Roman"/>
      <family val="1"/>
      <charset val="1"/>
    </font>
    <font>
      <b val="true"/>
      <sz val="10"/>
      <color rgb="FFFF0000"/>
      <name val="Times New Roman"/>
      <family val="1"/>
      <charset val="1"/>
    </font>
  </fonts>
  <fills count="7">
    <fill>
      <patternFill patternType="none"/>
    </fill>
    <fill>
      <patternFill patternType="gray125"/>
    </fill>
    <fill>
      <patternFill patternType="solid">
        <fgColor rgb="FFA6A6A6"/>
        <bgColor rgb="FFC0C0C0"/>
      </patternFill>
    </fill>
    <fill>
      <patternFill patternType="solid">
        <fgColor rgb="FFFFFFFF"/>
        <bgColor rgb="FFFFFFCC"/>
      </patternFill>
    </fill>
    <fill>
      <patternFill patternType="solid">
        <fgColor rgb="FF808080"/>
        <bgColor rgb="FF7F7F7F"/>
      </patternFill>
    </fill>
    <fill>
      <patternFill patternType="solid">
        <fgColor rgb="FF7F7F7F"/>
        <bgColor rgb="FF808080"/>
      </patternFill>
    </fill>
    <fill>
      <patternFill patternType="solid">
        <fgColor rgb="FFFFFF00"/>
        <bgColor rgb="FFFFFF00"/>
      </patternFill>
    </fill>
  </fills>
  <borders count="16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thin"/>
      <right style="thin"/>
      <top style="hair"/>
      <bottom style="thin"/>
      <diagonal/>
    </border>
    <border diagonalUp="false" diagonalDown="false">
      <left style="thin"/>
      <right style="thin"/>
      <top style="hair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9" fontId="10" fillId="0" borderId="2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10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9" fillId="2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0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2" borderId="2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10" fillId="2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0" fillId="0" borderId="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9" fillId="2" borderId="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9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0" fillId="0" borderId="2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9" fontId="10" fillId="0" borderId="4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0" fillId="0" borderId="2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10" fillId="0" borderId="2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8" fontId="10" fillId="2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3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9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3" xfId="15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9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0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0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0" fillId="3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0" fillId="0" borderId="3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10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4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4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5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9" fillId="5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2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9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3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2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2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9" fillId="2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9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5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6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6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5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0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0" fillId="3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0" fillId="3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0" fillId="0" borderId="3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2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5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9" fillId="5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5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10" fillId="3" borderId="1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0" fillId="0" borderId="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0" fillId="0" borderId="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0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0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0" fillId="0" borderId="1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0" fillId="0" borderId="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0" fillId="0" borderId="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10" fillId="0" borderId="1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18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9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3" fillId="0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3" fillId="0" borderId="1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1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3" fillId="0" borderId="1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1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2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3" fillId="0" borderId="1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3" fillId="0" borderId="1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7F7F7F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1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2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45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D13" activeCellId="0" sqref="D13"/>
    </sheetView>
  </sheetViews>
  <sheetFormatPr defaultRowHeight="13.2"/>
  <cols>
    <col collapsed="false" hidden="false" max="1" min="1" style="1" width="22.4081632653061"/>
    <col collapsed="false" hidden="false" max="2" min="2" style="1" width="15.2551020408163"/>
    <col collapsed="false" hidden="false" max="3" min="3" style="1" width="13.0918367346939"/>
    <col collapsed="false" hidden="false" max="4" min="4" style="1" width="16.0663265306122"/>
    <col collapsed="false" hidden="false" max="5" min="5" style="1" width="12.9591836734694"/>
    <col collapsed="false" hidden="false" max="6" min="6" style="1" width="13.7704081632653"/>
    <col collapsed="false" hidden="false" max="7" min="7" style="1" width="14.0408163265306"/>
    <col collapsed="false" hidden="false" max="1025" min="8" style="1" width="8.23469387755102"/>
  </cols>
  <sheetData>
    <row r="1" customFormat="false" ht="20.25" hidden="false" customHeight="true" outlineLevel="0" collapsed="false">
      <c r="A1" s="2" t="s">
        <v>0</v>
      </c>
      <c r="B1" s="3"/>
      <c r="C1" s="3"/>
      <c r="D1" s="3"/>
      <c r="E1" s="3"/>
      <c r="F1" s="3"/>
      <c r="G1" s="3"/>
      <c r="H1" s="3"/>
      <c r="I1" s="3"/>
      <c r="J1" s="4"/>
      <c r="K1" s="5"/>
      <c r="L1" s="3"/>
      <c r="M1" s="4"/>
      <c r="N1" s="3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7" customFormat="true" ht="31.5" hidden="false" customHeight="true" outlineLevel="0" collapsed="false">
      <c r="A2" s="6" t="s">
        <v>1</v>
      </c>
      <c r="B2" s="6"/>
      <c r="C2" s="6"/>
      <c r="D2" s="6"/>
      <c r="E2" s="6"/>
      <c r="F2" s="6"/>
      <c r="J2" s="8"/>
      <c r="K2" s="9"/>
      <c r="M2" s="8"/>
    </row>
    <row r="3" customFormat="false" ht="21.75" hidden="false" customHeight="true" outlineLevel="0" collapsed="false">
      <c r="A3" s="10" t="s">
        <v>2</v>
      </c>
      <c r="B3" s="10"/>
      <c r="C3" s="10"/>
      <c r="D3" s="10"/>
      <c r="E3" s="10"/>
      <c r="F3" s="10"/>
      <c r="G3" s="11"/>
      <c r="H3" s="11"/>
      <c r="I3" s="12"/>
      <c r="J3" s="12"/>
      <c r="K3" s="12"/>
      <c r="L3" s="12"/>
      <c r="M3" s="12"/>
      <c r="N3" s="12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16" customFormat="true" ht="27.75" hidden="false" customHeight="true" outlineLevel="0" collapsed="false">
      <c r="A4" s="13" t="s">
        <v>3</v>
      </c>
      <c r="B4" s="14"/>
      <c r="C4" s="14"/>
      <c r="D4" s="15" t="s">
        <v>4</v>
      </c>
      <c r="E4" s="15"/>
    </row>
    <row r="5" s="18" customFormat="true" ht="33.6" hidden="false" customHeight="false" outlineLevel="0" collapsed="false">
      <c r="A5" s="17" t="s">
        <v>5</v>
      </c>
      <c r="B5" s="17" t="s">
        <v>5</v>
      </c>
      <c r="C5" s="17" t="s">
        <v>6</v>
      </c>
      <c r="D5" s="17" t="s">
        <v>7</v>
      </c>
      <c r="E5" s="17" t="s">
        <v>8</v>
      </c>
    </row>
    <row r="6" customFormat="false" ht="21.75" hidden="false" customHeight="true" outlineLevel="0" collapsed="false">
      <c r="A6" s="19" t="s">
        <v>9</v>
      </c>
      <c r="B6" s="20" t="n">
        <v>0</v>
      </c>
      <c r="C6" s="20" t="n">
        <v>6525</v>
      </c>
      <c r="D6" s="20" t="n">
        <v>6525</v>
      </c>
      <c r="E6" s="2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21.75" hidden="false" customHeight="true" outlineLevel="0" collapsed="false">
      <c r="A7" s="19" t="s">
        <v>10</v>
      </c>
      <c r="B7" s="20"/>
      <c r="C7" s="20" t="n">
        <v>14526</v>
      </c>
      <c r="D7" s="20" t="n">
        <v>14526</v>
      </c>
      <c r="E7" s="2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21.75" hidden="false" customHeight="true" outlineLevel="0" collapsed="false">
      <c r="A8" s="21" t="s">
        <v>11</v>
      </c>
      <c r="B8" s="22" t="n">
        <f aca="false">SUM(B6:B7)</f>
        <v>0</v>
      </c>
      <c r="C8" s="22" t="n">
        <f aca="false">SUM(C6:C7)</f>
        <v>21051</v>
      </c>
      <c r="D8" s="22" t="n">
        <f aca="false">SUM(D6:D7)</f>
        <v>21051</v>
      </c>
      <c r="E8" s="22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8" hidden="false" customHeight="true" outlineLevel="0" collapsed="false">
      <c r="A9" s="23"/>
      <c r="B9" s="23"/>
      <c r="C9" s="23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24" customFormat="true" ht="26.25" hidden="false" customHeight="true" outlineLevel="0" collapsed="false">
      <c r="A10" s="13" t="s">
        <v>12</v>
      </c>
      <c r="B10" s="13"/>
      <c r="C10" s="13"/>
    </row>
    <row r="11" s="26" customFormat="true" ht="32.25" hidden="false" customHeight="true" outlineLevel="0" collapsed="false">
      <c r="A11" s="25" t="s">
        <v>13</v>
      </c>
      <c r="B11" s="17" t="s">
        <v>14</v>
      </c>
      <c r="C11" s="25" t="s">
        <v>15</v>
      </c>
      <c r="D11" s="17" t="s">
        <v>16</v>
      </c>
    </row>
    <row r="12" customFormat="false" ht="24.75" hidden="false" customHeight="true" outlineLevel="0" collapsed="false">
      <c r="A12" s="27" t="s">
        <v>9</v>
      </c>
      <c r="B12" s="28" t="n">
        <v>1500</v>
      </c>
      <c r="C12" s="20" t="n">
        <v>48</v>
      </c>
      <c r="D12" s="29" t="n">
        <f aca="false">D6/B12</f>
        <v>4.35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24.75" hidden="false" customHeight="true" outlineLevel="0" collapsed="false">
      <c r="A13" s="27" t="s">
        <v>17</v>
      </c>
      <c r="B13" s="20" t="n">
        <v>5100</v>
      </c>
      <c r="C13" s="29" t="n">
        <v>60.71</v>
      </c>
      <c r="D13" s="29" t="n">
        <f aca="false">D7/B13</f>
        <v>2.84823529411765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4.75" hidden="false" customHeight="true" outlineLevel="0" collapsed="false">
      <c r="A14" s="27" t="s">
        <v>18</v>
      </c>
      <c r="B14" s="20"/>
      <c r="C14" s="20"/>
      <c r="D14" s="2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s="32" customFormat="true" ht="24.75" hidden="false" customHeight="true" outlineLevel="0" collapsed="false">
      <c r="A15" s="30" t="s">
        <v>11</v>
      </c>
      <c r="B15" s="22" t="n">
        <f aca="false">SUM(B12:B14)</f>
        <v>6600</v>
      </c>
      <c r="C15" s="22"/>
      <c r="D15" s="31"/>
    </row>
    <row r="16" customFormat="false" ht="18" hidden="false" customHeight="true" outlineLevel="0" collapsed="false">
      <c r="A16" s="23" t="s">
        <v>19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25.5" hidden="false" customHeight="true" outlineLevel="0" collapsed="false">
      <c r="A17" s="13" t="s">
        <v>20</v>
      </c>
      <c r="B17" s="23"/>
      <c r="C17" s="23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18" customFormat="true" ht="23.25" hidden="false" customHeight="true" outlineLevel="0" collapsed="false">
      <c r="A18" s="17" t="s">
        <v>13</v>
      </c>
      <c r="B18" s="17" t="s">
        <v>21</v>
      </c>
    </row>
    <row r="19" customFormat="false" ht="26.25" hidden="false" customHeight="true" outlineLevel="0" collapsed="false">
      <c r="A19" s="33" t="s">
        <v>22</v>
      </c>
      <c r="B19" s="34" t="n">
        <v>18300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26.25" hidden="false" customHeight="true" outlineLevel="0" collapsed="false">
      <c r="A20" s="33" t="s">
        <v>17</v>
      </c>
      <c r="B20" s="34" t="n">
        <v>47350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26.25" hidden="false" customHeight="true" outlineLevel="0" collapsed="false">
      <c r="A21" s="33" t="s">
        <v>18</v>
      </c>
      <c r="B21" s="34" t="n">
        <v>15650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20.25" hidden="false" customHeight="true" outlineLevel="0" collapsed="false">
      <c r="A22" s="25" t="s">
        <v>11</v>
      </c>
      <c r="B22" s="35" t="n">
        <f aca="false">SUM(B19:B21)</f>
        <v>81300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1.25" hidden="false" customHeight="true" outlineLevel="0" collapsed="false">
      <c r="A23" s="36"/>
      <c r="B23" s="37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8" hidden="false" customHeight="false" outlineLevel="0" collapsed="false">
      <c r="A24" s="38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2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32" customFormat="true" ht="13.2" hidden="false" customHeight="false" outlineLevel="0" collapsed="false">
      <c r="A26" s="39" t="s">
        <v>23</v>
      </c>
      <c r="B26" s="39" t="s">
        <v>24</v>
      </c>
      <c r="C26" s="39" t="s">
        <v>25</v>
      </c>
      <c r="D26" s="39" t="s">
        <v>26</v>
      </c>
      <c r="E26" s="40" t="s">
        <v>27</v>
      </c>
      <c r="F26" s="40"/>
    </row>
    <row r="27" customFormat="false" ht="13.2" hidden="false" customHeight="false" outlineLevel="0" collapsed="false">
      <c r="A27" s="26"/>
      <c r="B27" s="26"/>
      <c r="C27" s="26"/>
      <c r="D27" s="26"/>
      <c r="E27" s="26"/>
      <c r="F27" s="26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2" hidden="false" customHeight="false" outlineLevel="0" collapsed="false">
      <c r="A28" s="26"/>
      <c r="B28" s="26"/>
      <c r="C28" s="26"/>
      <c r="D28" s="26"/>
      <c r="E28" s="26"/>
      <c r="F28" s="26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2" hidden="false" customHeight="false" outlineLevel="0" collapsed="false">
      <c r="A29" s="26"/>
      <c r="B29" s="26"/>
      <c r="C29" s="26"/>
      <c r="D29" s="26"/>
      <c r="E29" s="26"/>
      <c r="F29" s="26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2" hidden="false" customHeight="false" outlineLevel="0" collapsed="false">
      <c r="A30" s="26"/>
      <c r="B30" s="26"/>
      <c r="C30" s="26"/>
      <c r="D30" s="26"/>
      <c r="E30" s="26"/>
      <c r="F30" s="26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32" customFormat="true" ht="13.2" hidden="false" customHeight="false" outlineLevel="0" collapsed="false">
      <c r="A31" s="39" t="s">
        <v>28</v>
      </c>
      <c r="B31" s="39"/>
      <c r="C31" s="39"/>
      <c r="D31" s="39"/>
      <c r="E31" s="40" t="s">
        <v>29</v>
      </c>
      <c r="F31" s="40"/>
    </row>
    <row r="32" customFormat="false" ht="13.2" hidden="false" customHeight="false" outlineLevel="0" collapsed="false">
      <c r="A32" s="26"/>
      <c r="B32" s="26"/>
      <c r="C32" s="26"/>
      <c r="D32" s="26"/>
      <c r="E32" s="26"/>
      <c r="F32" s="26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4" customFormat="false" ht="13.8" hidden="false" customHeight="false" outlineLevel="0" collapsed="false">
      <c r="A34" s="2" t="s">
        <v>0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30" hidden="false" customHeight="true" outlineLevel="0" collapsed="false">
      <c r="A35" s="6" t="s">
        <v>30</v>
      </c>
      <c r="B35" s="6"/>
      <c r="C35" s="6"/>
      <c r="D35" s="6"/>
      <c r="E35" s="6"/>
      <c r="F35" s="6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24" hidden="false" customHeight="true" outlineLevel="0" collapsed="false">
      <c r="A36" s="10" t="s">
        <v>2</v>
      </c>
      <c r="B36" s="10"/>
      <c r="C36" s="10"/>
      <c r="D36" s="10"/>
      <c r="E36" s="10"/>
      <c r="F36" s="1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6.8" hidden="false" customHeight="false" outlineLevel="0" collapsed="false">
      <c r="A37" s="13" t="s">
        <v>3</v>
      </c>
      <c r="B37" s="14"/>
      <c r="C37" s="14"/>
      <c r="D37" s="15" t="s">
        <v>4</v>
      </c>
      <c r="E37" s="15"/>
      <c r="F37" s="16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33.6" hidden="false" customHeight="false" outlineLevel="0" collapsed="false">
      <c r="A38" s="17" t="s">
        <v>5</v>
      </c>
      <c r="B38" s="17" t="s">
        <v>5</v>
      </c>
      <c r="C38" s="17" t="s">
        <v>31</v>
      </c>
      <c r="D38" s="17" t="s">
        <v>7</v>
      </c>
      <c r="E38" s="17" t="s">
        <v>8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25.5" hidden="false" customHeight="true" outlineLevel="0" collapsed="false">
      <c r="A39" s="19" t="s">
        <v>9</v>
      </c>
      <c r="B39" s="20" t="n">
        <v>0</v>
      </c>
      <c r="C39" s="20" t="n">
        <v>930</v>
      </c>
      <c r="D39" s="20"/>
      <c r="E39" s="20" t="n">
        <f aca="false">B39+C39-D39</f>
        <v>930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25.5" hidden="false" customHeight="true" outlineLevel="0" collapsed="false">
      <c r="A40" s="19" t="s">
        <v>10</v>
      </c>
      <c r="B40" s="20" t="n">
        <v>0</v>
      </c>
      <c r="C40" s="20" t="n">
        <f aca="false">1090+407</f>
        <v>1497</v>
      </c>
      <c r="D40" s="20"/>
      <c r="E40" s="20" t="n">
        <f aca="false">B40+C40-D40</f>
        <v>1497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6.8" hidden="false" customHeight="false" outlineLevel="0" collapsed="false">
      <c r="A41" s="21" t="s">
        <v>11</v>
      </c>
      <c r="B41" s="22" t="n">
        <f aca="false">SUM(B39:B40)</f>
        <v>0</v>
      </c>
      <c r="C41" s="22" t="n">
        <f aca="false">SUM(C39:C40)</f>
        <v>2427</v>
      </c>
      <c r="D41" s="22" t="n">
        <f aca="false">SUM(D39:D40)</f>
        <v>0</v>
      </c>
      <c r="E41" s="22" t="n">
        <f aca="false">SUM(E39:E40)</f>
        <v>2427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6.8" hidden="false" customHeight="false" outlineLevel="0" collapsed="false">
      <c r="A42" s="23" t="s">
        <v>32</v>
      </c>
      <c r="B42" s="23"/>
      <c r="C42" s="23"/>
      <c r="D42" s="23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6.8" hidden="false" customHeight="false" outlineLevel="0" collapsed="false">
      <c r="A43" s="13" t="s">
        <v>12</v>
      </c>
      <c r="B43" s="13"/>
      <c r="C43" s="13"/>
      <c r="D43" s="13"/>
      <c r="E43" s="24"/>
      <c r="F43" s="24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33.6" hidden="false" customHeight="false" outlineLevel="0" collapsed="false">
      <c r="A44" s="25" t="s">
        <v>13</v>
      </c>
      <c r="B44" s="17" t="s">
        <v>33</v>
      </c>
      <c r="C44" s="25" t="s">
        <v>15</v>
      </c>
      <c r="D44" s="17" t="s">
        <v>16</v>
      </c>
      <c r="E44" s="26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6.8" hidden="false" customHeight="false" outlineLevel="0" collapsed="false">
      <c r="A45" s="27" t="s">
        <v>9</v>
      </c>
      <c r="B45" s="28"/>
      <c r="C45" s="20"/>
      <c r="D45" s="29" t="e">
        <f aca="false">D39/(B45+#REF!)</f>
        <v>#REF!</v>
      </c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6.8" hidden="false" customHeight="false" outlineLevel="0" collapsed="false">
      <c r="A46" s="27" t="s">
        <v>17</v>
      </c>
      <c r="B46" s="20"/>
      <c r="C46" s="29"/>
      <c r="D46" s="29" t="e">
        <f aca="false">D40/(B46+#REF!)</f>
        <v>#REF!</v>
      </c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6.8" hidden="false" customHeight="false" outlineLevel="0" collapsed="false">
      <c r="A47" s="27" t="s">
        <v>18</v>
      </c>
      <c r="B47" s="20"/>
      <c r="C47" s="20"/>
      <c r="D47" s="2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6.8" hidden="false" customHeight="false" outlineLevel="0" collapsed="false">
      <c r="A48" s="30" t="s">
        <v>11</v>
      </c>
      <c r="B48" s="22" t="n">
        <f aca="false">SUM(B45:B47)</f>
        <v>0</v>
      </c>
      <c r="C48" s="22"/>
      <c r="D48" s="31"/>
      <c r="E48" s="32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6.8" hidden="false" customHeight="false" outlineLevel="0" collapsed="false">
      <c r="A49" s="23" t="s">
        <v>32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6.8" hidden="false" customHeight="false" outlineLevel="0" collapsed="false">
      <c r="A50" s="13" t="s">
        <v>20</v>
      </c>
      <c r="B50" s="23"/>
      <c r="C50" s="23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6.8" hidden="false" customHeight="false" outlineLevel="0" collapsed="false">
      <c r="A51" s="17" t="s">
        <v>13</v>
      </c>
      <c r="B51" s="17" t="s">
        <v>21</v>
      </c>
      <c r="C51" s="18"/>
      <c r="D51" s="18"/>
      <c r="E51" s="18"/>
      <c r="F51" s="18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6.8" hidden="false" customHeight="false" outlineLevel="0" collapsed="false">
      <c r="A52" s="33" t="s">
        <v>22</v>
      </c>
      <c r="B52" s="34" t="n">
        <v>17450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6.8" hidden="false" customHeight="false" outlineLevel="0" collapsed="false">
      <c r="A53" s="33" t="s">
        <v>17</v>
      </c>
      <c r="B53" s="34" t="n">
        <v>8150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6.8" hidden="false" customHeight="false" outlineLevel="0" collapsed="false">
      <c r="A54" s="33" t="s">
        <v>18</v>
      </c>
      <c r="B54" s="34" t="n">
        <v>15650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6.8" hidden="false" customHeight="false" outlineLevel="0" collapsed="false">
      <c r="A55" s="25" t="s">
        <v>11</v>
      </c>
      <c r="B55" s="35" t="n">
        <f aca="false">SUM(B52:B54)</f>
        <v>41250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6.8" hidden="false" customHeight="false" outlineLevel="0" collapsed="false">
      <c r="A56" s="36"/>
      <c r="B56" s="37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2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2" hidden="false" customHeight="false" outlineLevel="0" collapsed="false">
      <c r="A58" s="39" t="s">
        <v>23</v>
      </c>
      <c r="B58" s="39" t="s">
        <v>24</v>
      </c>
      <c r="C58" s="39" t="s">
        <v>25</v>
      </c>
      <c r="D58" s="39" t="s">
        <v>26</v>
      </c>
      <c r="E58" s="41" t="s">
        <v>27</v>
      </c>
      <c r="F58" s="41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2" hidden="false" customHeight="false" outlineLevel="0" collapsed="false">
      <c r="A59" s="26"/>
      <c r="B59" s="26"/>
      <c r="C59" s="26"/>
      <c r="D59" s="26"/>
      <c r="E59" s="26"/>
      <c r="F59" s="26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2" hidden="false" customHeight="false" outlineLevel="0" collapsed="false">
      <c r="A60" s="26"/>
      <c r="B60" s="26"/>
      <c r="C60" s="26"/>
      <c r="D60" s="26"/>
      <c r="E60" s="26"/>
      <c r="F60" s="26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2" hidden="false" customHeight="false" outlineLevel="0" collapsed="false">
      <c r="A61" s="26"/>
      <c r="B61" s="26"/>
      <c r="C61" s="26"/>
      <c r="D61" s="26"/>
      <c r="E61" s="26"/>
      <c r="F61" s="26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2" hidden="false" customHeight="false" outlineLevel="0" collapsed="false">
      <c r="A62" s="26"/>
      <c r="B62" s="26"/>
      <c r="C62" s="26"/>
      <c r="D62" s="26"/>
      <c r="E62" s="26"/>
      <c r="F62" s="26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2" hidden="false" customHeight="false" outlineLevel="0" collapsed="false">
      <c r="A63" s="39" t="s">
        <v>34</v>
      </c>
      <c r="B63" s="39"/>
      <c r="C63" s="39"/>
      <c r="D63" s="39"/>
      <c r="E63" s="41" t="s">
        <v>29</v>
      </c>
      <c r="F63" s="41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71" customFormat="false" ht="26.25" hidden="false" customHeight="true" outlineLevel="0" collapsed="false">
      <c r="A71" s="2" t="s">
        <v>0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26.25" hidden="false" customHeight="true" outlineLevel="0" collapsed="false">
      <c r="A72" s="42" t="s">
        <v>1</v>
      </c>
      <c r="B72" s="42"/>
      <c r="C72" s="42"/>
      <c r="D72" s="42"/>
      <c r="E72" s="42"/>
      <c r="F72" s="43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27" hidden="false" customHeight="true" outlineLevel="0" collapsed="false">
      <c r="A73" s="10" t="s">
        <v>2</v>
      </c>
      <c r="B73" s="10"/>
      <c r="C73" s="10"/>
      <c r="D73" s="10"/>
      <c r="E73" s="10"/>
      <c r="F73" s="44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26.25" hidden="false" customHeight="true" outlineLevel="0" collapsed="false">
      <c r="A74" s="13" t="s">
        <v>3</v>
      </c>
      <c r="B74" s="14"/>
      <c r="C74" s="14"/>
      <c r="D74" s="15" t="s">
        <v>4</v>
      </c>
      <c r="E74" s="15"/>
      <c r="F74" s="16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33.6" hidden="false" customHeight="false" outlineLevel="0" collapsed="false">
      <c r="A75" s="17" t="s">
        <v>5</v>
      </c>
      <c r="B75" s="17" t="s">
        <v>5</v>
      </c>
      <c r="C75" s="17" t="s">
        <v>35</v>
      </c>
      <c r="D75" s="17" t="s">
        <v>7</v>
      </c>
      <c r="E75" s="17" t="s">
        <v>8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6.8" hidden="false" customHeight="false" outlineLevel="0" collapsed="false">
      <c r="A76" s="19" t="s">
        <v>9</v>
      </c>
      <c r="B76" s="20" t="n">
        <f aca="false">E39</f>
        <v>930</v>
      </c>
      <c r="C76" s="20"/>
      <c r="D76" s="20" t="n">
        <v>930</v>
      </c>
      <c r="E76" s="20" t="n">
        <f aca="false">B76+C76-D76</f>
        <v>0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6.8" hidden="false" customHeight="false" outlineLevel="0" collapsed="false">
      <c r="A77" s="19"/>
      <c r="B77" s="20"/>
      <c r="C77" s="20"/>
      <c r="D77" s="20"/>
      <c r="E77" s="2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6.8" hidden="false" customHeight="false" outlineLevel="0" collapsed="false">
      <c r="A78" s="19" t="s">
        <v>10</v>
      </c>
      <c r="B78" s="20" t="n">
        <f aca="false">E40</f>
        <v>1497</v>
      </c>
      <c r="C78" s="20" t="n">
        <v>24892</v>
      </c>
      <c r="D78" s="20" t="n">
        <f aca="false">24892+2427-930</f>
        <v>26389</v>
      </c>
      <c r="E78" s="20" t="n">
        <f aca="false">B78+C78-D78</f>
        <v>0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6.8" hidden="false" customHeight="false" outlineLevel="0" collapsed="false">
      <c r="A79" s="21" t="s">
        <v>11</v>
      </c>
      <c r="B79" s="22" t="n">
        <f aca="false">SUM(B76:B78)</f>
        <v>2427</v>
      </c>
      <c r="C79" s="22" t="n">
        <f aca="false">SUM(C76:C78)</f>
        <v>24892</v>
      </c>
      <c r="D79" s="22" t="n">
        <f aca="false">SUM(D76:D78)</f>
        <v>27319</v>
      </c>
      <c r="E79" s="22" t="n">
        <f aca="false">SUM(E76:E78)</f>
        <v>0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6.8" hidden="false" customHeight="false" outlineLevel="0" collapsed="false">
      <c r="A80" s="23" t="s">
        <v>36</v>
      </c>
      <c r="B80" s="23"/>
      <c r="C80" s="23"/>
      <c r="D80" s="23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6.8" hidden="false" customHeight="false" outlineLevel="0" collapsed="false">
      <c r="A81" s="13" t="s">
        <v>12</v>
      </c>
      <c r="B81" s="13"/>
      <c r="C81" s="13"/>
      <c r="D81" s="13"/>
      <c r="E81" s="24"/>
      <c r="F81" s="24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33.6" hidden="false" customHeight="false" outlineLevel="0" collapsed="false">
      <c r="A82" s="25" t="s">
        <v>13</v>
      </c>
      <c r="B82" s="17" t="s">
        <v>37</v>
      </c>
      <c r="C82" s="25" t="s">
        <v>15</v>
      </c>
      <c r="D82" s="17" t="s">
        <v>16</v>
      </c>
      <c r="E82" s="26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6.8" hidden="false" customHeight="false" outlineLevel="0" collapsed="false">
      <c r="A83" s="27" t="s">
        <v>9</v>
      </c>
      <c r="B83" s="28"/>
      <c r="C83" s="20"/>
      <c r="D83" s="29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6.8" hidden="false" customHeight="false" outlineLevel="0" collapsed="false">
      <c r="A84" s="27" t="s">
        <v>17</v>
      </c>
      <c r="B84" s="20" t="n">
        <v>7200</v>
      </c>
      <c r="C84" s="29" t="n">
        <v>61.02</v>
      </c>
      <c r="D84" s="29" t="n">
        <f aca="false">D79/B84</f>
        <v>3.79430555555556</v>
      </c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6.8" hidden="false" customHeight="false" outlineLevel="0" collapsed="false">
      <c r="A85" s="27" t="s">
        <v>18</v>
      </c>
      <c r="B85" s="20"/>
      <c r="C85" s="20"/>
      <c r="D85" s="2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6.8" hidden="false" customHeight="false" outlineLevel="0" collapsed="false">
      <c r="A86" s="30" t="s">
        <v>11</v>
      </c>
      <c r="B86" s="22" t="n">
        <f aca="false">SUM(B83:B85)</f>
        <v>7200</v>
      </c>
      <c r="C86" s="22"/>
      <c r="D86" s="31"/>
      <c r="E86" s="32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1.25" hidden="false" customHeight="true" outlineLevel="0" collapsed="false">
      <c r="A87" s="23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23.25" hidden="false" customHeight="true" outlineLevel="0" collapsed="false">
      <c r="A88" s="13" t="s">
        <v>20</v>
      </c>
      <c r="B88" s="23"/>
      <c r="C88" s="23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6.8" hidden="false" customHeight="false" outlineLevel="0" collapsed="false">
      <c r="A89" s="17" t="s">
        <v>13</v>
      </c>
      <c r="B89" s="17" t="s">
        <v>21</v>
      </c>
      <c r="C89" s="18"/>
      <c r="D89" s="18"/>
      <c r="E89" s="18"/>
      <c r="F89" s="18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6.8" hidden="false" customHeight="false" outlineLevel="0" collapsed="false">
      <c r="A90" s="33" t="s">
        <v>22</v>
      </c>
      <c r="B90" s="34" t="n">
        <v>14700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6.8" hidden="false" customHeight="false" outlineLevel="0" collapsed="false">
      <c r="A91" s="33" t="s">
        <v>17</v>
      </c>
      <c r="B91" s="34" t="n">
        <v>18150</v>
      </c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6.8" hidden="false" customHeight="false" outlineLevel="0" collapsed="false">
      <c r="A92" s="33" t="s">
        <v>18</v>
      </c>
      <c r="B92" s="34" t="n">
        <v>15650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6.8" hidden="false" customHeight="false" outlineLevel="0" collapsed="false">
      <c r="A93" s="25" t="s">
        <v>11</v>
      </c>
      <c r="B93" s="35" t="n">
        <f aca="false">SUM(B90:B92)</f>
        <v>48500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6.8" hidden="false" customHeight="false" outlineLevel="0" collapsed="false">
      <c r="A94" s="36"/>
      <c r="B94" s="37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2" hidden="false" customHeight="false" outlineLevel="0" collapsed="false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2" hidden="false" customHeight="false" outlineLevel="0" collapsed="false">
      <c r="A96" s="39" t="s">
        <v>23</v>
      </c>
      <c r="B96" s="39" t="s">
        <v>24</v>
      </c>
      <c r="C96" s="39" t="s">
        <v>25</v>
      </c>
      <c r="D96" s="39" t="s">
        <v>26</v>
      </c>
      <c r="E96" s="41" t="s">
        <v>27</v>
      </c>
      <c r="F96" s="41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2" hidden="false" customHeight="false" outlineLevel="0" collapsed="false">
      <c r="A97" s="26"/>
      <c r="B97" s="26"/>
      <c r="C97" s="26"/>
      <c r="D97" s="26"/>
      <c r="E97" s="26"/>
      <c r="F97" s="26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2" hidden="false" customHeight="false" outlineLevel="0" collapsed="false">
      <c r="A98" s="26"/>
      <c r="B98" s="26"/>
      <c r="C98" s="26"/>
      <c r="D98" s="26"/>
      <c r="E98" s="26"/>
      <c r="F98" s="26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2" hidden="false" customHeight="false" outlineLevel="0" collapsed="false">
      <c r="A99" s="26"/>
      <c r="B99" s="26"/>
      <c r="C99" s="26"/>
      <c r="D99" s="26"/>
      <c r="E99" s="26"/>
      <c r="F99" s="26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2" hidden="false" customHeight="false" outlineLevel="0" collapsed="false">
      <c r="A100" s="26"/>
      <c r="B100" s="26"/>
      <c r="C100" s="26"/>
      <c r="D100" s="26"/>
      <c r="E100" s="26"/>
      <c r="F100" s="26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2" hidden="false" customHeight="false" outlineLevel="0" collapsed="false">
      <c r="A101" s="39" t="s">
        <v>34</v>
      </c>
      <c r="B101" s="39"/>
      <c r="C101" s="39"/>
      <c r="D101" s="39"/>
      <c r="E101" s="41" t="s">
        <v>29</v>
      </c>
      <c r="F101" s="41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6" customFormat="false" ht="22.5" hidden="false" customHeight="true" outlineLevel="0" collapsed="false">
      <c r="A106" s="2" t="s">
        <v>0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8.6" hidden="false" customHeight="true" outlineLevel="0" collapsed="false">
      <c r="A107" s="42" t="s">
        <v>38</v>
      </c>
      <c r="B107" s="42"/>
      <c r="C107" s="42"/>
      <c r="D107" s="42"/>
      <c r="E107" s="42"/>
      <c r="F107" s="43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23.25" hidden="false" customHeight="true" outlineLevel="0" collapsed="false">
      <c r="A108" s="10" t="s">
        <v>2</v>
      </c>
      <c r="B108" s="10"/>
      <c r="C108" s="10"/>
      <c r="D108" s="10"/>
      <c r="E108" s="10"/>
      <c r="F108" s="44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6.8" hidden="false" customHeight="false" outlineLevel="0" collapsed="false">
      <c r="A109" s="13" t="s">
        <v>3</v>
      </c>
      <c r="B109" s="14"/>
      <c r="C109" s="14"/>
      <c r="D109" s="15" t="s">
        <v>4</v>
      </c>
      <c r="E109" s="15"/>
      <c r="F109" s="16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33.6" hidden="false" customHeight="false" outlineLevel="0" collapsed="false">
      <c r="A110" s="17" t="s">
        <v>5</v>
      </c>
      <c r="B110" s="17" t="s">
        <v>5</v>
      </c>
      <c r="C110" s="17" t="s">
        <v>39</v>
      </c>
      <c r="D110" s="17" t="s">
        <v>7</v>
      </c>
      <c r="E110" s="17" t="s">
        <v>8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6.8" hidden="false" customHeight="false" outlineLevel="0" collapsed="false">
      <c r="A111" s="19" t="s">
        <v>9</v>
      </c>
      <c r="B111" s="20" t="n">
        <f aca="false">E73</f>
        <v>0</v>
      </c>
      <c r="C111" s="20" t="n">
        <v>610</v>
      </c>
      <c r="D111" s="20"/>
      <c r="E111" s="20" t="n">
        <f aca="false">B111+C111-D111</f>
        <v>610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6.8" hidden="false" customHeight="false" outlineLevel="0" collapsed="false">
      <c r="A112" s="19" t="s">
        <v>10</v>
      </c>
      <c r="B112" s="20" t="n">
        <f aca="false">E74</f>
        <v>0</v>
      </c>
      <c r="C112" s="20" t="n">
        <v>219047</v>
      </c>
      <c r="D112" s="20"/>
      <c r="E112" s="20" t="n">
        <f aca="false">B112+C112-D112</f>
        <v>219047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6.8" hidden="false" customHeight="false" outlineLevel="0" collapsed="false">
      <c r="A113" s="21" t="s">
        <v>11</v>
      </c>
      <c r="B113" s="22" t="n">
        <f aca="false">SUM(B111:B112)</f>
        <v>0</v>
      </c>
      <c r="C113" s="22" t="n">
        <f aca="false">SUM(C111:C112)</f>
        <v>219657</v>
      </c>
      <c r="D113" s="22" t="n">
        <f aca="false">SUM(D111:D112)</f>
        <v>0</v>
      </c>
      <c r="E113" s="22" t="n">
        <f aca="false">SUM(E111:E112)</f>
        <v>219657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16" customFormat="true" ht="25.5" hidden="false" customHeight="true" outlineLevel="0" collapsed="false">
      <c r="A114" s="14" t="s">
        <v>40</v>
      </c>
      <c r="B114" s="14"/>
      <c r="C114" s="14"/>
      <c r="D114" s="14"/>
    </row>
    <row r="115" customFormat="false" ht="16.8" hidden="false" customHeight="false" outlineLevel="0" collapsed="false">
      <c r="A115" s="13" t="s">
        <v>12</v>
      </c>
      <c r="B115" s="13"/>
      <c r="C115" s="13"/>
      <c r="D115" s="13"/>
      <c r="E115" s="24"/>
      <c r="F115" s="24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33.6" hidden="false" customHeight="false" outlineLevel="0" collapsed="false">
      <c r="A116" s="25" t="s">
        <v>13</v>
      </c>
      <c r="B116" s="17" t="s">
        <v>41</v>
      </c>
      <c r="C116" s="25" t="s">
        <v>15</v>
      </c>
      <c r="D116" s="17" t="s">
        <v>16</v>
      </c>
      <c r="E116" s="26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6.8" hidden="false" customHeight="false" outlineLevel="0" collapsed="false">
      <c r="A117" s="27" t="s">
        <v>9</v>
      </c>
      <c r="B117" s="28"/>
      <c r="C117" s="20"/>
      <c r="D117" s="29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6.8" hidden="false" customHeight="false" outlineLevel="0" collapsed="false">
      <c r="A118" s="27" t="s">
        <v>17</v>
      </c>
      <c r="B118" s="20" t="n">
        <v>42900</v>
      </c>
      <c r="C118" s="29" t="n">
        <v>60.03</v>
      </c>
      <c r="D118" s="29"/>
      <c r="E118" s="0"/>
      <c r="F118" s="45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6.8" hidden="false" customHeight="false" outlineLevel="0" collapsed="false">
      <c r="A119" s="27" t="s">
        <v>18</v>
      </c>
      <c r="B119" s="20"/>
      <c r="C119" s="20"/>
      <c r="D119" s="2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6.8" hidden="false" customHeight="false" outlineLevel="0" collapsed="false">
      <c r="A120" s="30" t="s">
        <v>11</v>
      </c>
      <c r="B120" s="22" t="n">
        <f aca="false">SUM(B117:B119)</f>
        <v>42900</v>
      </c>
      <c r="C120" s="22"/>
      <c r="D120" s="31"/>
      <c r="E120" s="32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6.8" hidden="false" customHeight="false" outlineLevel="0" collapsed="false">
      <c r="A121" s="23"/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6.8" hidden="false" customHeight="false" outlineLevel="0" collapsed="false">
      <c r="A122" s="13" t="s">
        <v>20</v>
      </c>
      <c r="B122" s="23"/>
      <c r="C122" s="23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6.8" hidden="false" customHeight="false" outlineLevel="0" collapsed="false">
      <c r="A123" s="17" t="s">
        <v>13</v>
      </c>
      <c r="B123" s="17" t="s">
        <v>21</v>
      </c>
      <c r="C123" s="18"/>
      <c r="D123" s="18"/>
      <c r="E123" s="18"/>
      <c r="F123" s="18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6.8" hidden="false" customHeight="false" outlineLevel="0" collapsed="false">
      <c r="A124" s="33" t="s">
        <v>22</v>
      </c>
      <c r="B124" s="34" t="n">
        <v>10500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6.8" hidden="false" customHeight="false" outlineLevel="0" collapsed="false">
      <c r="A125" s="33" t="s">
        <v>17</v>
      </c>
      <c r="B125" s="34" t="n">
        <v>62250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6.8" hidden="false" customHeight="false" outlineLevel="0" collapsed="false">
      <c r="A126" s="33" t="s">
        <v>18</v>
      </c>
      <c r="B126" s="34" t="n">
        <v>15650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6.8" hidden="false" customHeight="false" outlineLevel="0" collapsed="false">
      <c r="A127" s="25" t="s">
        <v>11</v>
      </c>
      <c r="B127" s="35" t="n">
        <f aca="false">SUM(B124:B126)</f>
        <v>88400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6.8" hidden="false" customHeight="false" outlineLevel="0" collapsed="false">
      <c r="A128" s="36"/>
      <c r="B128" s="37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2" hidden="false" customHeight="false" outlineLevel="0" collapsed="false">
      <c r="A129" s="0"/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2" hidden="false" customHeight="false" outlineLevel="0" collapsed="false">
      <c r="A130" s="39" t="s">
        <v>23</v>
      </c>
      <c r="B130" s="39" t="s">
        <v>24</v>
      </c>
      <c r="C130" s="39" t="s">
        <v>25</v>
      </c>
      <c r="D130" s="39" t="s">
        <v>26</v>
      </c>
      <c r="E130" s="41" t="s">
        <v>27</v>
      </c>
      <c r="F130" s="41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2" hidden="false" customHeight="false" outlineLevel="0" collapsed="false">
      <c r="A131" s="26"/>
      <c r="B131" s="26"/>
      <c r="C131" s="26"/>
      <c r="D131" s="26"/>
      <c r="E131" s="26"/>
      <c r="F131" s="26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2" hidden="false" customHeight="false" outlineLevel="0" collapsed="false">
      <c r="A132" s="26"/>
      <c r="B132" s="26"/>
      <c r="C132" s="26"/>
      <c r="D132" s="26"/>
      <c r="E132" s="26"/>
      <c r="F132" s="26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2" hidden="false" customHeight="false" outlineLevel="0" collapsed="false">
      <c r="A133" s="26"/>
      <c r="B133" s="26"/>
      <c r="C133" s="26"/>
      <c r="D133" s="26"/>
      <c r="E133" s="26"/>
      <c r="F133" s="26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2" hidden="false" customHeight="false" outlineLevel="0" collapsed="false">
      <c r="A134" s="26"/>
      <c r="B134" s="26"/>
      <c r="C134" s="26"/>
      <c r="D134" s="26"/>
      <c r="E134" s="26"/>
      <c r="F134" s="26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2" hidden="false" customHeight="false" outlineLevel="0" collapsed="false">
      <c r="A135" s="39" t="s">
        <v>34</v>
      </c>
      <c r="B135" s="39"/>
      <c r="C135" s="39"/>
      <c r="D135" s="39"/>
      <c r="E135" s="41" t="s">
        <v>29</v>
      </c>
      <c r="F135" s="41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42" customFormat="false" ht="13.8" hidden="false" customHeight="false" outlineLevel="0" collapsed="false">
      <c r="A142" s="2" t="s">
        <v>0</v>
      </c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24.75" hidden="false" customHeight="true" outlineLevel="0" collapsed="false">
      <c r="A143" s="42" t="s">
        <v>42</v>
      </c>
      <c r="B143" s="42"/>
      <c r="C143" s="42"/>
      <c r="D143" s="42"/>
      <c r="E143" s="42"/>
      <c r="F143" s="43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true" outlineLevel="0" collapsed="false">
      <c r="A144" s="10" t="s">
        <v>2</v>
      </c>
      <c r="B144" s="10"/>
      <c r="C144" s="10"/>
      <c r="D144" s="10"/>
      <c r="E144" s="10"/>
      <c r="F144" s="44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6.8" hidden="false" customHeight="false" outlineLevel="0" collapsed="false">
      <c r="A145" s="13" t="s">
        <v>3</v>
      </c>
      <c r="B145" s="14"/>
      <c r="C145" s="14"/>
      <c r="D145" s="46"/>
      <c r="E145" s="15" t="s">
        <v>4</v>
      </c>
      <c r="F145" s="15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33.6" hidden="false" customHeight="false" outlineLevel="0" collapsed="false">
      <c r="A146" s="17" t="s">
        <v>5</v>
      </c>
      <c r="B146" s="17" t="s">
        <v>5</v>
      </c>
      <c r="C146" s="17" t="s">
        <v>39</v>
      </c>
      <c r="D146" s="17" t="s">
        <v>43</v>
      </c>
      <c r="E146" s="17" t="s">
        <v>7</v>
      </c>
      <c r="F146" s="17" t="s">
        <v>8</v>
      </c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21" hidden="false" customHeight="true" outlineLevel="0" collapsed="false">
      <c r="A147" s="19" t="s">
        <v>9</v>
      </c>
      <c r="B147" s="20"/>
      <c r="C147" s="20" t="n">
        <v>610</v>
      </c>
      <c r="D147" s="20" t="n">
        <v>120</v>
      </c>
      <c r="E147" s="20" t="n">
        <v>610</v>
      </c>
      <c r="F147" s="47" t="n">
        <f aca="false">B147+C147+D147-E147</f>
        <v>120</v>
      </c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21" hidden="false" customHeight="true" outlineLevel="0" collapsed="false">
      <c r="A148" s="19" t="s">
        <v>10</v>
      </c>
      <c r="B148" s="20"/>
      <c r="C148" s="20" t="n">
        <v>219047</v>
      </c>
      <c r="D148" s="20" t="n">
        <f aca="false">335971+88</f>
        <v>336059</v>
      </c>
      <c r="E148" s="20" t="n">
        <f aca="false">219047+25705.4</f>
        <v>244752.4</v>
      </c>
      <c r="F148" s="47" t="n">
        <f aca="false">B148+C148+D148-E148</f>
        <v>310353.6</v>
      </c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6.8" hidden="false" customHeight="false" outlineLevel="0" collapsed="false">
      <c r="A149" s="21" t="s">
        <v>11</v>
      </c>
      <c r="B149" s="22" t="n">
        <f aca="false">SUM(B147:B148)</f>
        <v>0</v>
      </c>
      <c r="C149" s="22" t="n">
        <f aca="false">SUM(C147:C148)</f>
        <v>219657</v>
      </c>
      <c r="D149" s="22" t="n">
        <f aca="false">SUM(D147:D148)</f>
        <v>336179</v>
      </c>
      <c r="E149" s="22" t="n">
        <f aca="false">SUM(E147:E148)</f>
        <v>245362.4</v>
      </c>
      <c r="F149" s="48" t="n">
        <f aca="false">SUM(F147:F148)</f>
        <v>310473.6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6.8" hidden="false" customHeight="false" outlineLevel="0" collapsed="false">
      <c r="A150" s="14" t="s">
        <v>44</v>
      </c>
      <c r="B150" s="14"/>
      <c r="C150" s="14"/>
      <c r="D150" s="14"/>
      <c r="E150" s="16"/>
      <c r="F150" s="16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6.8" hidden="false" customHeight="false" outlineLevel="0" collapsed="false">
      <c r="A151" s="14" t="s">
        <v>45</v>
      </c>
      <c r="B151" s="14"/>
      <c r="C151" s="14"/>
      <c r="D151" s="14"/>
      <c r="E151" s="16"/>
      <c r="F151" s="16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6.8" hidden="false" customHeight="false" outlineLevel="0" collapsed="false">
      <c r="A152" s="14" t="s">
        <v>46</v>
      </c>
      <c r="B152" s="14"/>
      <c r="C152" s="14"/>
      <c r="D152" s="14"/>
      <c r="E152" s="16"/>
      <c r="F152" s="16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6.8" hidden="false" customHeight="false" outlineLevel="0" collapsed="false">
      <c r="A153" s="13" t="s">
        <v>12</v>
      </c>
      <c r="B153" s="13"/>
      <c r="C153" s="13"/>
      <c r="D153" s="13"/>
      <c r="E153" s="24"/>
      <c r="F153" s="24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24" hidden="false" customHeight="true" outlineLevel="0" collapsed="false">
      <c r="A154" s="13" t="s">
        <v>47</v>
      </c>
      <c r="B154" s="13"/>
      <c r="C154" s="13"/>
      <c r="D154" s="13"/>
      <c r="E154" s="24"/>
      <c r="F154" s="24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33.6" hidden="false" customHeight="false" outlineLevel="0" collapsed="false">
      <c r="A155" s="25" t="s">
        <v>13</v>
      </c>
      <c r="B155" s="17" t="s">
        <v>48</v>
      </c>
      <c r="C155" s="25" t="s">
        <v>15</v>
      </c>
      <c r="D155" s="17" t="s">
        <v>16</v>
      </c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16" customFormat="true" ht="27" hidden="false" customHeight="true" outlineLevel="0" collapsed="false">
      <c r="A156" s="49" t="s">
        <v>49</v>
      </c>
      <c r="B156" s="50"/>
      <c r="C156" s="19"/>
      <c r="D156" s="51"/>
    </row>
    <row r="157" customFormat="false" ht="22.5" hidden="false" customHeight="true" outlineLevel="0" collapsed="false">
      <c r="A157" s="49" t="s">
        <v>50</v>
      </c>
      <c r="B157" s="19" t="n">
        <f aca="false">42900+30500</f>
        <v>73400</v>
      </c>
      <c r="C157" s="51" t="n">
        <v>59.85</v>
      </c>
      <c r="D157" s="51" t="n">
        <f aca="false">E149/B157</f>
        <v>3.34281198910082</v>
      </c>
      <c r="E157" s="52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20.25" hidden="false" customHeight="true" outlineLevel="0" collapsed="false">
      <c r="A158" s="53" t="s">
        <v>18</v>
      </c>
      <c r="B158" s="20"/>
      <c r="C158" s="20"/>
      <c r="D158" s="2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6.8" hidden="false" customHeight="false" outlineLevel="0" collapsed="false">
      <c r="A159" s="30" t="s">
        <v>11</v>
      </c>
      <c r="B159" s="22" t="n">
        <f aca="false">SUM(B156:B158)</f>
        <v>73400</v>
      </c>
      <c r="C159" s="22"/>
      <c r="D159" s="54" t="n">
        <f aca="false">D157</f>
        <v>3.34281198910082</v>
      </c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23.25" hidden="false" customHeight="true" outlineLevel="0" collapsed="false">
      <c r="A160" s="23" t="s">
        <v>51</v>
      </c>
      <c r="B160" s="0"/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33.6" hidden="false" customHeight="false" outlineLevel="0" collapsed="false">
      <c r="A161" s="25" t="s">
        <v>13</v>
      </c>
      <c r="B161" s="17" t="s">
        <v>48</v>
      </c>
      <c r="C161" s="25" t="s">
        <v>15</v>
      </c>
      <c r="D161" s="17" t="s">
        <v>16</v>
      </c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25.5" hidden="false" customHeight="true" outlineLevel="0" collapsed="false">
      <c r="A162" s="49" t="s">
        <v>49</v>
      </c>
      <c r="B162" s="50" t="n">
        <v>1200</v>
      </c>
      <c r="C162" s="19"/>
      <c r="D162" s="51" t="s">
        <v>52</v>
      </c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25.5" hidden="false" customHeight="true" outlineLevel="0" collapsed="false">
      <c r="A163" s="49" t="s">
        <v>53</v>
      </c>
      <c r="B163" s="19" t="n">
        <v>33550</v>
      </c>
      <c r="C163" s="51"/>
      <c r="D163" s="51" t="s">
        <v>52</v>
      </c>
      <c r="E163" s="45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25.5" hidden="false" customHeight="true" outlineLevel="0" collapsed="false">
      <c r="A164" s="53" t="s">
        <v>18</v>
      </c>
      <c r="B164" s="20"/>
      <c r="C164" s="20"/>
      <c r="D164" s="2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6.8" hidden="false" customHeight="false" outlineLevel="0" collapsed="false">
      <c r="A165" s="30" t="s">
        <v>11</v>
      </c>
      <c r="B165" s="22" t="n">
        <f aca="false">SUM(B162:B164)</f>
        <v>34750</v>
      </c>
      <c r="C165" s="22"/>
      <c r="D165" s="31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6.8" hidden="false" customHeight="false" outlineLevel="0" collapsed="false">
      <c r="A166" s="55"/>
      <c r="B166" s="56"/>
      <c r="C166" s="56"/>
      <c r="D166" s="57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6.8" hidden="false" customHeight="false" outlineLevel="0" collapsed="false">
      <c r="A167" s="13" t="s">
        <v>20</v>
      </c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8.25" hidden="false" customHeight="true" outlineLevel="0" collapsed="false">
      <c r="A168" s="13"/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6.8" hidden="false" customHeight="false" outlineLevel="0" collapsed="false">
      <c r="A169" s="17" t="s">
        <v>13</v>
      </c>
      <c r="B169" s="17" t="s">
        <v>21</v>
      </c>
      <c r="C169" s="18"/>
      <c r="D169" s="18"/>
      <c r="E169" s="18"/>
      <c r="F169" s="18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6.8" hidden="false" customHeight="false" outlineLevel="0" collapsed="false">
      <c r="A170" s="33" t="s">
        <v>22</v>
      </c>
      <c r="B170" s="34" t="n">
        <v>11700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6.8" hidden="false" customHeight="false" outlineLevel="0" collapsed="false">
      <c r="A171" s="33" t="s">
        <v>17</v>
      </c>
      <c r="B171" s="34" t="n">
        <v>41400</v>
      </c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6.8" hidden="false" customHeight="false" outlineLevel="0" collapsed="false">
      <c r="A172" s="33" t="s">
        <v>18</v>
      </c>
      <c r="B172" s="34" t="n">
        <v>15650</v>
      </c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6.8" hidden="false" customHeight="false" outlineLevel="0" collapsed="false">
      <c r="A173" s="25" t="s">
        <v>11</v>
      </c>
      <c r="B173" s="35" t="n">
        <f aca="false">SUM(B170:B172)</f>
        <v>68750</v>
      </c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6.8" hidden="false" customHeight="false" outlineLevel="0" collapsed="false">
      <c r="A174" s="36"/>
      <c r="B174" s="37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2" hidden="false" customHeight="false" outlineLevel="0" collapsed="false">
      <c r="A175" s="0"/>
      <c r="B175" s="0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2" hidden="false" customHeight="false" outlineLevel="0" collapsed="false">
      <c r="A176" s="39" t="s">
        <v>23</v>
      </c>
      <c r="B176" s="39" t="s">
        <v>24</v>
      </c>
      <c r="C176" s="39" t="s">
        <v>25</v>
      </c>
      <c r="D176" s="39" t="s">
        <v>26</v>
      </c>
      <c r="E176" s="41" t="s">
        <v>27</v>
      </c>
      <c r="F176" s="41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2" hidden="false" customHeight="false" outlineLevel="0" collapsed="false">
      <c r="A177" s="26"/>
      <c r="B177" s="26"/>
      <c r="C177" s="26"/>
      <c r="D177" s="26"/>
      <c r="E177" s="26"/>
      <c r="F177" s="26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2" hidden="false" customHeight="false" outlineLevel="0" collapsed="false">
      <c r="A178" s="26"/>
      <c r="B178" s="26"/>
      <c r="C178" s="26"/>
      <c r="D178" s="26"/>
      <c r="E178" s="26"/>
      <c r="F178" s="26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2" hidden="false" customHeight="false" outlineLevel="0" collapsed="false">
      <c r="A179" s="26"/>
      <c r="B179" s="26"/>
      <c r="C179" s="26"/>
      <c r="D179" s="26"/>
      <c r="E179" s="26"/>
      <c r="F179" s="26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2" hidden="false" customHeight="false" outlineLevel="0" collapsed="false">
      <c r="A180" s="26"/>
      <c r="B180" s="26"/>
      <c r="C180" s="26"/>
      <c r="D180" s="26"/>
      <c r="E180" s="26"/>
      <c r="F180" s="26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2" hidden="false" customHeight="false" outlineLevel="0" collapsed="false">
      <c r="A181" s="39" t="s">
        <v>34</v>
      </c>
      <c r="B181" s="39"/>
      <c r="C181" s="39"/>
      <c r="D181" s="39"/>
      <c r="E181" s="41" t="s">
        <v>29</v>
      </c>
      <c r="F181" s="41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5" customFormat="false" ht="13.8" hidden="false" customHeight="false" outlineLevel="0" collapsed="false">
      <c r="A185" s="2" t="s">
        <v>0</v>
      </c>
      <c r="B185" s="0"/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8.6" hidden="false" customHeight="true" outlineLevel="0" collapsed="false">
      <c r="A186" s="42" t="s">
        <v>42</v>
      </c>
      <c r="B186" s="42"/>
      <c r="C186" s="42"/>
      <c r="D186" s="42"/>
      <c r="E186" s="42"/>
      <c r="F186" s="43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true" outlineLevel="0" collapsed="false">
      <c r="A187" s="10" t="s">
        <v>2</v>
      </c>
      <c r="B187" s="10"/>
      <c r="C187" s="10"/>
      <c r="D187" s="10"/>
      <c r="E187" s="10"/>
      <c r="F187" s="44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6.8" hidden="false" customHeight="false" outlineLevel="0" collapsed="false">
      <c r="A188" s="13" t="s">
        <v>3</v>
      </c>
      <c r="B188" s="14"/>
      <c r="C188" s="14"/>
      <c r="D188" s="46"/>
      <c r="E188" s="15" t="s">
        <v>4</v>
      </c>
      <c r="F188" s="15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33.6" hidden="false" customHeight="false" outlineLevel="0" collapsed="false">
      <c r="A189" s="17" t="s">
        <v>5</v>
      </c>
      <c r="B189" s="17" t="s">
        <v>5</v>
      </c>
      <c r="C189" s="17" t="s">
        <v>39</v>
      </c>
      <c r="D189" s="17" t="s">
        <v>43</v>
      </c>
      <c r="E189" s="17" t="s">
        <v>7</v>
      </c>
      <c r="F189" s="17" t="s">
        <v>8</v>
      </c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9.5" hidden="false" customHeight="true" outlineLevel="0" collapsed="false">
      <c r="A190" s="19" t="s">
        <v>9</v>
      </c>
      <c r="B190" s="20"/>
      <c r="C190" s="20" t="n">
        <v>610</v>
      </c>
      <c r="D190" s="20" t="n">
        <v>120</v>
      </c>
      <c r="E190" s="20" t="n">
        <v>610</v>
      </c>
      <c r="F190" s="47" t="n">
        <f aca="false">B190+C190+D190-E190</f>
        <v>120</v>
      </c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9.5" hidden="false" customHeight="true" outlineLevel="0" collapsed="false">
      <c r="A191" s="19" t="s">
        <v>10</v>
      </c>
      <c r="B191" s="20"/>
      <c r="C191" s="20" t="n">
        <v>219047</v>
      </c>
      <c r="D191" s="20" t="n">
        <f aca="false">335971+88</f>
        <v>336059</v>
      </c>
      <c r="E191" s="20" t="n">
        <f aca="false">219047+25705.4</f>
        <v>244752.4</v>
      </c>
      <c r="F191" s="47" t="n">
        <f aca="false">B191+C191+D191-E191</f>
        <v>310353.6</v>
      </c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6.8" hidden="false" customHeight="false" outlineLevel="0" collapsed="false">
      <c r="A192" s="21" t="s">
        <v>11</v>
      </c>
      <c r="B192" s="22" t="n">
        <f aca="false">SUM(B190:B191)</f>
        <v>0</v>
      </c>
      <c r="C192" s="22" t="n">
        <f aca="false">SUM(C190:C191)</f>
        <v>219657</v>
      </c>
      <c r="D192" s="22" t="n">
        <f aca="false">SUM(D190:D191)</f>
        <v>336179</v>
      </c>
      <c r="E192" s="22" t="n">
        <f aca="false">SUM(E190:E191)</f>
        <v>245362.4</v>
      </c>
      <c r="F192" s="48" t="n">
        <f aca="false">SUM(F190:F191)</f>
        <v>310473.6</v>
      </c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6.8" hidden="false" customHeight="false" outlineLevel="0" collapsed="false">
      <c r="A193" s="14" t="s">
        <v>44</v>
      </c>
      <c r="B193" s="14"/>
      <c r="C193" s="14"/>
      <c r="D193" s="14"/>
      <c r="E193" s="16"/>
      <c r="F193" s="16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6.8" hidden="false" customHeight="false" outlineLevel="0" collapsed="false">
      <c r="A194" s="14" t="s">
        <v>45</v>
      </c>
      <c r="B194" s="14"/>
      <c r="C194" s="14"/>
      <c r="D194" s="14"/>
      <c r="E194" s="16"/>
      <c r="F194" s="16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6.8" hidden="false" customHeight="false" outlineLevel="0" collapsed="false">
      <c r="A195" s="14" t="s">
        <v>46</v>
      </c>
      <c r="B195" s="14"/>
      <c r="C195" s="14"/>
      <c r="D195" s="14"/>
      <c r="E195" s="16"/>
      <c r="F195" s="16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6.8" hidden="false" customHeight="false" outlineLevel="0" collapsed="false">
      <c r="A196" s="13" t="s">
        <v>12</v>
      </c>
      <c r="B196" s="13"/>
      <c r="C196" s="13"/>
      <c r="D196" s="13"/>
      <c r="E196" s="24"/>
      <c r="F196" s="24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6.8" hidden="false" customHeight="false" outlineLevel="0" collapsed="false">
      <c r="A197" s="13" t="s">
        <v>47</v>
      </c>
      <c r="B197" s="13"/>
      <c r="C197" s="13"/>
      <c r="D197" s="13"/>
      <c r="E197" s="24"/>
      <c r="F197" s="24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33.6" hidden="false" customHeight="false" outlineLevel="0" collapsed="false">
      <c r="A198" s="25" t="s">
        <v>13</v>
      </c>
      <c r="B198" s="17" t="s">
        <v>48</v>
      </c>
      <c r="C198" s="25" t="s">
        <v>15</v>
      </c>
      <c r="D198" s="17" t="s">
        <v>16</v>
      </c>
      <c r="E198" s="0"/>
      <c r="F198" s="45" t="n">
        <f aca="false">30500+B208</f>
        <v>65250</v>
      </c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33.6" hidden="false" customHeight="false" outlineLevel="0" collapsed="false">
      <c r="A199" s="49" t="s">
        <v>49</v>
      </c>
      <c r="B199" s="50"/>
      <c r="C199" s="19"/>
      <c r="D199" s="51"/>
      <c r="E199" s="16"/>
      <c r="F199" s="16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6.8" hidden="false" customHeight="false" outlineLevel="0" collapsed="false">
      <c r="A200" s="49" t="s">
        <v>50</v>
      </c>
      <c r="B200" s="19" t="n">
        <f aca="false">42900+30500-1700</f>
        <v>71700</v>
      </c>
      <c r="C200" s="51" t="n">
        <v>59.85</v>
      </c>
      <c r="D200" s="51" t="n">
        <f aca="false">E192/B200</f>
        <v>3.42206973500697</v>
      </c>
      <c r="E200" s="52"/>
      <c r="F200" s="16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6.8" hidden="false" customHeight="false" outlineLevel="0" collapsed="false">
      <c r="A201" s="53" t="s">
        <v>18</v>
      </c>
      <c r="B201" s="20"/>
      <c r="C201" s="20"/>
      <c r="D201" s="2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6.8" hidden="false" customHeight="false" outlineLevel="0" collapsed="false">
      <c r="A202" s="30" t="s">
        <v>11</v>
      </c>
      <c r="B202" s="22" t="n">
        <f aca="false">SUM(B199:B201)</f>
        <v>71700</v>
      </c>
      <c r="C202" s="22"/>
      <c r="D202" s="54" t="n">
        <f aca="false">D200</f>
        <v>3.42206973500697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6.8" hidden="false" customHeight="false" outlineLevel="0" collapsed="false">
      <c r="A203" s="23" t="s">
        <v>51</v>
      </c>
      <c r="B203" s="0"/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33.6" hidden="false" customHeight="false" outlineLevel="0" collapsed="false">
      <c r="A204" s="25" t="s">
        <v>13</v>
      </c>
      <c r="B204" s="17" t="s">
        <v>48</v>
      </c>
      <c r="C204" s="25" t="s">
        <v>15</v>
      </c>
      <c r="D204" s="17" t="s">
        <v>16</v>
      </c>
      <c r="E204" s="0"/>
      <c r="F204" s="0"/>
      <c r="G204" s="45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33.6" hidden="false" customHeight="false" outlineLevel="0" collapsed="false">
      <c r="A205" s="49" t="s">
        <v>49</v>
      </c>
      <c r="B205" s="50" t="n">
        <v>1200</v>
      </c>
      <c r="C205" s="19"/>
      <c r="D205" s="51" t="s">
        <v>52</v>
      </c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6.8" hidden="false" customHeight="false" outlineLevel="0" collapsed="false">
      <c r="A206" s="49" t="s">
        <v>53</v>
      </c>
      <c r="B206" s="19" t="n">
        <v>33550</v>
      </c>
      <c r="C206" s="51"/>
      <c r="D206" s="51" t="s">
        <v>52</v>
      </c>
      <c r="E206" s="45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6.8" hidden="false" customHeight="false" outlineLevel="0" collapsed="false">
      <c r="A207" s="53" t="s">
        <v>18</v>
      </c>
      <c r="B207" s="20"/>
      <c r="C207" s="20"/>
      <c r="D207" s="2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6.8" hidden="false" customHeight="false" outlineLevel="0" collapsed="false">
      <c r="A208" s="30" t="s">
        <v>11</v>
      </c>
      <c r="B208" s="22" t="n">
        <f aca="false">SUM(B205:B207)</f>
        <v>34750</v>
      </c>
      <c r="C208" s="22"/>
      <c r="D208" s="31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6.8" hidden="false" customHeight="false" outlineLevel="0" collapsed="false">
      <c r="A209" s="55"/>
      <c r="B209" s="56"/>
      <c r="C209" s="56"/>
      <c r="D209" s="57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6.8" hidden="false" customHeight="false" outlineLevel="0" collapsed="false">
      <c r="A210" s="13" t="s">
        <v>20</v>
      </c>
      <c r="B210" s="0"/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6.8" hidden="false" customHeight="false" outlineLevel="0" collapsed="false">
      <c r="A211" s="13"/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6.8" hidden="false" customHeight="false" outlineLevel="0" collapsed="false">
      <c r="A212" s="17" t="s">
        <v>13</v>
      </c>
      <c r="B212" s="17" t="s">
        <v>21</v>
      </c>
      <c r="C212" s="18"/>
      <c r="D212" s="18"/>
      <c r="E212" s="18"/>
      <c r="F212" s="18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6.8" hidden="false" customHeight="false" outlineLevel="0" collapsed="false">
      <c r="A213" s="33" t="s">
        <v>22</v>
      </c>
      <c r="B213" s="34" t="n">
        <v>11700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6.8" hidden="false" customHeight="false" outlineLevel="0" collapsed="false">
      <c r="A214" s="33" t="s">
        <v>17</v>
      </c>
      <c r="B214" s="34" t="n">
        <v>41400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6.8" hidden="false" customHeight="false" outlineLevel="0" collapsed="false">
      <c r="A215" s="33" t="s">
        <v>18</v>
      </c>
      <c r="B215" s="34" t="n">
        <v>15650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6.8" hidden="false" customHeight="false" outlineLevel="0" collapsed="false">
      <c r="A216" s="25" t="s">
        <v>11</v>
      </c>
      <c r="B216" s="35" t="n">
        <f aca="false">SUM(B213:B215)</f>
        <v>68750</v>
      </c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6.8" hidden="false" customHeight="false" outlineLevel="0" collapsed="false">
      <c r="A217" s="36"/>
      <c r="B217" s="37"/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2" hidden="false" customHeight="false" outlineLevel="0" collapsed="false">
      <c r="A218" s="0"/>
      <c r="B218" s="0"/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2" hidden="false" customHeight="false" outlineLevel="0" collapsed="false">
      <c r="A219" s="39" t="s">
        <v>23</v>
      </c>
      <c r="B219" s="39" t="s">
        <v>24</v>
      </c>
      <c r="C219" s="39" t="s">
        <v>25</v>
      </c>
      <c r="D219" s="39" t="s">
        <v>26</v>
      </c>
      <c r="E219" s="41" t="s">
        <v>27</v>
      </c>
      <c r="F219" s="41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2" hidden="false" customHeight="false" outlineLevel="0" collapsed="false">
      <c r="A220" s="26"/>
      <c r="B220" s="26"/>
      <c r="C220" s="26"/>
      <c r="D220" s="26"/>
      <c r="E220" s="26"/>
      <c r="F220" s="26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2" hidden="false" customHeight="false" outlineLevel="0" collapsed="false">
      <c r="A221" s="26"/>
      <c r="B221" s="26"/>
      <c r="C221" s="26"/>
      <c r="D221" s="26"/>
      <c r="E221" s="26"/>
      <c r="F221" s="26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2" hidden="false" customHeight="false" outlineLevel="0" collapsed="false">
      <c r="A222" s="26"/>
      <c r="B222" s="26"/>
      <c r="C222" s="26"/>
      <c r="D222" s="26"/>
      <c r="E222" s="26"/>
      <c r="F222" s="26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2" hidden="false" customHeight="false" outlineLevel="0" collapsed="false">
      <c r="A223" s="26"/>
      <c r="B223" s="26"/>
      <c r="C223" s="26"/>
      <c r="D223" s="26"/>
      <c r="E223" s="26"/>
      <c r="F223" s="26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2" hidden="false" customHeight="false" outlineLevel="0" collapsed="false">
      <c r="A224" s="39" t="s">
        <v>34</v>
      </c>
      <c r="B224" s="39"/>
      <c r="C224" s="39"/>
      <c r="D224" s="39"/>
      <c r="E224" s="41" t="s">
        <v>29</v>
      </c>
      <c r="F224" s="41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8" customFormat="false" ht="13.8" hidden="false" customHeight="false" outlineLevel="0" collapsed="false">
      <c r="A228" s="2" t="s">
        <v>0</v>
      </c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27" hidden="false" customHeight="true" outlineLevel="0" collapsed="false">
      <c r="A229" s="42" t="s">
        <v>54</v>
      </c>
      <c r="B229" s="42"/>
      <c r="C229" s="42"/>
      <c r="D229" s="42"/>
      <c r="E229" s="42"/>
      <c r="F229" s="43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9.5" hidden="false" customHeight="true" outlineLevel="0" collapsed="false">
      <c r="A230" s="10" t="s">
        <v>2</v>
      </c>
      <c r="B230" s="10"/>
      <c r="C230" s="10"/>
      <c r="D230" s="10"/>
      <c r="E230" s="10"/>
      <c r="F230" s="44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6.8" hidden="false" customHeight="false" outlineLevel="0" collapsed="false">
      <c r="A231" s="13" t="s">
        <v>3</v>
      </c>
      <c r="B231" s="14"/>
      <c r="C231" s="14"/>
      <c r="D231" s="46"/>
      <c r="E231" s="46" t="s">
        <v>4</v>
      </c>
      <c r="F231" s="46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33.6" hidden="false" customHeight="false" outlineLevel="0" collapsed="false">
      <c r="A232" s="17" t="s">
        <v>5</v>
      </c>
      <c r="B232" s="17" t="s">
        <v>5</v>
      </c>
      <c r="C232" s="17" t="s">
        <v>55</v>
      </c>
      <c r="D232" s="17" t="s">
        <v>7</v>
      </c>
      <c r="E232" s="17" t="s">
        <v>8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27.75" hidden="false" customHeight="true" outlineLevel="0" collapsed="false">
      <c r="A233" s="19" t="s">
        <v>9</v>
      </c>
      <c r="B233" s="20" t="n">
        <f aca="false">F190</f>
        <v>120</v>
      </c>
      <c r="C233" s="20"/>
      <c r="D233" s="20"/>
      <c r="E233" s="47" t="n">
        <f aca="false">B233+C233-D233</f>
        <v>120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26.25" hidden="false" customHeight="true" outlineLevel="0" collapsed="false">
      <c r="A234" s="19" t="s">
        <v>10</v>
      </c>
      <c r="B234" s="20" t="n">
        <f aca="false">F191</f>
        <v>310353.6</v>
      </c>
      <c r="C234" s="20" t="n">
        <f aca="false">235086</f>
        <v>235086</v>
      </c>
      <c r="D234" s="20"/>
      <c r="E234" s="47" t="n">
        <f aca="false">B234+C234-D234</f>
        <v>545439.6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36.75" hidden="false" customHeight="true" outlineLevel="0" collapsed="false">
      <c r="A235" s="58" t="s">
        <v>56</v>
      </c>
      <c r="B235" s="20"/>
      <c r="C235" s="20" t="n">
        <v>210</v>
      </c>
      <c r="D235" s="20"/>
      <c r="E235" s="47" t="n">
        <f aca="false">B235+C235-D235</f>
        <v>210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8" hidden="false" customHeight="true" outlineLevel="0" collapsed="false">
      <c r="A236" s="21" t="s">
        <v>11</v>
      </c>
      <c r="B236" s="22" t="n">
        <f aca="false">SUM(B233:B235)</f>
        <v>310473.6</v>
      </c>
      <c r="C236" s="22" t="n">
        <f aca="false">SUM(C233:C235)</f>
        <v>235296</v>
      </c>
      <c r="D236" s="22" t="n">
        <f aca="false">SUM(D233:D234)</f>
        <v>0</v>
      </c>
      <c r="E236" s="48" t="n">
        <f aca="false">SUM(E233:E235)</f>
        <v>545769.6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6.8" hidden="false" customHeight="false" outlineLevel="0" collapsed="false">
      <c r="A237" s="14" t="s">
        <v>57</v>
      </c>
      <c r="B237" s="14"/>
      <c r="C237" s="14"/>
      <c r="D237" s="14"/>
      <c r="E237" s="16"/>
      <c r="F237" s="16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6.8" hidden="false" customHeight="false" outlineLevel="0" collapsed="false">
      <c r="A238" s="13" t="s">
        <v>12</v>
      </c>
      <c r="B238" s="13"/>
      <c r="C238" s="13"/>
      <c r="D238" s="13"/>
      <c r="E238" s="24"/>
      <c r="F238" s="24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6.8" hidden="false" customHeight="false" outlineLevel="0" collapsed="false">
      <c r="A239" s="23" t="s">
        <v>51</v>
      </c>
      <c r="B239" s="0"/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33.6" hidden="false" customHeight="false" outlineLevel="0" collapsed="false">
      <c r="A240" s="25" t="s">
        <v>13</v>
      </c>
      <c r="B240" s="17" t="s">
        <v>48</v>
      </c>
      <c r="C240" s="17" t="s">
        <v>58</v>
      </c>
      <c r="D240" s="17" t="s">
        <v>59</v>
      </c>
      <c r="E240" s="59" t="s">
        <v>16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33.6" hidden="false" customHeight="false" outlineLevel="0" collapsed="false">
      <c r="A241" s="49" t="s">
        <v>49</v>
      </c>
      <c r="B241" s="50" t="n">
        <v>1200</v>
      </c>
      <c r="C241" s="19"/>
      <c r="D241" s="51"/>
      <c r="E241" s="6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34.5" hidden="false" customHeight="true" outlineLevel="0" collapsed="false">
      <c r="A242" s="49" t="s">
        <v>53</v>
      </c>
      <c r="B242" s="19" t="n">
        <v>33550</v>
      </c>
      <c r="C242" s="19" t="n">
        <v>98000</v>
      </c>
      <c r="D242" s="51" t="n">
        <v>62</v>
      </c>
      <c r="E242" s="61" t="s">
        <v>60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23.25" hidden="false" customHeight="true" outlineLevel="0" collapsed="false">
      <c r="A243" s="53" t="s">
        <v>18</v>
      </c>
      <c r="B243" s="20"/>
      <c r="C243" s="20"/>
      <c r="D243" s="20"/>
      <c r="E243" s="6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6.8" hidden="false" customHeight="false" outlineLevel="0" collapsed="false">
      <c r="A244" s="30" t="s">
        <v>11</v>
      </c>
      <c r="B244" s="22" t="n">
        <f aca="false">SUM(B241:B243)</f>
        <v>34750</v>
      </c>
      <c r="C244" s="22" t="n">
        <f aca="false">SUM(C241:C243)</f>
        <v>98000</v>
      </c>
      <c r="D244" s="31"/>
      <c r="E244" s="6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6.8" hidden="false" customHeight="false" outlineLevel="0" collapsed="false">
      <c r="A245" s="55"/>
      <c r="B245" s="56"/>
      <c r="C245" s="56"/>
      <c r="D245" s="57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6.8" hidden="false" customHeight="false" outlineLevel="0" collapsed="false">
      <c r="A246" s="13" t="s">
        <v>20</v>
      </c>
      <c r="B246" s="0"/>
      <c r="C246" s="0"/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6.8" hidden="false" customHeight="false" outlineLevel="0" collapsed="false">
      <c r="A247" s="13"/>
      <c r="B247" s="0"/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6.8" hidden="false" customHeight="false" outlineLevel="0" collapsed="false">
      <c r="A248" s="17" t="s">
        <v>13</v>
      </c>
      <c r="B248" s="17" t="s">
        <v>21</v>
      </c>
      <c r="C248" s="18"/>
      <c r="D248" s="18"/>
      <c r="E248" s="18"/>
      <c r="F248" s="18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6.8" hidden="false" customHeight="false" outlineLevel="0" collapsed="false">
      <c r="A249" s="33" t="s">
        <v>22</v>
      </c>
      <c r="B249" s="34" t="n">
        <v>11700</v>
      </c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6.8" hidden="false" customHeight="false" outlineLevel="0" collapsed="false">
      <c r="A250" s="33" t="s">
        <v>17</v>
      </c>
      <c r="B250" s="34" t="n">
        <v>49400</v>
      </c>
      <c r="C250" s="0"/>
      <c r="D250" s="0"/>
      <c r="E250" s="0"/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6.8" hidden="false" customHeight="false" outlineLevel="0" collapsed="false">
      <c r="A251" s="33" t="s">
        <v>18</v>
      </c>
      <c r="B251" s="34" t="n">
        <v>15650</v>
      </c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6.8" hidden="false" customHeight="false" outlineLevel="0" collapsed="false">
      <c r="A252" s="25" t="s">
        <v>11</v>
      </c>
      <c r="B252" s="35" t="n">
        <f aca="false">SUM(B249:B251)</f>
        <v>76750</v>
      </c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6.8" hidden="false" customHeight="false" outlineLevel="0" collapsed="false">
      <c r="A253" s="36"/>
      <c r="B253" s="37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2" hidden="false" customHeight="false" outlineLevel="0" collapsed="false">
      <c r="A254" s="0"/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2" hidden="false" customHeight="false" outlineLevel="0" collapsed="false">
      <c r="A255" s="39" t="s">
        <v>23</v>
      </c>
      <c r="B255" s="39" t="s">
        <v>24</v>
      </c>
      <c r="C255" s="39" t="s">
        <v>25</v>
      </c>
      <c r="D255" s="39" t="s">
        <v>26</v>
      </c>
      <c r="E255" s="41" t="s">
        <v>27</v>
      </c>
      <c r="F255" s="41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2" hidden="false" customHeight="false" outlineLevel="0" collapsed="false">
      <c r="A256" s="26"/>
      <c r="B256" s="26"/>
      <c r="C256" s="26"/>
      <c r="D256" s="26"/>
      <c r="E256" s="26"/>
      <c r="F256" s="26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2" hidden="false" customHeight="false" outlineLevel="0" collapsed="false">
      <c r="A257" s="26"/>
      <c r="B257" s="26"/>
      <c r="C257" s="26"/>
      <c r="D257" s="26"/>
      <c r="E257" s="26"/>
      <c r="F257" s="26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2" hidden="false" customHeight="false" outlineLevel="0" collapsed="false">
      <c r="A258" s="26"/>
      <c r="B258" s="26"/>
      <c r="C258" s="26"/>
      <c r="D258" s="26"/>
      <c r="E258" s="26"/>
      <c r="F258" s="26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2" hidden="false" customHeight="false" outlineLevel="0" collapsed="false">
      <c r="A259" s="26"/>
      <c r="B259" s="26"/>
      <c r="C259" s="26"/>
      <c r="D259" s="26"/>
      <c r="E259" s="26"/>
      <c r="F259" s="26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2" hidden="false" customHeight="false" outlineLevel="0" collapsed="false">
      <c r="A260" s="39" t="s">
        <v>34</v>
      </c>
      <c r="B260" s="39"/>
      <c r="C260" s="39"/>
      <c r="D260" s="39"/>
      <c r="E260" s="41" t="s">
        <v>29</v>
      </c>
      <c r="F260" s="41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5" customFormat="false" ht="13.8" hidden="false" customHeight="false" outlineLevel="0" collapsed="false">
      <c r="A265" s="2" t="s">
        <v>0</v>
      </c>
      <c r="B265" s="0"/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8.6" hidden="false" customHeight="true" outlineLevel="0" collapsed="false">
      <c r="A266" s="42" t="s">
        <v>61</v>
      </c>
      <c r="B266" s="42"/>
      <c r="C266" s="42"/>
      <c r="D266" s="42"/>
      <c r="E266" s="42"/>
      <c r="F266" s="43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true" outlineLevel="0" collapsed="false">
      <c r="A267" s="10" t="s">
        <v>2</v>
      </c>
      <c r="B267" s="10"/>
      <c r="C267" s="10"/>
      <c r="D267" s="10"/>
      <c r="E267" s="10"/>
      <c r="F267" s="44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6.8" hidden="false" customHeight="false" outlineLevel="0" collapsed="false">
      <c r="A268" s="13" t="s">
        <v>3</v>
      </c>
      <c r="B268" s="14"/>
      <c r="C268" s="14"/>
      <c r="D268" s="46"/>
      <c r="E268" s="46" t="s">
        <v>4</v>
      </c>
      <c r="F268" s="46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33.6" hidden="false" customHeight="false" outlineLevel="0" collapsed="false">
      <c r="A269" s="17" t="s">
        <v>5</v>
      </c>
      <c r="B269" s="17" t="s">
        <v>5</v>
      </c>
      <c r="C269" s="17" t="s">
        <v>62</v>
      </c>
      <c r="D269" s="17" t="s">
        <v>7</v>
      </c>
      <c r="E269" s="17" t="s">
        <v>8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6.8" hidden="false" customHeight="false" outlineLevel="0" collapsed="false">
      <c r="A270" s="19" t="s">
        <v>9</v>
      </c>
      <c r="B270" s="20" t="n">
        <f aca="false">E233</f>
        <v>120</v>
      </c>
      <c r="C270" s="20" t="n">
        <f aca="false">345</f>
        <v>345</v>
      </c>
      <c r="D270" s="20"/>
      <c r="E270" s="47" t="n">
        <f aca="false">B270+C270-D270</f>
        <v>465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6.8" hidden="false" customHeight="false" outlineLevel="0" collapsed="false">
      <c r="A271" s="19" t="s">
        <v>63</v>
      </c>
      <c r="B271" s="20"/>
      <c r="C271" s="20" t="n">
        <v>10635</v>
      </c>
      <c r="D271" s="20"/>
      <c r="E271" s="47" t="n">
        <f aca="false">B271+C271-D271</f>
        <v>10635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20.25" hidden="false" customHeight="true" outlineLevel="0" collapsed="false">
      <c r="A272" s="19" t="s">
        <v>10</v>
      </c>
      <c r="B272" s="20" t="n">
        <f aca="false">E234</f>
        <v>545439.6</v>
      </c>
      <c r="C272" s="20" t="n">
        <v>302006</v>
      </c>
      <c r="D272" s="20"/>
      <c r="E272" s="47" t="n">
        <f aca="false">B272+C272-D272</f>
        <v>847445.6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34.5" hidden="false" customHeight="true" outlineLevel="0" collapsed="false">
      <c r="A273" s="58" t="s">
        <v>56</v>
      </c>
      <c r="B273" s="20" t="n">
        <f aca="false">E235</f>
        <v>210</v>
      </c>
      <c r="C273" s="20"/>
      <c r="D273" s="20"/>
      <c r="E273" s="47" t="n">
        <f aca="false">B273+C273-D273</f>
        <v>210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6.8" hidden="false" customHeight="false" outlineLevel="0" collapsed="false">
      <c r="A274" s="21" t="s">
        <v>11</v>
      </c>
      <c r="B274" s="22" t="n">
        <f aca="false">SUM(B270:B273)</f>
        <v>545769.6</v>
      </c>
      <c r="C274" s="22" t="n">
        <f aca="false">SUM(C270:C273)</f>
        <v>312986</v>
      </c>
      <c r="D274" s="22" t="n">
        <f aca="false">SUM(D270:D273)</f>
        <v>0</v>
      </c>
      <c r="E274" s="22" t="n">
        <f aca="false">SUM(E270:E273)</f>
        <v>858755.6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6.8" hidden="false" customHeight="false" outlineLevel="0" collapsed="false">
      <c r="A275" s="14" t="s">
        <v>64</v>
      </c>
      <c r="B275" s="14"/>
      <c r="C275" s="14"/>
      <c r="D275" s="14"/>
      <c r="E275" s="16"/>
      <c r="F275" s="16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6.8" hidden="false" customHeight="false" outlineLevel="0" collapsed="false">
      <c r="A276" s="13" t="s">
        <v>12</v>
      </c>
      <c r="B276" s="13"/>
      <c r="C276" s="13"/>
      <c r="D276" s="13"/>
      <c r="E276" s="24"/>
      <c r="F276" s="24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6.8" hidden="false" customHeight="false" outlineLevel="0" collapsed="false">
      <c r="A277" s="23" t="s">
        <v>51</v>
      </c>
      <c r="B277" s="0"/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50.4" hidden="false" customHeight="false" outlineLevel="0" collapsed="false">
      <c r="A278" s="25" t="s">
        <v>13</v>
      </c>
      <c r="B278" s="17" t="s">
        <v>65</v>
      </c>
      <c r="C278" s="17" t="s">
        <v>58</v>
      </c>
      <c r="D278" s="17" t="s">
        <v>66</v>
      </c>
      <c r="E278" s="17" t="s">
        <v>67</v>
      </c>
      <c r="F278" s="59" t="s">
        <v>16</v>
      </c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33.6" hidden="false" customHeight="false" outlineLevel="0" collapsed="false">
      <c r="A279" s="49" t="s">
        <v>49</v>
      </c>
      <c r="B279" s="50" t="n">
        <v>1200</v>
      </c>
      <c r="C279" s="19"/>
      <c r="D279" s="51" t="n">
        <v>1450</v>
      </c>
      <c r="E279" s="51"/>
      <c r="F279" s="6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33.6" hidden="false" customHeight="false" outlineLevel="0" collapsed="false">
      <c r="A280" s="49" t="s">
        <v>53</v>
      </c>
      <c r="B280" s="19" t="n">
        <v>33550</v>
      </c>
      <c r="C280" s="19" t="n">
        <v>98000</v>
      </c>
      <c r="D280" s="51" t="n">
        <v>72850</v>
      </c>
      <c r="E280" s="51" t="n">
        <v>61.41</v>
      </c>
      <c r="F280" s="61" t="s">
        <v>60</v>
      </c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6.8" hidden="false" customHeight="false" outlineLevel="0" collapsed="false">
      <c r="A281" s="53" t="s">
        <v>18</v>
      </c>
      <c r="B281" s="20"/>
      <c r="C281" s="20"/>
      <c r="D281" s="20"/>
      <c r="E281" s="20"/>
      <c r="F281" s="6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6.8" hidden="false" customHeight="false" outlineLevel="0" collapsed="false">
      <c r="A282" s="30" t="s">
        <v>11</v>
      </c>
      <c r="B282" s="22" t="n">
        <f aca="false">SUM(B279:B281)</f>
        <v>34750</v>
      </c>
      <c r="C282" s="22" t="n">
        <f aca="false">SUM(C279:C281)</f>
        <v>98000</v>
      </c>
      <c r="D282" s="31" t="n">
        <f aca="false">SUM(D279:D281)</f>
        <v>74300</v>
      </c>
      <c r="E282" s="31"/>
      <c r="F282" s="6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6.8" hidden="false" customHeight="false" outlineLevel="0" collapsed="false">
      <c r="A283" s="55"/>
      <c r="B283" s="56"/>
      <c r="C283" s="56"/>
      <c r="D283" s="57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6.8" hidden="false" customHeight="false" outlineLevel="0" collapsed="false">
      <c r="A284" s="13" t="s">
        <v>20</v>
      </c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6.8" hidden="false" customHeight="false" outlineLevel="0" collapsed="false">
      <c r="A285" s="13"/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6.8" hidden="false" customHeight="false" outlineLevel="0" collapsed="false">
      <c r="A286" s="17" t="s">
        <v>13</v>
      </c>
      <c r="B286" s="17" t="s">
        <v>21</v>
      </c>
      <c r="C286" s="18"/>
      <c r="D286" s="18"/>
      <c r="E286" s="18"/>
      <c r="F286" s="18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6.8" hidden="false" customHeight="false" outlineLevel="0" collapsed="false">
      <c r="A287" s="33" t="s">
        <v>22</v>
      </c>
      <c r="B287" s="34" t="n">
        <v>12450</v>
      </c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6.8" hidden="false" customHeight="false" outlineLevel="0" collapsed="false">
      <c r="A288" s="33" t="s">
        <v>17</v>
      </c>
      <c r="B288" s="34" t="n">
        <v>41250</v>
      </c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6.8" hidden="false" customHeight="false" outlineLevel="0" collapsed="false">
      <c r="A289" s="33" t="s">
        <v>18</v>
      </c>
      <c r="B289" s="34" t="n">
        <v>15650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6.8" hidden="false" customHeight="false" outlineLevel="0" collapsed="false">
      <c r="A290" s="25" t="s">
        <v>11</v>
      </c>
      <c r="B290" s="35" t="n">
        <f aca="false">SUM(B287:B289)</f>
        <v>69350</v>
      </c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6.8" hidden="false" customHeight="false" outlineLevel="0" collapsed="false">
      <c r="A291" s="36"/>
      <c r="B291" s="37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2" hidden="false" customHeight="false" outlineLevel="0" collapsed="false">
      <c r="A292" s="0"/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2" hidden="false" customHeight="false" outlineLevel="0" collapsed="false">
      <c r="A293" s="39" t="s">
        <v>23</v>
      </c>
      <c r="B293" s="39" t="s">
        <v>24</v>
      </c>
      <c r="C293" s="39" t="s">
        <v>25</v>
      </c>
      <c r="D293" s="39" t="s">
        <v>26</v>
      </c>
      <c r="E293" s="41" t="s">
        <v>27</v>
      </c>
      <c r="F293" s="41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2" hidden="false" customHeight="false" outlineLevel="0" collapsed="false">
      <c r="A294" s="26"/>
      <c r="B294" s="26"/>
      <c r="C294" s="26"/>
      <c r="D294" s="26"/>
      <c r="E294" s="26"/>
      <c r="F294" s="26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2" hidden="false" customHeight="false" outlineLevel="0" collapsed="false">
      <c r="A295" s="26"/>
      <c r="B295" s="26"/>
      <c r="C295" s="26"/>
      <c r="D295" s="26"/>
      <c r="E295" s="26"/>
      <c r="F295" s="26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2" hidden="false" customHeight="false" outlineLevel="0" collapsed="false">
      <c r="A296" s="26"/>
      <c r="B296" s="26"/>
      <c r="C296" s="26"/>
      <c r="D296" s="26"/>
      <c r="E296" s="26"/>
      <c r="F296" s="26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.2" hidden="false" customHeight="false" outlineLevel="0" collapsed="false">
      <c r="A297" s="26"/>
      <c r="B297" s="26"/>
      <c r="C297" s="26"/>
      <c r="D297" s="26"/>
      <c r="E297" s="26"/>
      <c r="F297" s="26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2" hidden="false" customHeight="false" outlineLevel="0" collapsed="false">
      <c r="A298" s="39" t="s">
        <v>34</v>
      </c>
      <c r="B298" s="39"/>
      <c r="C298" s="39"/>
      <c r="D298" s="39"/>
      <c r="E298" s="41" t="s">
        <v>29</v>
      </c>
      <c r="F298" s="41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304" s="16" customFormat="true" ht="24.75" hidden="false" customHeight="true" outlineLevel="0" collapsed="false">
      <c r="A304" s="62" t="s">
        <v>0</v>
      </c>
    </row>
    <row r="305" customFormat="false" ht="18.6" hidden="false" customHeight="true" outlineLevel="0" collapsed="false">
      <c r="A305" s="42" t="s">
        <v>68</v>
      </c>
      <c r="B305" s="42"/>
      <c r="C305" s="42"/>
      <c r="D305" s="42"/>
      <c r="E305" s="42"/>
      <c r="F305" s="43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true" outlineLevel="0" collapsed="false">
      <c r="A306" s="10" t="s">
        <v>2</v>
      </c>
      <c r="B306" s="10"/>
      <c r="C306" s="10"/>
      <c r="D306" s="10"/>
      <c r="E306" s="10"/>
      <c r="F306" s="44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6.8" hidden="false" customHeight="false" outlineLevel="0" collapsed="false">
      <c r="A307" s="13" t="s">
        <v>3</v>
      </c>
      <c r="B307" s="14"/>
      <c r="C307" s="14"/>
      <c r="D307" s="46"/>
      <c r="E307" s="46" t="s">
        <v>4</v>
      </c>
      <c r="F307" s="46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33.6" hidden="false" customHeight="false" outlineLevel="0" collapsed="false">
      <c r="A308" s="17" t="s">
        <v>5</v>
      </c>
      <c r="B308" s="17" t="s">
        <v>5</v>
      </c>
      <c r="C308" s="17" t="s">
        <v>69</v>
      </c>
      <c r="D308" s="17" t="s">
        <v>7</v>
      </c>
      <c r="E308" s="17" t="s">
        <v>8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6.8" hidden="false" customHeight="false" outlineLevel="0" collapsed="false">
      <c r="A309" s="19" t="s">
        <v>9</v>
      </c>
      <c r="B309" s="20" t="n">
        <f aca="false">E270</f>
        <v>465</v>
      </c>
      <c r="C309" s="20" t="n">
        <v>265</v>
      </c>
      <c r="D309" s="20" t="n">
        <f aca="false">B309+C309</f>
        <v>730</v>
      </c>
      <c r="E309" s="47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6.8" hidden="false" customHeight="false" outlineLevel="0" collapsed="false">
      <c r="A310" s="19" t="s">
        <v>63</v>
      </c>
      <c r="B310" s="20" t="n">
        <f aca="false">E271</f>
        <v>10635</v>
      </c>
      <c r="C310" s="20"/>
      <c r="D310" s="20" t="n">
        <f aca="false">B310+C310</f>
        <v>10635</v>
      </c>
      <c r="E310" s="47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6.8" hidden="false" customHeight="false" outlineLevel="0" collapsed="false">
      <c r="A311" s="19" t="s">
        <v>10</v>
      </c>
      <c r="B311" s="20" t="n">
        <f aca="false">E272</f>
        <v>847445.6</v>
      </c>
      <c r="C311" s="20" t="n">
        <f aca="false">65206</f>
        <v>65206</v>
      </c>
      <c r="D311" s="20" t="n">
        <f aca="false">B311+C311</f>
        <v>912651.6</v>
      </c>
      <c r="E311" s="47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33.6" hidden="false" customHeight="false" outlineLevel="0" collapsed="false">
      <c r="A312" s="58" t="s">
        <v>56</v>
      </c>
      <c r="B312" s="20" t="n">
        <f aca="false">E273</f>
        <v>210</v>
      </c>
      <c r="C312" s="20"/>
      <c r="D312" s="20" t="n">
        <f aca="false">B312+C312</f>
        <v>210</v>
      </c>
      <c r="E312" s="47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6.8" hidden="false" customHeight="false" outlineLevel="0" collapsed="false">
      <c r="A313" s="21" t="s">
        <v>11</v>
      </c>
      <c r="B313" s="22" t="n">
        <f aca="false">SUM(B309:B312)</f>
        <v>858755.6</v>
      </c>
      <c r="C313" s="22" t="n">
        <f aca="false">SUM(C309:C312)</f>
        <v>65471</v>
      </c>
      <c r="D313" s="22" t="n">
        <f aca="false">SUM(D309:D312)</f>
        <v>924226.6</v>
      </c>
      <c r="E313" s="22" t="n">
        <f aca="false">SUM(E309:E312)</f>
        <v>0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6.8" hidden="false" customHeight="false" outlineLevel="0" collapsed="false">
      <c r="A314" s="14" t="s">
        <v>70</v>
      </c>
      <c r="B314" s="14"/>
      <c r="C314" s="14"/>
      <c r="D314" s="14"/>
      <c r="E314" s="16"/>
      <c r="F314" s="16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6.8" hidden="false" customHeight="false" outlineLevel="0" collapsed="false">
      <c r="A315" s="13" t="s">
        <v>12</v>
      </c>
      <c r="B315" s="13"/>
      <c r="C315" s="13"/>
      <c r="D315" s="13"/>
      <c r="E315" s="24"/>
      <c r="F315" s="24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6.8" hidden="false" customHeight="false" outlineLevel="0" collapsed="false">
      <c r="A316" s="23" t="s">
        <v>71</v>
      </c>
      <c r="B316" s="0"/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50.4" hidden="false" customHeight="false" outlineLevel="0" collapsed="false">
      <c r="A317" s="25" t="s">
        <v>13</v>
      </c>
      <c r="B317" s="17" t="s">
        <v>72</v>
      </c>
      <c r="C317" s="17" t="s">
        <v>73</v>
      </c>
      <c r="D317" s="17" t="s">
        <v>74</v>
      </c>
      <c r="E317" s="59" t="s">
        <v>16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33.6" hidden="false" customHeight="false" outlineLevel="0" collapsed="false">
      <c r="A318" s="49" t="s">
        <v>49</v>
      </c>
      <c r="B318" s="50" t="n">
        <f aca="false">1200+1450</f>
        <v>2650</v>
      </c>
      <c r="C318" s="19"/>
      <c r="D318" s="51"/>
      <c r="E318" s="6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21" hidden="false" customHeight="true" outlineLevel="0" collapsed="false">
      <c r="A319" s="49" t="s">
        <v>53</v>
      </c>
      <c r="B319" s="19" t="n">
        <f aca="false">33550+98000+72850</f>
        <v>204400</v>
      </c>
      <c r="C319" s="19" t="n">
        <v>61050</v>
      </c>
      <c r="D319" s="51" t="n">
        <v>64.76</v>
      </c>
      <c r="E319" s="61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6.8" hidden="false" customHeight="false" outlineLevel="0" collapsed="false">
      <c r="A320" s="53" t="s">
        <v>18</v>
      </c>
      <c r="B320" s="20"/>
      <c r="C320" s="20"/>
      <c r="D320" s="20"/>
      <c r="E320" s="60"/>
      <c r="F320" s="63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6.8" hidden="false" customHeight="false" outlineLevel="0" collapsed="false">
      <c r="A321" s="30" t="s">
        <v>11</v>
      </c>
      <c r="B321" s="22" t="n">
        <f aca="false">SUM(B318:B320)</f>
        <v>207050</v>
      </c>
      <c r="C321" s="22" t="n">
        <f aca="false">SUM(C318:C320)</f>
        <v>61050</v>
      </c>
      <c r="D321" s="31"/>
      <c r="E321" s="54" t="n">
        <f aca="false">D313/(B321+C321)</f>
        <v>3.44732040283476</v>
      </c>
      <c r="F321" s="63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6.8" hidden="false" customHeight="false" outlineLevel="0" collapsed="false">
      <c r="A322" s="55"/>
      <c r="B322" s="56"/>
      <c r="C322" s="56"/>
      <c r="D322" s="57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6.8" hidden="false" customHeight="false" outlineLevel="0" collapsed="false">
      <c r="A323" s="13" t="s">
        <v>20</v>
      </c>
      <c r="B323" s="0"/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6.8" hidden="false" customHeight="false" outlineLevel="0" collapsed="false">
      <c r="A324" s="13"/>
      <c r="B324" s="0"/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6.8" hidden="false" customHeight="false" outlineLevel="0" collapsed="false">
      <c r="A325" s="17" t="s">
        <v>13</v>
      </c>
      <c r="B325" s="17" t="s">
        <v>21</v>
      </c>
      <c r="C325" s="18"/>
      <c r="D325" s="18"/>
      <c r="E325" s="18"/>
      <c r="F325" s="18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6.8" hidden="false" customHeight="false" outlineLevel="0" collapsed="false">
      <c r="A326" s="33" t="s">
        <v>22</v>
      </c>
      <c r="B326" s="34" t="n">
        <v>10650</v>
      </c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6.8" hidden="false" customHeight="false" outlineLevel="0" collapsed="false">
      <c r="A327" s="33" t="s">
        <v>17</v>
      </c>
      <c r="B327" s="34" t="n">
        <v>61100</v>
      </c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6.8" hidden="false" customHeight="false" outlineLevel="0" collapsed="false">
      <c r="A328" s="33" t="s">
        <v>18</v>
      </c>
      <c r="B328" s="34" t="n">
        <v>15650</v>
      </c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6.8" hidden="false" customHeight="false" outlineLevel="0" collapsed="false">
      <c r="A329" s="25" t="s">
        <v>11</v>
      </c>
      <c r="B329" s="35" t="n">
        <f aca="false">SUM(B326:B328)</f>
        <v>87400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6.8" hidden="false" customHeight="false" outlineLevel="0" collapsed="false">
      <c r="A330" s="36"/>
      <c r="B330" s="37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2" hidden="false" customHeight="false" outlineLevel="0" collapsed="false">
      <c r="A331" s="0"/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2" hidden="false" customHeight="false" outlineLevel="0" collapsed="false">
      <c r="A332" s="39" t="s">
        <v>23</v>
      </c>
      <c r="B332" s="39" t="s">
        <v>24</v>
      </c>
      <c r="C332" s="39" t="s">
        <v>25</v>
      </c>
      <c r="D332" s="39" t="s">
        <v>26</v>
      </c>
      <c r="E332" s="41" t="s">
        <v>27</v>
      </c>
      <c r="F332" s="41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2" hidden="false" customHeight="false" outlineLevel="0" collapsed="false">
      <c r="A333" s="26"/>
      <c r="B333" s="26"/>
      <c r="C333" s="26"/>
      <c r="D333" s="26"/>
      <c r="E333" s="26"/>
      <c r="F333" s="26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2" hidden="false" customHeight="false" outlineLevel="0" collapsed="false">
      <c r="A334" s="26"/>
      <c r="B334" s="26"/>
      <c r="C334" s="26"/>
      <c r="D334" s="26"/>
      <c r="E334" s="26"/>
      <c r="F334" s="26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2" hidden="false" customHeight="false" outlineLevel="0" collapsed="false">
      <c r="A335" s="26"/>
      <c r="B335" s="26"/>
      <c r="C335" s="26"/>
      <c r="D335" s="26"/>
      <c r="E335" s="26"/>
      <c r="F335" s="26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2" hidden="false" customHeight="false" outlineLevel="0" collapsed="false">
      <c r="A336" s="26"/>
      <c r="B336" s="26"/>
      <c r="C336" s="26"/>
      <c r="D336" s="26"/>
      <c r="E336" s="26"/>
      <c r="F336" s="26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2" hidden="false" customHeight="false" outlineLevel="0" collapsed="false">
      <c r="A337" s="39" t="s">
        <v>34</v>
      </c>
      <c r="B337" s="39"/>
      <c r="C337" s="39"/>
      <c r="D337" s="39"/>
      <c r="E337" s="41" t="s">
        <v>29</v>
      </c>
      <c r="F337" s="41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41" customFormat="false" ht="20.25" hidden="false" customHeight="true" outlineLevel="0" collapsed="false">
      <c r="A341" s="62" t="s">
        <v>0</v>
      </c>
      <c r="B341" s="16"/>
      <c r="C341" s="16"/>
      <c r="D341" s="16"/>
      <c r="E341" s="16"/>
      <c r="F341" s="16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8.6" hidden="false" customHeight="true" outlineLevel="0" collapsed="false">
      <c r="A342" s="42" t="s">
        <v>75</v>
      </c>
      <c r="B342" s="42"/>
      <c r="C342" s="42"/>
      <c r="D342" s="42"/>
      <c r="E342" s="42"/>
      <c r="F342" s="43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true" outlineLevel="0" collapsed="false">
      <c r="A343" s="10" t="s">
        <v>2</v>
      </c>
      <c r="B343" s="10"/>
      <c r="C343" s="10"/>
      <c r="D343" s="10"/>
      <c r="E343" s="10"/>
      <c r="F343" s="44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21" hidden="false" customHeight="true" outlineLevel="0" collapsed="false">
      <c r="A344" s="13" t="s">
        <v>3</v>
      </c>
      <c r="B344" s="14"/>
      <c r="C344" s="14"/>
      <c r="D344" s="46"/>
      <c r="E344" s="46" t="s">
        <v>4</v>
      </c>
      <c r="F344" s="46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33.6" hidden="false" customHeight="false" outlineLevel="0" collapsed="false">
      <c r="A345" s="17" t="s">
        <v>5</v>
      </c>
      <c r="B345" s="17" t="s">
        <v>5</v>
      </c>
      <c r="C345" s="17" t="s">
        <v>76</v>
      </c>
      <c r="D345" s="17" t="s">
        <v>7</v>
      </c>
      <c r="E345" s="17" t="s">
        <v>8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23.25" hidden="false" customHeight="true" outlineLevel="0" collapsed="false">
      <c r="A346" s="19" t="s">
        <v>9</v>
      </c>
      <c r="B346" s="20"/>
      <c r="C346" s="20" t="n">
        <v>55</v>
      </c>
      <c r="D346" s="20" t="n">
        <v>55</v>
      </c>
      <c r="E346" s="47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6.8" hidden="false" customHeight="false" outlineLevel="0" collapsed="false">
      <c r="A347" s="19" t="s">
        <v>63</v>
      </c>
      <c r="B347" s="20"/>
      <c r="C347" s="20"/>
      <c r="D347" s="20"/>
      <c r="E347" s="47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6.8" hidden="false" customHeight="false" outlineLevel="0" collapsed="false">
      <c r="A348" s="19" t="s">
        <v>10</v>
      </c>
      <c r="B348" s="20"/>
      <c r="C348" s="20" t="n">
        <f aca="false">111877+40</f>
        <v>111917</v>
      </c>
      <c r="D348" s="20" t="n">
        <f aca="false">C348-E348</f>
        <v>106242</v>
      </c>
      <c r="E348" s="47" t="n">
        <v>5675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33.6" hidden="false" customHeight="false" outlineLevel="0" collapsed="false">
      <c r="A349" s="58" t="s">
        <v>56</v>
      </c>
      <c r="B349" s="20"/>
      <c r="C349" s="20"/>
      <c r="D349" s="20" t="n">
        <f aca="false">B349+C349</f>
        <v>0</v>
      </c>
      <c r="E349" s="47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6.8" hidden="false" customHeight="false" outlineLevel="0" collapsed="false">
      <c r="A350" s="21" t="s">
        <v>11</v>
      </c>
      <c r="B350" s="22" t="n">
        <f aca="false">SUM(B346:B349)</f>
        <v>0</v>
      </c>
      <c r="C350" s="22" t="n">
        <f aca="false">SUM(C346:C349)</f>
        <v>111972</v>
      </c>
      <c r="D350" s="22" t="n">
        <f aca="false">SUM(D346:D349)</f>
        <v>106297</v>
      </c>
      <c r="E350" s="22" t="n">
        <f aca="false">SUM(E346:E349)</f>
        <v>5675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6.8" hidden="false" customHeight="false" outlineLevel="0" collapsed="false">
      <c r="A351" s="64" t="s">
        <v>77</v>
      </c>
      <c r="B351" s="64"/>
      <c r="C351" s="64"/>
      <c r="D351" s="64"/>
      <c r="E351" s="64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34.5" hidden="false" customHeight="true" outlineLevel="0" collapsed="false">
      <c r="A352" s="13" t="s">
        <v>12</v>
      </c>
      <c r="B352" s="13"/>
      <c r="C352" s="13"/>
      <c r="D352" s="13"/>
      <c r="E352" s="24"/>
      <c r="F352" s="24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33.6" hidden="false" customHeight="false" outlineLevel="0" collapsed="false">
      <c r="A353" s="25" t="s">
        <v>13</v>
      </c>
      <c r="B353" s="17" t="s">
        <v>78</v>
      </c>
      <c r="C353" s="17" t="s">
        <v>79</v>
      </c>
      <c r="D353" s="59" t="s">
        <v>16</v>
      </c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27.75" hidden="false" customHeight="true" outlineLevel="0" collapsed="false">
      <c r="A354" s="49" t="s">
        <v>49</v>
      </c>
      <c r="B354" s="50"/>
      <c r="C354" s="51"/>
      <c r="D354" s="6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25.5" hidden="false" customHeight="true" outlineLevel="0" collapsed="false">
      <c r="A355" s="49" t="s">
        <v>53</v>
      </c>
      <c r="B355" s="19" t="n">
        <v>31700</v>
      </c>
      <c r="C355" s="51" t="n">
        <v>63.6</v>
      </c>
      <c r="D355" s="65" t="n">
        <f aca="false">D350/B355</f>
        <v>3.35321766561514</v>
      </c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21.75" hidden="false" customHeight="true" outlineLevel="0" collapsed="false">
      <c r="A356" s="53" t="s">
        <v>18</v>
      </c>
      <c r="B356" s="20"/>
      <c r="C356" s="20"/>
      <c r="D356" s="60"/>
      <c r="E356" s="63"/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6.8" hidden="false" customHeight="false" outlineLevel="0" collapsed="false">
      <c r="A357" s="30" t="s">
        <v>11</v>
      </c>
      <c r="B357" s="22" t="n">
        <f aca="false">SUM(B354:B356)</f>
        <v>31700</v>
      </c>
      <c r="C357" s="31"/>
      <c r="D357" s="54" t="n">
        <f aca="false">D350/B357</f>
        <v>3.35321766561514</v>
      </c>
      <c r="E357" s="63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6.8" hidden="false" customHeight="false" outlineLevel="0" collapsed="false">
      <c r="A358" s="55"/>
      <c r="B358" s="56"/>
      <c r="C358" s="56"/>
      <c r="D358" s="57"/>
      <c r="E358" s="0"/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6.8" hidden="false" customHeight="false" outlineLevel="0" collapsed="false">
      <c r="A359" s="13" t="s">
        <v>20</v>
      </c>
      <c r="B359" s="0"/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6.8" hidden="false" customHeight="false" outlineLevel="0" collapsed="false">
      <c r="A360" s="13"/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6.8" hidden="false" customHeight="false" outlineLevel="0" collapsed="false">
      <c r="A361" s="17" t="s">
        <v>13</v>
      </c>
      <c r="B361" s="17" t="s">
        <v>21</v>
      </c>
      <c r="C361" s="18"/>
      <c r="D361" s="18"/>
      <c r="E361" s="18"/>
      <c r="F361" s="18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6.8" hidden="false" customHeight="false" outlineLevel="0" collapsed="false">
      <c r="A362" s="33" t="s">
        <v>22</v>
      </c>
      <c r="B362" s="34" t="n">
        <v>5950</v>
      </c>
      <c r="C362" s="0"/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6.8" hidden="false" customHeight="false" outlineLevel="0" collapsed="false">
      <c r="A363" s="33" t="s">
        <v>17</v>
      </c>
      <c r="B363" s="34" t="n">
        <f aca="false">B365-B362-B364</f>
        <v>53650</v>
      </c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6.8" hidden="false" customHeight="false" outlineLevel="0" collapsed="false">
      <c r="A364" s="33" t="s">
        <v>18</v>
      </c>
      <c r="B364" s="34" t="n">
        <v>15650</v>
      </c>
      <c r="C364" s="0"/>
      <c r="D364" s="0"/>
      <c r="E364" s="0"/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6.8" hidden="false" customHeight="false" outlineLevel="0" collapsed="false">
      <c r="A365" s="25" t="s">
        <v>11</v>
      </c>
      <c r="B365" s="35" t="n">
        <v>75250</v>
      </c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6.8" hidden="false" customHeight="false" outlineLevel="0" collapsed="false">
      <c r="A366" s="36"/>
      <c r="B366" s="37"/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.2" hidden="false" customHeight="false" outlineLevel="0" collapsed="false">
      <c r="A367" s="0"/>
      <c r="B367" s="0"/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2" hidden="false" customHeight="false" outlineLevel="0" collapsed="false">
      <c r="A368" s="39" t="s">
        <v>23</v>
      </c>
      <c r="B368" s="39" t="s">
        <v>24</v>
      </c>
      <c r="C368" s="39" t="s">
        <v>25</v>
      </c>
      <c r="D368" s="39" t="s">
        <v>26</v>
      </c>
      <c r="E368" s="41" t="s">
        <v>27</v>
      </c>
      <c r="F368" s="41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2" hidden="false" customHeight="false" outlineLevel="0" collapsed="false">
      <c r="A369" s="26"/>
      <c r="B369" s="26"/>
      <c r="C369" s="26"/>
      <c r="D369" s="26"/>
      <c r="E369" s="26"/>
      <c r="F369" s="26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.2" hidden="false" customHeight="false" outlineLevel="0" collapsed="false">
      <c r="A370" s="26"/>
      <c r="B370" s="26"/>
      <c r="C370" s="26"/>
      <c r="D370" s="26"/>
      <c r="E370" s="26"/>
      <c r="F370" s="26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.2" hidden="false" customHeight="false" outlineLevel="0" collapsed="false">
      <c r="A371" s="26"/>
      <c r="B371" s="26"/>
      <c r="C371" s="26"/>
      <c r="D371" s="26"/>
      <c r="E371" s="26"/>
      <c r="F371" s="26"/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2" hidden="false" customHeight="false" outlineLevel="0" collapsed="false">
      <c r="A372" s="26"/>
      <c r="B372" s="26"/>
      <c r="C372" s="26"/>
      <c r="D372" s="26"/>
      <c r="E372" s="26"/>
      <c r="F372" s="26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2" hidden="false" customHeight="false" outlineLevel="0" collapsed="false">
      <c r="A373" s="39" t="s">
        <v>34</v>
      </c>
      <c r="B373" s="39"/>
      <c r="C373" s="39"/>
      <c r="D373" s="39"/>
      <c r="E373" s="41" t="s">
        <v>29</v>
      </c>
      <c r="F373" s="41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9" customFormat="false" ht="13.8" hidden="false" customHeight="false" outlineLevel="0" collapsed="false">
      <c r="A379" s="62" t="s">
        <v>0</v>
      </c>
      <c r="B379" s="16"/>
      <c r="C379" s="16"/>
      <c r="D379" s="16"/>
      <c r="E379" s="16"/>
      <c r="F379" s="16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8.6" hidden="false" customHeight="true" outlineLevel="0" collapsed="false">
      <c r="A380" s="42" t="s">
        <v>80</v>
      </c>
      <c r="B380" s="42"/>
      <c r="C380" s="42"/>
      <c r="D380" s="42"/>
      <c r="E380" s="42"/>
      <c r="F380" s="43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.8" hidden="false" customHeight="true" outlineLevel="0" collapsed="false">
      <c r="A381" s="10" t="s">
        <v>2</v>
      </c>
      <c r="B381" s="10"/>
      <c r="C381" s="10"/>
      <c r="D381" s="10"/>
      <c r="E381" s="10"/>
      <c r="F381" s="44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6.8" hidden="false" customHeight="false" outlineLevel="0" collapsed="false">
      <c r="A382" s="13" t="s">
        <v>3</v>
      </c>
      <c r="B382" s="14"/>
      <c r="C382" s="14"/>
      <c r="D382" s="46"/>
      <c r="E382" s="46" t="s">
        <v>4</v>
      </c>
      <c r="F382" s="66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33.6" hidden="false" customHeight="false" outlineLevel="0" collapsed="false">
      <c r="A383" s="17" t="s">
        <v>5</v>
      </c>
      <c r="B383" s="17" t="s">
        <v>5</v>
      </c>
      <c r="C383" s="17" t="s">
        <v>81</v>
      </c>
      <c r="D383" s="17" t="s">
        <v>7</v>
      </c>
      <c r="E383" s="17" t="s">
        <v>8</v>
      </c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6.8" hidden="false" customHeight="false" outlineLevel="0" collapsed="false">
      <c r="A384" s="19" t="s">
        <v>9</v>
      </c>
      <c r="B384" s="20"/>
      <c r="C384" s="20"/>
      <c r="D384" s="20"/>
      <c r="E384" s="47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6.8" hidden="false" customHeight="false" outlineLevel="0" collapsed="false">
      <c r="A385" s="19" t="s">
        <v>63</v>
      </c>
      <c r="B385" s="20"/>
      <c r="C385" s="20"/>
      <c r="D385" s="20"/>
      <c r="E385" s="47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6.8" hidden="false" customHeight="false" outlineLevel="0" collapsed="false">
      <c r="A386" s="19" t="s">
        <v>10</v>
      </c>
      <c r="B386" s="20" t="n">
        <v>5675</v>
      </c>
      <c r="C386" s="20" t="n">
        <v>44076</v>
      </c>
      <c r="D386" s="20" t="n">
        <f aca="false">B386+C386</f>
        <v>49751</v>
      </c>
      <c r="E386" s="47" t="n">
        <f aca="false">B386+C386-D386</f>
        <v>0</v>
      </c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33.6" hidden="false" customHeight="false" outlineLevel="0" collapsed="false">
      <c r="A387" s="58" t="s">
        <v>56</v>
      </c>
      <c r="B387" s="20"/>
      <c r="C387" s="20"/>
      <c r="D387" s="20" t="n">
        <f aca="false">B387+C387</f>
        <v>0</v>
      </c>
      <c r="E387" s="47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6.8" hidden="false" customHeight="false" outlineLevel="0" collapsed="false">
      <c r="A388" s="21" t="s">
        <v>11</v>
      </c>
      <c r="B388" s="22" t="n">
        <f aca="false">SUM(B384:B387)</f>
        <v>5675</v>
      </c>
      <c r="C388" s="22" t="n">
        <f aca="false">SUM(C384:C387)</f>
        <v>44076</v>
      </c>
      <c r="D388" s="22" t="n">
        <f aca="false">SUM(D384:D387)</f>
        <v>49751</v>
      </c>
      <c r="E388" s="22" t="n">
        <f aca="false">SUM(E384:E387)</f>
        <v>0</v>
      </c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25.5" hidden="false" customHeight="true" outlineLevel="0" collapsed="false">
      <c r="A389" s="13" t="s">
        <v>12</v>
      </c>
      <c r="B389" s="13"/>
      <c r="C389" s="13"/>
      <c r="D389" s="13"/>
      <c r="E389" s="24"/>
      <c r="F389" s="24"/>
      <c r="G389" s="0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33.6" hidden="false" customHeight="false" outlineLevel="0" collapsed="false">
      <c r="A390" s="25" t="s">
        <v>13</v>
      </c>
      <c r="B390" s="17" t="s">
        <v>82</v>
      </c>
      <c r="C390" s="17" t="s">
        <v>83</v>
      </c>
      <c r="D390" s="59" t="s">
        <v>16</v>
      </c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24" hidden="false" customHeight="true" outlineLevel="0" collapsed="false">
      <c r="A391" s="49" t="s">
        <v>49</v>
      </c>
      <c r="B391" s="50"/>
      <c r="C391" s="51"/>
      <c r="D391" s="6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23.25" hidden="false" customHeight="true" outlineLevel="0" collapsed="false">
      <c r="A392" s="49" t="s">
        <v>53</v>
      </c>
      <c r="B392" s="19" t="n">
        <v>13550</v>
      </c>
      <c r="C392" s="51" t="n">
        <v>63.1</v>
      </c>
      <c r="D392" s="65" t="n">
        <f aca="false">D388/B392</f>
        <v>3.67166051660517</v>
      </c>
      <c r="E392" s="0"/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6.8" hidden="false" customHeight="false" outlineLevel="0" collapsed="false">
      <c r="A393" s="53" t="s">
        <v>18</v>
      </c>
      <c r="B393" s="20"/>
      <c r="C393" s="20"/>
      <c r="D393" s="60"/>
      <c r="E393" s="63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6.8" hidden="false" customHeight="false" outlineLevel="0" collapsed="false">
      <c r="A394" s="30" t="s">
        <v>11</v>
      </c>
      <c r="B394" s="22" t="n">
        <f aca="false">SUM(B391:B393)</f>
        <v>13550</v>
      </c>
      <c r="C394" s="31"/>
      <c r="D394" s="54" t="n">
        <f aca="false">D388/B394</f>
        <v>3.67166051660517</v>
      </c>
      <c r="E394" s="63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6.8" hidden="false" customHeight="false" outlineLevel="0" collapsed="false">
      <c r="A395" s="67" t="s">
        <v>84</v>
      </c>
      <c r="B395" s="56"/>
      <c r="C395" s="56"/>
      <c r="D395" s="57"/>
      <c r="E395" s="0"/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6.8" hidden="false" customHeight="false" outlineLevel="0" collapsed="false">
      <c r="A396" s="13" t="s">
        <v>20</v>
      </c>
      <c r="B396" s="0"/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6.8" hidden="false" customHeight="false" outlineLevel="0" collapsed="false">
      <c r="A397" s="13"/>
      <c r="B397" s="0"/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6.8" hidden="false" customHeight="false" outlineLevel="0" collapsed="false">
      <c r="A398" s="17" t="s">
        <v>13</v>
      </c>
      <c r="B398" s="17" t="s">
        <v>21</v>
      </c>
      <c r="C398" s="18"/>
      <c r="D398" s="18"/>
      <c r="E398" s="18"/>
      <c r="F398" s="18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6.8" hidden="false" customHeight="false" outlineLevel="0" collapsed="false">
      <c r="A399" s="33" t="s">
        <v>22</v>
      </c>
      <c r="B399" s="34" t="n">
        <v>5950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6.8" hidden="false" customHeight="false" outlineLevel="0" collapsed="false">
      <c r="A400" s="33" t="s">
        <v>17</v>
      </c>
      <c r="B400" s="34" t="n">
        <f aca="false">B402-B401-B399</f>
        <v>67200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6.8" hidden="false" customHeight="false" outlineLevel="0" collapsed="false">
      <c r="A401" s="33" t="s">
        <v>18</v>
      </c>
      <c r="B401" s="34" t="n">
        <v>15650</v>
      </c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6.8" hidden="false" customHeight="false" outlineLevel="0" collapsed="false">
      <c r="A402" s="25" t="s">
        <v>11</v>
      </c>
      <c r="B402" s="35" t="n">
        <v>88800</v>
      </c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6.8" hidden="false" customHeight="false" outlineLevel="0" collapsed="false">
      <c r="A403" s="36"/>
      <c r="B403" s="37"/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2" hidden="false" customHeight="false" outlineLevel="0" collapsed="false">
      <c r="A404" s="0"/>
      <c r="B404" s="0"/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2" hidden="false" customHeight="false" outlineLevel="0" collapsed="false">
      <c r="A405" s="39" t="s">
        <v>23</v>
      </c>
      <c r="B405" s="39" t="s">
        <v>24</v>
      </c>
      <c r="C405" s="39" t="s">
        <v>25</v>
      </c>
      <c r="D405" s="39" t="s">
        <v>26</v>
      </c>
      <c r="E405" s="41" t="s">
        <v>27</v>
      </c>
      <c r="F405" s="41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2" hidden="false" customHeight="false" outlineLevel="0" collapsed="false">
      <c r="A406" s="26"/>
      <c r="B406" s="26"/>
      <c r="C406" s="26"/>
      <c r="D406" s="26"/>
      <c r="E406" s="26"/>
      <c r="F406" s="26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2" hidden="false" customHeight="false" outlineLevel="0" collapsed="false">
      <c r="A407" s="26"/>
      <c r="B407" s="26"/>
      <c r="C407" s="26"/>
      <c r="D407" s="26"/>
      <c r="E407" s="26"/>
      <c r="F407" s="26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2" hidden="false" customHeight="false" outlineLevel="0" collapsed="false">
      <c r="A408" s="26"/>
      <c r="B408" s="26"/>
      <c r="C408" s="26"/>
      <c r="D408" s="26"/>
      <c r="E408" s="26"/>
      <c r="F408" s="26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.2" hidden="false" customHeight="false" outlineLevel="0" collapsed="false">
      <c r="A409" s="26"/>
      <c r="B409" s="26"/>
      <c r="C409" s="26"/>
      <c r="D409" s="26"/>
      <c r="E409" s="26"/>
      <c r="F409" s="26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2" hidden="false" customHeight="false" outlineLevel="0" collapsed="false">
      <c r="A410" s="39" t="s">
        <v>34</v>
      </c>
      <c r="B410" s="39"/>
      <c r="C410" s="39"/>
      <c r="D410" s="39"/>
      <c r="E410" s="41" t="s">
        <v>29</v>
      </c>
      <c r="F410" s="41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5" customFormat="false" ht="13.8" hidden="false" customHeight="false" outlineLevel="0" collapsed="false">
      <c r="A415" s="62" t="s">
        <v>0</v>
      </c>
      <c r="B415" s="16"/>
      <c r="C415" s="16"/>
      <c r="D415" s="16"/>
      <c r="E415" s="16"/>
      <c r="F415" s="16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8.6" hidden="false" customHeight="true" outlineLevel="0" collapsed="false">
      <c r="A416" s="42" t="s">
        <v>85</v>
      </c>
      <c r="B416" s="42"/>
      <c r="C416" s="42"/>
      <c r="D416" s="42"/>
      <c r="E416" s="42"/>
      <c r="F416" s="43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.8" hidden="false" customHeight="true" outlineLevel="0" collapsed="false">
      <c r="A417" s="10" t="s">
        <v>2</v>
      </c>
      <c r="B417" s="10"/>
      <c r="C417" s="10"/>
      <c r="D417" s="10"/>
      <c r="E417" s="10"/>
      <c r="F417" s="44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6.8" hidden="false" customHeight="false" outlineLevel="0" collapsed="false">
      <c r="A418" s="13" t="s">
        <v>3</v>
      </c>
      <c r="B418" s="14"/>
      <c r="C418" s="14"/>
      <c r="D418" s="46"/>
      <c r="E418" s="46" t="s">
        <v>4</v>
      </c>
      <c r="F418" s="66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33.6" hidden="false" customHeight="false" outlineLevel="0" collapsed="false">
      <c r="A419" s="17" t="s">
        <v>5</v>
      </c>
      <c r="B419" s="17" t="s">
        <v>5</v>
      </c>
      <c r="C419" s="17" t="s">
        <v>86</v>
      </c>
      <c r="D419" s="17" t="s">
        <v>7</v>
      </c>
      <c r="E419" s="17" t="s">
        <v>8</v>
      </c>
      <c r="F419" s="0"/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6.8" hidden="false" customHeight="false" outlineLevel="0" collapsed="false">
      <c r="A420" s="19" t="s">
        <v>9</v>
      </c>
      <c r="B420" s="20"/>
      <c r="C420" s="20" t="n">
        <v>55</v>
      </c>
      <c r="D420" s="20"/>
      <c r="E420" s="47" t="n">
        <f aca="false">B420+C420-D420</f>
        <v>55</v>
      </c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6.8" hidden="false" customHeight="false" outlineLevel="0" collapsed="false">
      <c r="A421" s="19" t="s">
        <v>63</v>
      </c>
      <c r="B421" s="20"/>
      <c r="C421" s="20"/>
      <c r="D421" s="20"/>
      <c r="E421" s="47" t="n">
        <f aca="false">B421+C421-D421</f>
        <v>0</v>
      </c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6.8" hidden="false" customHeight="false" outlineLevel="0" collapsed="false">
      <c r="A422" s="19" t="s">
        <v>10</v>
      </c>
      <c r="B422" s="20"/>
      <c r="C422" s="20" t="n">
        <f aca="false">345931+11172</f>
        <v>357103</v>
      </c>
      <c r="D422" s="20"/>
      <c r="E422" s="47" t="n">
        <f aca="false">B422+C422-D422</f>
        <v>357103</v>
      </c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33.6" hidden="false" customHeight="false" outlineLevel="0" collapsed="false">
      <c r="A423" s="58" t="s">
        <v>56</v>
      </c>
      <c r="B423" s="20"/>
      <c r="C423" s="20"/>
      <c r="D423" s="20" t="n">
        <f aca="false">B423+C423</f>
        <v>0</v>
      </c>
      <c r="E423" s="47" t="n">
        <f aca="false">B423+C423-D423</f>
        <v>0</v>
      </c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6.8" hidden="false" customHeight="false" outlineLevel="0" collapsed="false">
      <c r="A424" s="21" t="s">
        <v>11</v>
      </c>
      <c r="B424" s="22" t="n">
        <f aca="false">SUM(B420:B423)</f>
        <v>0</v>
      </c>
      <c r="C424" s="22" t="n">
        <f aca="false">SUM(C420:C423)</f>
        <v>357158</v>
      </c>
      <c r="D424" s="22" t="n">
        <f aca="false">SUM(D420:D423)</f>
        <v>0</v>
      </c>
      <c r="E424" s="22" t="n">
        <f aca="false">SUM(E420:E423)</f>
        <v>357158</v>
      </c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6.8" hidden="false" customHeight="false" outlineLevel="0" collapsed="false">
      <c r="A425" s="64" t="s">
        <v>87</v>
      </c>
      <c r="B425" s="64"/>
      <c r="C425" s="64"/>
      <c r="D425" s="64"/>
      <c r="E425" s="64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6.8" hidden="false" customHeight="false" outlineLevel="0" collapsed="false">
      <c r="A426" s="13" t="s">
        <v>12</v>
      </c>
      <c r="B426" s="13"/>
      <c r="C426" s="13"/>
      <c r="D426" s="13"/>
      <c r="E426" s="24"/>
      <c r="F426" s="24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33.6" hidden="false" customHeight="false" outlineLevel="0" collapsed="false">
      <c r="A427" s="25" t="s">
        <v>13</v>
      </c>
      <c r="B427" s="17" t="s">
        <v>88</v>
      </c>
      <c r="C427" s="17" t="s">
        <v>89</v>
      </c>
      <c r="D427" s="59" t="s">
        <v>16</v>
      </c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24.75" hidden="false" customHeight="true" outlineLevel="0" collapsed="false">
      <c r="A428" s="49" t="s">
        <v>49</v>
      </c>
      <c r="B428" s="50" t="n">
        <v>1800</v>
      </c>
      <c r="C428" s="51"/>
      <c r="D428" s="6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6.8" hidden="false" customHeight="false" outlineLevel="0" collapsed="false">
      <c r="A429" s="49" t="s">
        <v>53</v>
      </c>
      <c r="B429" s="19" t="n">
        <f aca="false">85650+1200</f>
        <v>86850</v>
      </c>
      <c r="C429" s="51"/>
      <c r="D429" s="65" t="n">
        <f aca="false">D424/B429</f>
        <v>0</v>
      </c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6.8" hidden="false" customHeight="false" outlineLevel="0" collapsed="false">
      <c r="A430" s="53" t="s">
        <v>18</v>
      </c>
      <c r="B430" s="20"/>
      <c r="C430" s="20"/>
      <c r="D430" s="60"/>
      <c r="E430" s="63"/>
      <c r="F430" s="0"/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6.8" hidden="false" customHeight="false" outlineLevel="0" collapsed="false">
      <c r="A431" s="30" t="s">
        <v>11</v>
      </c>
      <c r="B431" s="22" t="n">
        <f aca="false">SUM(B428:B430)</f>
        <v>88650</v>
      </c>
      <c r="C431" s="31"/>
      <c r="D431" s="54" t="n">
        <f aca="false">D424/B431</f>
        <v>0</v>
      </c>
      <c r="E431" s="63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6.8" hidden="false" customHeight="false" outlineLevel="0" collapsed="false">
      <c r="A432" s="67" t="s">
        <v>90</v>
      </c>
      <c r="B432" s="56"/>
      <c r="C432" s="56"/>
      <c r="D432" s="57"/>
      <c r="E432" s="0"/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6.8" hidden="false" customHeight="false" outlineLevel="0" collapsed="false">
      <c r="A433" s="13" t="s">
        <v>20</v>
      </c>
      <c r="B433" s="0"/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6.8" hidden="false" customHeight="false" outlineLevel="0" collapsed="false">
      <c r="A434" s="13"/>
      <c r="B434" s="0"/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6.8" hidden="false" customHeight="false" outlineLevel="0" collapsed="false">
      <c r="A435" s="17" t="s">
        <v>13</v>
      </c>
      <c r="B435" s="17" t="s">
        <v>21</v>
      </c>
      <c r="C435" s="18"/>
      <c r="D435" s="18"/>
      <c r="E435" s="18"/>
      <c r="F435" s="18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6.8" hidden="false" customHeight="false" outlineLevel="0" collapsed="false">
      <c r="A436" s="33" t="s">
        <v>22</v>
      </c>
      <c r="B436" s="34" t="n">
        <v>7750</v>
      </c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6.8" hidden="false" customHeight="false" outlineLevel="0" collapsed="false">
      <c r="A437" s="33" t="s">
        <v>17</v>
      </c>
      <c r="B437" s="34" t="n">
        <v>154050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6.8" hidden="false" customHeight="false" outlineLevel="0" collapsed="false">
      <c r="A438" s="33" t="s">
        <v>18</v>
      </c>
      <c r="B438" s="34" t="n">
        <v>15650</v>
      </c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6.8" hidden="false" customHeight="false" outlineLevel="0" collapsed="false">
      <c r="A439" s="25" t="s">
        <v>11</v>
      </c>
      <c r="B439" s="35" t="n">
        <f aca="false">SUM(B436:B438)</f>
        <v>177450</v>
      </c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6.8" hidden="false" customHeight="false" outlineLevel="0" collapsed="false">
      <c r="A440" s="36"/>
      <c r="B440" s="68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.2" hidden="false" customHeight="false" outlineLevel="0" collapsed="false">
      <c r="A441" s="0"/>
      <c r="B441" s="0"/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.2" hidden="false" customHeight="false" outlineLevel="0" collapsed="false">
      <c r="A442" s="39" t="s">
        <v>23</v>
      </c>
      <c r="B442" s="39" t="s">
        <v>24</v>
      </c>
      <c r="C442" s="39" t="s">
        <v>25</v>
      </c>
      <c r="D442" s="39" t="s">
        <v>26</v>
      </c>
      <c r="E442" s="41" t="s">
        <v>27</v>
      </c>
      <c r="F442" s="41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.2" hidden="false" customHeight="false" outlineLevel="0" collapsed="false">
      <c r="A443" s="26"/>
      <c r="B443" s="26"/>
      <c r="C443" s="26"/>
      <c r="D443" s="26"/>
      <c r="E443" s="26"/>
      <c r="F443" s="26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.2" hidden="false" customHeight="false" outlineLevel="0" collapsed="false">
      <c r="A444" s="26"/>
      <c r="B444" s="26"/>
      <c r="C444" s="26"/>
      <c r="D444" s="26"/>
      <c r="E444" s="26"/>
      <c r="F444" s="26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.2" hidden="false" customHeight="false" outlineLevel="0" collapsed="false">
      <c r="A445" s="26"/>
      <c r="B445" s="26"/>
      <c r="C445" s="26"/>
      <c r="D445" s="26"/>
      <c r="E445" s="26"/>
      <c r="F445" s="26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.2" hidden="false" customHeight="false" outlineLevel="0" collapsed="false">
      <c r="A446" s="26"/>
      <c r="B446" s="26"/>
      <c r="C446" s="26"/>
      <c r="D446" s="26"/>
      <c r="E446" s="26"/>
      <c r="F446" s="26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2" hidden="false" customHeight="false" outlineLevel="0" collapsed="false">
      <c r="A447" s="39" t="s">
        <v>34</v>
      </c>
      <c r="B447" s="39"/>
      <c r="C447" s="39"/>
      <c r="D447" s="39"/>
      <c r="E447" s="41" t="s">
        <v>29</v>
      </c>
      <c r="F447" s="41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53" customFormat="false" ht="13.8" hidden="false" customHeight="false" outlineLevel="0" collapsed="false">
      <c r="A453" s="62" t="s">
        <v>0</v>
      </c>
      <c r="B453" s="16"/>
      <c r="C453" s="16"/>
      <c r="D453" s="16"/>
      <c r="E453" s="16"/>
      <c r="F453" s="16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8.6" hidden="false" customHeight="true" outlineLevel="0" collapsed="false">
      <c r="A454" s="42" t="s">
        <v>91</v>
      </c>
      <c r="B454" s="42"/>
      <c r="C454" s="42"/>
      <c r="D454" s="42"/>
      <c r="E454" s="42"/>
      <c r="F454" s="43"/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.8" hidden="false" customHeight="true" outlineLevel="0" collapsed="false">
      <c r="A455" s="10" t="s">
        <v>2</v>
      </c>
      <c r="B455" s="10"/>
      <c r="C455" s="10"/>
      <c r="D455" s="10"/>
      <c r="E455" s="10"/>
      <c r="F455" s="44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6.8" hidden="false" customHeight="false" outlineLevel="0" collapsed="false">
      <c r="A456" s="13" t="s">
        <v>3</v>
      </c>
      <c r="B456" s="14"/>
      <c r="C456" s="14"/>
      <c r="D456" s="46"/>
      <c r="E456" s="46" t="s">
        <v>4</v>
      </c>
      <c r="F456" s="66"/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33.6" hidden="false" customHeight="false" outlineLevel="0" collapsed="false">
      <c r="A457" s="17" t="s">
        <v>5</v>
      </c>
      <c r="B457" s="17" t="s">
        <v>5</v>
      </c>
      <c r="C457" s="17" t="s">
        <v>92</v>
      </c>
      <c r="D457" s="17" t="s">
        <v>7</v>
      </c>
      <c r="E457" s="17" t="s">
        <v>8</v>
      </c>
      <c r="F457" s="0"/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6.8" hidden="false" customHeight="false" outlineLevel="0" collapsed="false">
      <c r="A458" s="19" t="s">
        <v>9</v>
      </c>
      <c r="B458" s="20" t="n">
        <f aca="false">E420</f>
        <v>55</v>
      </c>
      <c r="C458" s="20" t="n">
        <v>241</v>
      </c>
      <c r="D458" s="20" t="n">
        <v>296</v>
      </c>
      <c r="E458" s="47" t="n">
        <f aca="false">B458+C458-D458</f>
        <v>0</v>
      </c>
      <c r="F458" s="0"/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6.8" hidden="false" customHeight="false" outlineLevel="0" collapsed="false">
      <c r="A459" s="19" t="s">
        <v>63</v>
      </c>
      <c r="B459" s="20" t="n">
        <f aca="false">E421</f>
        <v>0</v>
      </c>
      <c r="C459" s="20" t="n">
        <v>3395</v>
      </c>
      <c r="D459" s="20" t="n">
        <v>3395</v>
      </c>
      <c r="E459" s="47" t="n">
        <f aca="false">B459+C459-D459</f>
        <v>0</v>
      </c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6.8" hidden="false" customHeight="false" outlineLevel="0" collapsed="false">
      <c r="A460" s="19" t="s">
        <v>10</v>
      </c>
      <c r="B460" s="20" t="n">
        <f aca="false">E422</f>
        <v>357103</v>
      </c>
      <c r="C460" s="20" t="n">
        <v>314784</v>
      </c>
      <c r="D460" s="20" t="n">
        <v>671887</v>
      </c>
      <c r="E460" s="47" t="n">
        <f aca="false">B460+C460-D460</f>
        <v>0</v>
      </c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33.6" hidden="false" customHeight="false" outlineLevel="0" collapsed="false">
      <c r="A461" s="58" t="s">
        <v>56</v>
      </c>
      <c r="B461" s="20"/>
      <c r="C461" s="20"/>
      <c r="D461" s="20" t="n">
        <f aca="false">B461+C461</f>
        <v>0</v>
      </c>
      <c r="E461" s="47" t="n">
        <f aca="false">B461+C461-D461</f>
        <v>0</v>
      </c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6.8" hidden="false" customHeight="false" outlineLevel="0" collapsed="false">
      <c r="A462" s="21" t="s">
        <v>11</v>
      </c>
      <c r="B462" s="22" t="n">
        <f aca="false">SUM(B458:B461)</f>
        <v>357158</v>
      </c>
      <c r="C462" s="22" t="n">
        <f aca="false">SUM(C458:C461)</f>
        <v>318420</v>
      </c>
      <c r="D462" s="22" t="n">
        <f aca="false">SUM(D458:D461)</f>
        <v>675578</v>
      </c>
      <c r="E462" s="22" t="n">
        <f aca="false">SUM(E458:E461)</f>
        <v>0</v>
      </c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6.8" hidden="false" customHeight="false" outlineLevel="0" collapsed="false">
      <c r="A463" s="64" t="s">
        <v>93</v>
      </c>
      <c r="B463" s="64"/>
      <c r="C463" s="64"/>
      <c r="D463" s="64"/>
      <c r="E463" s="64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6.8" hidden="false" customHeight="false" outlineLevel="0" collapsed="false">
      <c r="A464" s="13" t="s">
        <v>12</v>
      </c>
      <c r="B464" s="13"/>
      <c r="C464" s="13"/>
      <c r="D464" s="13"/>
      <c r="E464" s="24"/>
      <c r="F464" s="24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50.4" hidden="false" customHeight="false" outlineLevel="0" collapsed="false">
      <c r="A465" s="25" t="s">
        <v>13</v>
      </c>
      <c r="B465" s="17" t="s">
        <v>88</v>
      </c>
      <c r="C465" s="17" t="s">
        <v>94</v>
      </c>
      <c r="D465" s="59" t="s">
        <v>15</v>
      </c>
      <c r="E465" s="69" t="s">
        <v>16</v>
      </c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33.6" hidden="false" customHeight="false" outlineLevel="0" collapsed="false">
      <c r="A466" s="49" t="s">
        <v>49</v>
      </c>
      <c r="B466" s="50" t="n">
        <v>1800</v>
      </c>
      <c r="C466" s="51"/>
      <c r="D466" s="60"/>
      <c r="E466" s="7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6.8" hidden="false" customHeight="false" outlineLevel="0" collapsed="false">
      <c r="A467" s="49" t="s">
        <v>53</v>
      </c>
      <c r="B467" s="19" t="n">
        <f aca="false">85650+1200</f>
        <v>86850</v>
      </c>
      <c r="C467" s="19" t="n">
        <v>108100</v>
      </c>
      <c r="D467" s="65"/>
      <c r="E467" s="70"/>
      <c r="F467" s="45" t="n">
        <f aca="false">C467-80450</f>
        <v>27650</v>
      </c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6.8" hidden="false" customHeight="false" outlineLevel="0" collapsed="false">
      <c r="A468" s="53" t="s">
        <v>18</v>
      </c>
      <c r="B468" s="20"/>
      <c r="C468" s="20"/>
      <c r="D468" s="60"/>
      <c r="E468" s="7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6.8" hidden="false" customHeight="false" outlineLevel="0" collapsed="false">
      <c r="A469" s="30" t="s">
        <v>11</v>
      </c>
      <c r="B469" s="22" t="n">
        <f aca="false">SUM(B466:B468)</f>
        <v>88650</v>
      </c>
      <c r="C469" s="22" t="n">
        <f aca="false">SUM(C466:C468)</f>
        <v>108100</v>
      </c>
      <c r="D469" s="54"/>
      <c r="E469" s="71" t="n">
        <f aca="false">3.43</f>
        <v>3.43</v>
      </c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21" hidden="false" customHeight="true" outlineLevel="0" collapsed="false">
      <c r="A470" s="13" t="s">
        <v>20</v>
      </c>
      <c r="B470" s="0"/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6.8" hidden="false" customHeight="false" outlineLevel="0" collapsed="false">
      <c r="A471" s="13"/>
      <c r="B471" s="0"/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6.8" hidden="false" customHeight="false" outlineLevel="0" collapsed="false">
      <c r="A472" s="17" t="s">
        <v>13</v>
      </c>
      <c r="B472" s="17" t="s">
        <v>21</v>
      </c>
      <c r="C472" s="18"/>
      <c r="D472" s="18"/>
      <c r="E472" s="18"/>
      <c r="F472" s="18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6.8" hidden="false" customHeight="false" outlineLevel="0" collapsed="false">
      <c r="A473" s="33" t="s">
        <v>22</v>
      </c>
      <c r="B473" s="34" t="n">
        <v>7750</v>
      </c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6.8" hidden="false" customHeight="false" outlineLevel="0" collapsed="false">
      <c r="A474" s="33" t="s">
        <v>17</v>
      </c>
      <c r="B474" s="34" t="n">
        <f aca="false">227300+27650</f>
        <v>254950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6.8" hidden="false" customHeight="false" outlineLevel="0" collapsed="false">
      <c r="A475" s="33" t="s">
        <v>18</v>
      </c>
      <c r="B475" s="34" t="n">
        <v>15650</v>
      </c>
      <c r="C475" s="0"/>
      <c r="D475" s="0"/>
      <c r="E475" s="0"/>
      <c r="F475" s="0"/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6.8" hidden="false" customHeight="false" outlineLevel="0" collapsed="false">
      <c r="A476" s="25" t="s">
        <v>11</v>
      </c>
      <c r="B476" s="35" t="n">
        <f aca="false">SUM(B473:B475)</f>
        <v>278350</v>
      </c>
      <c r="C476" s="0"/>
      <c r="D476" s="0"/>
      <c r="E476" s="0"/>
      <c r="F476" s="0"/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6.8" hidden="false" customHeight="false" outlineLevel="0" collapsed="false">
      <c r="A477" s="36" t="s">
        <v>95</v>
      </c>
      <c r="B477" s="68"/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.2" hidden="false" customHeight="false" outlineLevel="0" collapsed="false">
      <c r="A478" s="0"/>
      <c r="B478" s="0"/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.2" hidden="false" customHeight="false" outlineLevel="0" collapsed="false">
      <c r="A479" s="39" t="s">
        <v>23</v>
      </c>
      <c r="B479" s="39" t="s">
        <v>24</v>
      </c>
      <c r="C479" s="39" t="s">
        <v>25</v>
      </c>
      <c r="D479" s="39" t="s">
        <v>26</v>
      </c>
      <c r="E479" s="41" t="s">
        <v>27</v>
      </c>
      <c r="F479" s="41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.2" hidden="false" customHeight="false" outlineLevel="0" collapsed="false">
      <c r="A480" s="26"/>
      <c r="B480" s="26"/>
      <c r="C480" s="26"/>
      <c r="D480" s="26"/>
      <c r="E480" s="26"/>
      <c r="F480" s="26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.2" hidden="false" customHeight="false" outlineLevel="0" collapsed="false">
      <c r="A481" s="26"/>
      <c r="B481" s="26"/>
      <c r="C481" s="26"/>
      <c r="D481" s="26"/>
      <c r="E481" s="26"/>
      <c r="F481" s="26"/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.2" hidden="false" customHeight="false" outlineLevel="0" collapsed="false">
      <c r="A482" s="26"/>
      <c r="B482" s="26"/>
      <c r="C482" s="26"/>
      <c r="D482" s="26"/>
      <c r="E482" s="26"/>
      <c r="F482" s="26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.2" hidden="false" customHeight="false" outlineLevel="0" collapsed="false">
      <c r="A483" s="26"/>
      <c r="B483" s="26"/>
      <c r="C483" s="26"/>
      <c r="D483" s="26"/>
      <c r="E483" s="26"/>
      <c r="F483" s="26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.2" hidden="false" customHeight="false" outlineLevel="0" collapsed="false">
      <c r="A484" s="39" t="s">
        <v>34</v>
      </c>
      <c r="B484" s="39"/>
      <c r="C484" s="39"/>
      <c r="D484" s="39"/>
      <c r="E484" s="41" t="s">
        <v>29</v>
      </c>
      <c r="F484" s="41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90" customFormat="false" ht="13.8" hidden="false" customHeight="false" outlineLevel="0" collapsed="false">
      <c r="A490" s="62" t="s">
        <v>0</v>
      </c>
      <c r="B490" s="16"/>
      <c r="C490" s="16"/>
      <c r="D490" s="16"/>
      <c r="E490" s="16"/>
      <c r="F490" s="16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8.6" hidden="false" customHeight="true" outlineLevel="0" collapsed="false">
      <c r="A491" s="42" t="s">
        <v>96</v>
      </c>
      <c r="B491" s="42"/>
      <c r="C491" s="42"/>
      <c r="D491" s="42"/>
      <c r="E491" s="42"/>
      <c r="F491" s="43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.8" hidden="false" customHeight="true" outlineLevel="0" collapsed="false">
      <c r="A492" s="10" t="s">
        <v>2</v>
      </c>
      <c r="B492" s="10"/>
      <c r="C492" s="10"/>
      <c r="D492" s="10"/>
      <c r="E492" s="10"/>
      <c r="F492" s="44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6.8" hidden="false" customHeight="false" outlineLevel="0" collapsed="false">
      <c r="A493" s="13" t="s">
        <v>3</v>
      </c>
      <c r="B493" s="14"/>
      <c r="C493" s="14"/>
      <c r="D493" s="46"/>
      <c r="E493" s="46" t="s">
        <v>4</v>
      </c>
      <c r="F493" s="66"/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33.6" hidden="false" customHeight="false" outlineLevel="0" collapsed="false">
      <c r="A494" s="17" t="s">
        <v>5</v>
      </c>
      <c r="B494" s="17" t="s">
        <v>5</v>
      </c>
      <c r="C494" s="17" t="s">
        <v>97</v>
      </c>
      <c r="D494" s="17" t="s">
        <v>7</v>
      </c>
      <c r="E494" s="17" t="s">
        <v>8</v>
      </c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6.8" hidden="false" customHeight="false" outlineLevel="0" collapsed="false">
      <c r="A495" s="19" t="s">
        <v>9</v>
      </c>
      <c r="B495" s="20"/>
      <c r="C495" s="20" t="n">
        <v>300</v>
      </c>
      <c r="D495" s="20"/>
      <c r="E495" s="47" t="n">
        <f aca="false">B495+C495-D495</f>
        <v>300</v>
      </c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6.8" hidden="false" customHeight="false" outlineLevel="0" collapsed="false">
      <c r="A496" s="19" t="s">
        <v>63</v>
      </c>
      <c r="B496" s="20"/>
      <c r="C496" s="20"/>
      <c r="D496" s="20"/>
      <c r="E496" s="47" t="n">
        <f aca="false">B496+C496-D496</f>
        <v>0</v>
      </c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6.8" hidden="false" customHeight="false" outlineLevel="0" collapsed="false">
      <c r="A497" s="19" t="s">
        <v>10</v>
      </c>
      <c r="B497" s="20"/>
      <c r="C497" s="20" t="n">
        <f aca="false">427169-300</f>
        <v>426869</v>
      </c>
      <c r="D497" s="20"/>
      <c r="E497" s="47" t="n">
        <f aca="false">B497+C497-D497</f>
        <v>426869</v>
      </c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33.6" hidden="false" customHeight="false" outlineLevel="0" collapsed="false">
      <c r="A498" s="58" t="s">
        <v>56</v>
      </c>
      <c r="B498" s="20"/>
      <c r="C498" s="20"/>
      <c r="D498" s="20" t="n">
        <f aca="false">B498+C498</f>
        <v>0</v>
      </c>
      <c r="E498" s="47" t="n">
        <f aca="false">B498+C498-D498</f>
        <v>0</v>
      </c>
      <c r="F498" s="0"/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9.5" hidden="false" customHeight="true" outlineLevel="0" collapsed="false">
      <c r="A499" s="21" t="s">
        <v>11</v>
      </c>
      <c r="B499" s="22" t="n">
        <f aca="false">SUM(B495:B498)</f>
        <v>0</v>
      </c>
      <c r="C499" s="22" t="n">
        <f aca="false">SUM(C495:C498)</f>
        <v>427169</v>
      </c>
      <c r="D499" s="22" t="n">
        <f aca="false">SUM(D495:D498)</f>
        <v>0</v>
      </c>
      <c r="E499" s="22" t="n">
        <f aca="false">SUM(E495:E498)</f>
        <v>427169</v>
      </c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9.5" hidden="false" customHeight="true" outlineLevel="0" collapsed="false">
      <c r="A500" s="64" t="s">
        <v>87</v>
      </c>
      <c r="B500" s="64"/>
      <c r="C500" s="64"/>
      <c r="D500" s="64"/>
      <c r="E500" s="64"/>
      <c r="F500" s="0"/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22.5" hidden="false" customHeight="true" outlineLevel="0" collapsed="false">
      <c r="A501" s="13" t="s">
        <v>12</v>
      </c>
      <c r="B501" s="13"/>
      <c r="C501" s="13"/>
      <c r="D501" s="13"/>
      <c r="E501" s="24"/>
      <c r="F501" s="24"/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50.4" hidden="false" customHeight="false" outlineLevel="0" collapsed="false">
      <c r="A502" s="25" t="s">
        <v>13</v>
      </c>
      <c r="B502" s="17" t="s">
        <v>98</v>
      </c>
      <c r="C502" s="59" t="s">
        <v>15</v>
      </c>
      <c r="D502" s="69" t="s">
        <v>16</v>
      </c>
      <c r="E502" s="0"/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9.5" hidden="false" customHeight="true" outlineLevel="0" collapsed="false">
      <c r="A503" s="49" t="s">
        <v>49</v>
      </c>
      <c r="B503" s="50"/>
      <c r="C503" s="60"/>
      <c r="D503" s="7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6.8" hidden="false" customHeight="false" outlineLevel="0" collapsed="false">
      <c r="A504" s="49" t="s">
        <v>53</v>
      </c>
      <c r="B504" s="19" t="n">
        <f aca="false">74300-27650</f>
        <v>46650</v>
      </c>
      <c r="C504" s="65"/>
      <c r="D504" s="70"/>
      <c r="E504" s="45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6.8" hidden="false" customHeight="false" outlineLevel="0" collapsed="false">
      <c r="A505" s="53" t="s">
        <v>18</v>
      </c>
      <c r="B505" s="20"/>
      <c r="C505" s="60"/>
      <c r="D505" s="70"/>
      <c r="E505" s="0"/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6.8" hidden="false" customHeight="false" outlineLevel="0" collapsed="false">
      <c r="A506" s="30" t="s">
        <v>11</v>
      </c>
      <c r="B506" s="22" t="n">
        <f aca="false">SUM(B503:B505)</f>
        <v>46650</v>
      </c>
      <c r="C506" s="54"/>
      <c r="D506" s="71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6.8" hidden="false" customHeight="false" outlineLevel="0" collapsed="false">
      <c r="A507" s="13" t="s">
        <v>20</v>
      </c>
      <c r="B507" s="0"/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6.8" hidden="false" customHeight="false" outlineLevel="0" collapsed="false">
      <c r="A508" s="13"/>
      <c r="B508" s="0"/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6.8" hidden="false" customHeight="false" outlineLevel="0" collapsed="false">
      <c r="A509" s="17" t="s">
        <v>13</v>
      </c>
      <c r="B509" s="17" t="s">
        <v>21</v>
      </c>
      <c r="C509" s="18"/>
      <c r="D509" s="18"/>
      <c r="E509" s="18"/>
      <c r="F509" s="18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6.8" hidden="false" customHeight="false" outlineLevel="0" collapsed="false">
      <c r="A510" s="33" t="s">
        <v>22</v>
      </c>
      <c r="B510" s="34" t="n">
        <v>7750</v>
      </c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6.8" hidden="false" customHeight="false" outlineLevel="0" collapsed="false">
      <c r="A511" s="33" t="s">
        <v>17</v>
      </c>
      <c r="B511" s="34" t="n">
        <v>164850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6.8" hidden="false" customHeight="false" outlineLevel="0" collapsed="false">
      <c r="A512" s="33" t="s">
        <v>18</v>
      </c>
      <c r="B512" s="34" t="n">
        <v>15650</v>
      </c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6.8" hidden="false" customHeight="false" outlineLevel="0" collapsed="false">
      <c r="A513" s="25" t="s">
        <v>11</v>
      </c>
      <c r="B513" s="35" t="n">
        <f aca="false">SUM(B510:B512)</f>
        <v>188250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3.2" hidden="false" customHeight="false" outlineLevel="0" collapsed="false">
      <c r="A514" s="0"/>
      <c r="B514" s="0"/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3.2" hidden="false" customHeight="false" outlineLevel="0" collapsed="false">
      <c r="A515" s="39" t="s">
        <v>23</v>
      </c>
      <c r="B515" s="39" t="s">
        <v>24</v>
      </c>
      <c r="C515" s="39" t="s">
        <v>25</v>
      </c>
      <c r="D515" s="39" t="s">
        <v>26</v>
      </c>
      <c r="E515" s="41" t="s">
        <v>27</v>
      </c>
      <c r="F515" s="41"/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3.2" hidden="false" customHeight="false" outlineLevel="0" collapsed="false">
      <c r="A516" s="26"/>
      <c r="B516" s="26"/>
      <c r="C516" s="26"/>
      <c r="D516" s="26"/>
      <c r="E516" s="26"/>
      <c r="F516" s="26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3.2" hidden="false" customHeight="false" outlineLevel="0" collapsed="false">
      <c r="A517" s="26"/>
      <c r="B517" s="26"/>
      <c r="C517" s="26"/>
      <c r="D517" s="26"/>
      <c r="E517" s="26"/>
      <c r="F517" s="26"/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3.2" hidden="false" customHeight="false" outlineLevel="0" collapsed="false">
      <c r="A518" s="26"/>
      <c r="B518" s="26"/>
      <c r="C518" s="26"/>
      <c r="D518" s="26"/>
      <c r="E518" s="26"/>
      <c r="F518" s="26"/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3.2" hidden="false" customHeight="false" outlineLevel="0" collapsed="false">
      <c r="A519" s="26"/>
      <c r="B519" s="26"/>
      <c r="C519" s="26"/>
      <c r="D519" s="26"/>
      <c r="E519" s="26"/>
      <c r="F519" s="26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3.2" hidden="false" customHeight="false" outlineLevel="0" collapsed="false">
      <c r="A520" s="39" t="s">
        <v>34</v>
      </c>
      <c r="B520" s="39"/>
      <c r="C520" s="39"/>
      <c r="D520" s="39"/>
      <c r="E520" s="41" t="s">
        <v>29</v>
      </c>
      <c r="F520" s="41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6" customFormat="false" ht="20.25" hidden="false" customHeight="true" outlineLevel="0" collapsed="false">
      <c r="A526" s="62" t="s">
        <v>0</v>
      </c>
      <c r="B526" s="16"/>
      <c r="C526" s="16"/>
      <c r="D526" s="16"/>
      <c r="E526" s="16"/>
      <c r="F526" s="16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8.6" hidden="false" customHeight="true" outlineLevel="0" collapsed="false">
      <c r="A527" s="42" t="s">
        <v>99</v>
      </c>
      <c r="B527" s="42"/>
      <c r="C527" s="42"/>
      <c r="D527" s="42"/>
      <c r="E527" s="42"/>
      <c r="F527" s="43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3.8" hidden="false" customHeight="true" outlineLevel="0" collapsed="false">
      <c r="A528" s="10" t="s">
        <v>2</v>
      </c>
      <c r="B528" s="10"/>
      <c r="C528" s="10"/>
      <c r="D528" s="10"/>
      <c r="E528" s="10"/>
      <c r="F528" s="44"/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6.8" hidden="false" customHeight="false" outlineLevel="0" collapsed="false">
      <c r="A529" s="13" t="s">
        <v>3</v>
      </c>
      <c r="B529" s="14"/>
      <c r="C529" s="14"/>
      <c r="D529" s="46"/>
      <c r="E529" s="46" t="s">
        <v>4</v>
      </c>
      <c r="F529" s="66"/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33.6" hidden="false" customHeight="false" outlineLevel="0" collapsed="false">
      <c r="A530" s="17" t="s">
        <v>5</v>
      </c>
      <c r="B530" s="17" t="s">
        <v>5</v>
      </c>
      <c r="C530" s="17" t="s">
        <v>100</v>
      </c>
      <c r="D530" s="17" t="s">
        <v>7</v>
      </c>
      <c r="E530" s="17" t="s">
        <v>8</v>
      </c>
      <c r="F530" s="0"/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6.8" hidden="false" customHeight="false" outlineLevel="0" collapsed="false">
      <c r="A531" s="19" t="s">
        <v>9</v>
      </c>
      <c r="B531" s="20" t="n">
        <f aca="false">300</f>
        <v>300</v>
      </c>
      <c r="C531" s="20" t="n">
        <v>155</v>
      </c>
      <c r="D531" s="20"/>
      <c r="E531" s="47" t="n">
        <f aca="false">B531+C531-D531</f>
        <v>455</v>
      </c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6.8" hidden="false" customHeight="false" outlineLevel="0" collapsed="false">
      <c r="A532" s="19" t="s">
        <v>63</v>
      </c>
      <c r="B532" s="20"/>
      <c r="C532" s="20"/>
      <c r="D532" s="20"/>
      <c r="E532" s="47" t="n">
        <f aca="false">B532+C532-D532</f>
        <v>0</v>
      </c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6.8" hidden="false" customHeight="false" outlineLevel="0" collapsed="false">
      <c r="A533" s="19" t="s">
        <v>10</v>
      </c>
      <c r="B533" s="20" t="n">
        <f aca="false">E497</f>
        <v>426869</v>
      </c>
      <c r="C533" s="20" t="n">
        <f aca="false">464625-155</f>
        <v>464470</v>
      </c>
      <c r="D533" s="20"/>
      <c r="E533" s="47" t="n">
        <f aca="false">B533+C533-D533</f>
        <v>891339</v>
      </c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33.6" hidden="false" customHeight="false" outlineLevel="0" collapsed="false">
      <c r="A534" s="58" t="s">
        <v>56</v>
      </c>
      <c r="B534" s="20"/>
      <c r="C534" s="20"/>
      <c r="D534" s="20" t="n">
        <f aca="false">B534+C534</f>
        <v>0</v>
      </c>
      <c r="E534" s="47" t="n">
        <f aca="false">B534+C534-D534</f>
        <v>0</v>
      </c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6.8" hidden="false" customHeight="false" outlineLevel="0" collapsed="false">
      <c r="A535" s="21" t="s">
        <v>11</v>
      </c>
      <c r="B535" s="22" t="n">
        <f aca="false">SUM(B531:B534)</f>
        <v>427169</v>
      </c>
      <c r="C535" s="22" t="n">
        <f aca="false">SUM(C531:C534)</f>
        <v>464625</v>
      </c>
      <c r="D535" s="22" t="n">
        <f aca="false">SUM(D531:D534)</f>
        <v>0</v>
      </c>
      <c r="E535" s="22" t="n">
        <f aca="false">SUM(E531:E534)</f>
        <v>891794</v>
      </c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6.8" hidden="false" customHeight="false" outlineLevel="0" collapsed="false">
      <c r="A536" s="64" t="s">
        <v>87</v>
      </c>
      <c r="B536" s="64"/>
      <c r="C536" s="64"/>
      <c r="D536" s="64"/>
      <c r="E536" s="64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6.8" hidden="false" customHeight="false" outlineLevel="0" collapsed="false">
      <c r="A537" s="13" t="s">
        <v>12</v>
      </c>
      <c r="B537" s="13"/>
      <c r="C537" s="13"/>
      <c r="D537" s="13"/>
      <c r="E537" s="24"/>
      <c r="F537" s="24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50.4" hidden="false" customHeight="false" outlineLevel="0" collapsed="false">
      <c r="A538" s="25" t="s">
        <v>13</v>
      </c>
      <c r="B538" s="17" t="s">
        <v>98</v>
      </c>
      <c r="C538" s="17" t="s">
        <v>101</v>
      </c>
      <c r="D538" s="72" t="s">
        <v>15</v>
      </c>
      <c r="E538" s="73" t="s">
        <v>16</v>
      </c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33.6" hidden="false" customHeight="false" outlineLevel="0" collapsed="false">
      <c r="A539" s="49" t="s">
        <v>49</v>
      </c>
      <c r="B539" s="50"/>
      <c r="C539" s="60"/>
      <c r="D539" s="70"/>
      <c r="E539" s="6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6.8" hidden="false" customHeight="false" outlineLevel="0" collapsed="false">
      <c r="A540" s="49" t="s">
        <v>53</v>
      </c>
      <c r="B540" s="19" t="n">
        <f aca="false">74300-27650</f>
        <v>46650</v>
      </c>
      <c r="C540" s="61" t="n">
        <v>86650</v>
      </c>
      <c r="D540" s="70"/>
      <c r="E540" s="74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6.8" hidden="false" customHeight="false" outlineLevel="0" collapsed="false">
      <c r="A541" s="53" t="s">
        <v>18</v>
      </c>
      <c r="B541" s="20"/>
      <c r="C541" s="60"/>
      <c r="D541" s="70"/>
      <c r="E541" s="60"/>
      <c r="F541" s="0"/>
      <c r="G541" s="0"/>
      <c r="H541" s="0"/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6.8" hidden="false" customHeight="false" outlineLevel="0" collapsed="false">
      <c r="A542" s="30" t="s">
        <v>11</v>
      </c>
      <c r="B542" s="22" t="n">
        <f aca="false">SUM(B539:B541)</f>
        <v>46650</v>
      </c>
      <c r="C542" s="22" t="n">
        <f aca="false">SUM(C539:C541)</f>
        <v>86650</v>
      </c>
      <c r="D542" s="75"/>
      <c r="E542" s="76"/>
      <c r="F542" s="0"/>
      <c r="G542" s="0"/>
      <c r="H542" s="0"/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6.8" hidden="false" customHeight="false" outlineLevel="0" collapsed="false">
      <c r="A543" s="13" t="s">
        <v>20</v>
      </c>
      <c r="B543" s="0"/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6.8" hidden="false" customHeight="false" outlineLevel="0" collapsed="false">
      <c r="A544" s="13"/>
      <c r="B544" s="0"/>
      <c r="C544" s="0"/>
      <c r="D544" s="0"/>
      <c r="E544" s="0"/>
      <c r="F544" s="0"/>
      <c r="G544" s="0"/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6.8" hidden="false" customHeight="false" outlineLevel="0" collapsed="false">
      <c r="A545" s="17" t="s">
        <v>13</v>
      </c>
      <c r="B545" s="17" t="s">
        <v>21</v>
      </c>
      <c r="C545" s="18"/>
      <c r="D545" s="18"/>
      <c r="E545" s="18"/>
      <c r="F545" s="18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6.8" hidden="false" customHeight="false" outlineLevel="0" collapsed="false">
      <c r="A546" s="33" t="s">
        <v>22</v>
      </c>
      <c r="B546" s="34" t="n">
        <v>7750</v>
      </c>
      <c r="C546" s="0"/>
      <c r="D546" s="0"/>
      <c r="E546" s="0"/>
      <c r="F546" s="0"/>
      <c r="G546" s="0"/>
      <c r="H546" s="0"/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6.8" hidden="false" customHeight="false" outlineLevel="0" collapsed="false">
      <c r="A547" s="33" t="s">
        <v>17</v>
      </c>
      <c r="B547" s="34" t="n">
        <v>131500</v>
      </c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6.8" hidden="false" customHeight="false" outlineLevel="0" collapsed="false">
      <c r="A548" s="33" t="s">
        <v>18</v>
      </c>
      <c r="B548" s="34" t="n">
        <v>15650</v>
      </c>
      <c r="C548" s="0"/>
      <c r="D548" s="0"/>
      <c r="E548" s="0"/>
      <c r="F548" s="0"/>
      <c r="G548" s="0"/>
      <c r="H548" s="0"/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6.8" hidden="false" customHeight="false" outlineLevel="0" collapsed="false">
      <c r="A549" s="25" t="s">
        <v>11</v>
      </c>
      <c r="B549" s="35" t="n">
        <f aca="false">SUM(B546:B548)</f>
        <v>154900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3.2" hidden="false" customHeight="false" outlineLevel="0" collapsed="false">
      <c r="A550" s="0"/>
      <c r="B550" s="0"/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3.2" hidden="false" customHeight="false" outlineLevel="0" collapsed="false">
      <c r="A551" s="39" t="s">
        <v>23</v>
      </c>
      <c r="B551" s="39" t="s">
        <v>24</v>
      </c>
      <c r="C551" s="39" t="s">
        <v>25</v>
      </c>
      <c r="D551" s="39" t="s">
        <v>26</v>
      </c>
      <c r="E551" s="41" t="s">
        <v>27</v>
      </c>
      <c r="F551" s="41"/>
      <c r="G551" s="0"/>
      <c r="H551" s="0"/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3.2" hidden="false" customHeight="false" outlineLevel="0" collapsed="false">
      <c r="A552" s="26"/>
      <c r="B552" s="26"/>
      <c r="C552" s="26"/>
      <c r="D552" s="26"/>
      <c r="E552" s="26"/>
      <c r="F552" s="26"/>
      <c r="G552" s="0"/>
      <c r="H552" s="0"/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3.2" hidden="false" customHeight="false" outlineLevel="0" collapsed="false">
      <c r="A553" s="26"/>
      <c r="B553" s="26"/>
      <c r="C553" s="26"/>
      <c r="D553" s="26"/>
      <c r="E553" s="26"/>
      <c r="F553" s="26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3.2" hidden="false" customHeight="false" outlineLevel="0" collapsed="false">
      <c r="A554" s="26"/>
      <c r="B554" s="26"/>
      <c r="C554" s="26"/>
      <c r="D554" s="26"/>
      <c r="E554" s="26"/>
      <c r="F554" s="26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3.2" hidden="false" customHeight="false" outlineLevel="0" collapsed="false">
      <c r="A555" s="26"/>
      <c r="B555" s="26"/>
      <c r="C555" s="26"/>
      <c r="D555" s="26"/>
      <c r="E555" s="26"/>
      <c r="F555" s="26"/>
      <c r="G555" s="0"/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3.2" hidden="false" customHeight="false" outlineLevel="0" collapsed="false">
      <c r="A556" s="39" t="s">
        <v>34</v>
      </c>
      <c r="B556" s="39"/>
      <c r="C556" s="39"/>
      <c r="D556" s="39"/>
      <c r="E556" s="41" t="s">
        <v>29</v>
      </c>
      <c r="F556" s="41"/>
      <c r="G556" s="0"/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66" customFormat="false" ht="13.8" hidden="false" customHeight="false" outlineLevel="0" collapsed="false">
      <c r="A566" s="62" t="s">
        <v>0</v>
      </c>
      <c r="B566" s="16"/>
      <c r="C566" s="16"/>
      <c r="D566" s="16"/>
      <c r="E566" s="16"/>
      <c r="F566" s="16"/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8.6" hidden="false" customHeight="true" outlineLevel="0" collapsed="false">
      <c r="A567" s="42" t="s">
        <v>102</v>
      </c>
      <c r="B567" s="42"/>
      <c r="C567" s="42"/>
      <c r="D567" s="42"/>
      <c r="E567" s="42"/>
      <c r="F567" s="43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3.8" hidden="false" customHeight="true" outlineLevel="0" collapsed="false">
      <c r="A568" s="10" t="s">
        <v>2</v>
      </c>
      <c r="B568" s="10"/>
      <c r="C568" s="10"/>
      <c r="D568" s="10"/>
      <c r="E568" s="10"/>
      <c r="F568" s="44"/>
      <c r="G568" s="0"/>
      <c r="H568" s="0"/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6.8" hidden="false" customHeight="false" outlineLevel="0" collapsed="false">
      <c r="A569" s="13" t="s">
        <v>3</v>
      </c>
      <c r="B569" s="14"/>
      <c r="C569" s="14"/>
      <c r="D569" s="46"/>
      <c r="E569" s="46" t="s">
        <v>4</v>
      </c>
      <c r="F569" s="66"/>
      <c r="G569" s="0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33.6" hidden="false" customHeight="false" outlineLevel="0" collapsed="false">
      <c r="A570" s="17" t="s">
        <v>5</v>
      </c>
      <c r="B570" s="17" t="s">
        <v>5</v>
      </c>
      <c r="C570" s="17" t="s">
        <v>103</v>
      </c>
      <c r="D570" s="17" t="s">
        <v>7</v>
      </c>
      <c r="E570" s="17" t="s">
        <v>8</v>
      </c>
      <c r="F570" s="0"/>
      <c r="G570" s="0"/>
      <c r="H570" s="0"/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6.8" hidden="false" customHeight="false" outlineLevel="0" collapsed="false">
      <c r="A571" s="19" t="s">
        <v>9</v>
      </c>
      <c r="B571" s="20" t="n">
        <f aca="false">E531</f>
        <v>455</v>
      </c>
      <c r="C571" s="20" t="n">
        <v>180</v>
      </c>
      <c r="D571" s="20"/>
      <c r="E571" s="47" t="n">
        <f aca="false">B571+C571-D571</f>
        <v>635</v>
      </c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6.8" hidden="false" customHeight="false" outlineLevel="0" collapsed="false">
      <c r="A572" s="19" t="s">
        <v>63</v>
      </c>
      <c r="B572" s="20" t="n">
        <f aca="false">E532</f>
        <v>0</v>
      </c>
      <c r="C572" s="20" t="n">
        <v>9240</v>
      </c>
      <c r="D572" s="20"/>
      <c r="E572" s="47" t="n">
        <f aca="false">B572+C572-D572</f>
        <v>9240</v>
      </c>
      <c r="F572" s="0"/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6.8" hidden="false" customHeight="false" outlineLevel="0" collapsed="false">
      <c r="A573" s="19" t="s">
        <v>10</v>
      </c>
      <c r="B573" s="20" t="n">
        <f aca="false">E533</f>
        <v>891339</v>
      </c>
      <c r="C573" s="20" t="n">
        <f aca="false">18607-180</f>
        <v>18427</v>
      </c>
      <c r="D573" s="20"/>
      <c r="E573" s="47" t="n">
        <f aca="false">B573+C573-D573</f>
        <v>909766</v>
      </c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6.8" hidden="false" customHeight="false" outlineLevel="0" collapsed="false">
      <c r="A574" s="21" t="s">
        <v>11</v>
      </c>
      <c r="B574" s="22" t="n">
        <f aca="false">SUM(B571:B573)</f>
        <v>891794</v>
      </c>
      <c r="C574" s="22" t="n">
        <f aca="false">SUM(C571:C573)</f>
        <v>27847</v>
      </c>
      <c r="D574" s="22" t="n">
        <f aca="false">SUM(D571:D573)</f>
        <v>0</v>
      </c>
      <c r="E574" s="22" t="n">
        <f aca="false">SUM(E571:E573)</f>
        <v>919641</v>
      </c>
      <c r="F574" s="0"/>
      <c r="G574" s="0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6.8" hidden="false" customHeight="false" outlineLevel="0" collapsed="false">
      <c r="A575" s="64" t="s">
        <v>87</v>
      </c>
      <c r="B575" s="64"/>
      <c r="C575" s="64"/>
      <c r="D575" s="64"/>
      <c r="E575" s="64"/>
      <c r="F575" s="0"/>
      <c r="G575" s="0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6.8" hidden="false" customHeight="false" outlineLevel="0" collapsed="false">
      <c r="A576" s="13" t="s">
        <v>12</v>
      </c>
      <c r="B576" s="13"/>
      <c r="C576" s="13"/>
      <c r="D576" s="13"/>
      <c r="E576" s="24"/>
      <c r="F576" s="24"/>
      <c r="G576" s="0"/>
      <c r="H576" s="0"/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50.4" hidden="false" customHeight="false" outlineLevel="0" collapsed="false">
      <c r="A577" s="25" t="s">
        <v>13</v>
      </c>
      <c r="B577" s="17" t="s">
        <v>104</v>
      </c>
      <c r="C577" s="17" t="s">
        <v>105</v>
      </c>
      <c r="D577" s="72" t="s">
        <v>15</v>
      </c>
      <c r="E577" s="73" t="s">
        <v>16</v>
      </c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33.6" hidden="false" customHeight="false" outlineLevel="0" collapsed="false">
      <c r="A578" s="49" t="s">
        <v>49</v>
      </c>
      <c r="B578" s="50"/>
      <c r="C578" s="60"/>
      <c r="D578" s="70"/>
      <c r="E578" s="60"/>
      <c r="F578" s="0"/>
      <c r="G578" s="0"/>
      <c r="H578" s="0"/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6.8" hidden="false" customHeight="false" outlineLevel="0" collapsed="false">
      <c r="A579" s="49" t="s">
        <v>53</v>
      </c>
      <c r="B579" s="19" t="n">
        <f aca="false">74300-27650+86650</f>
        <v>133300</v>
      </c>
      <c r="C579" s="61" t="n">
        <f aca="false">95700+4950</f>
        <v>100650</v>
      </c>
      <c r="D579" s="70"/>
      <c r="E579" s="74"/>
      <c r="F579" s="0"/>
      <c r="G579" s="0"/>
      <c r="H579" s="0"/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6.8" hidden="false" customHeight="false" outlineLevel="0" collapsed="false">
      <c r="A580" s="53" t="s">
        <v>18</v>
      </c>
      <c r="B580" s="20"/>
      <c r="C580" s="60"/>
      <c r="D580" s="70"/>
      <c r="E580" s="60"/>
      <c r="F580" s="0"/>
      <c r="G580" s="0"/>
      <c r="H580" s="0"/>
      <c r="I580" s="0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6.8" hidden="false" customHeight="false" outlineLevel="0" collapsed="false">
      <c r="A581" s="30" t="s">
        <v>11</v>
      </c>
      <c r="B581" s="22" t="n">
        <f aca="false">SUM(B578:B580)</f>
        <v>133300</v>
      </c>
      <c r="C581" s="22" t="n">
        <f aca="false">SUM(C578:C580)</f>
        <v>100650</v>
      </c>
      <c r="D581" s="75"/>
      <c r="E581" s="76"/>
      <c r="F581" s="0"/>
      <c r="G581" s="0"/>
      <c r="H581" s="0"/>
      <c r="I581" s="0"/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6.8" hidden="false" customHeight="false" outlineLevel="0" collapsed="false">
      <c r="A582" s="13" t="s">
        <v>20</v>
      </c>
      <c r="B582" s="0"/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6.8" hidden="false" customHeight="false" outlineLevel="0" collapsed="false">
      <c r="A583" s="13"/>
      <c r="B583" s="0"/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6.8" hidden="false" customHeight="false" outlineLevel="0" collapsed="false">
      <c r="A584" s="17" t="s">
        <v>13</v>
      </c>
      <c r="B584" s="17" t="s">
        <v>21</v>
      </c>
      <c r="C584" s="18"/>
      <c r="D584" s="18"/>
      <c r="E584" s="18"/>
      <c r="F584" s="18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6.8" hidden="false" customHeight="false" outlineLevel="0" collapsed="false">
      <c r="A585" s="33" t="s">
        <v>22</v>
      </c>
      <c r="B585" s="34" t="n">
        <v>7750</v>
      </c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6.8" hidden="false" customHeight="false" outlineLevel="0" collapsed="false">
      <c r="A586" s="33" t="s">
        <v>17</v>
      </c>
      <c r="B586" s="34" t="n">
        <f aca="false">143500-B585-B587</f>
        <v>120100</v>
      </c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6.8" hidden="false" customHeight="false" outlineLevel="0" collapsed="false">
      <c r="A587" s="33" t="s">
        <v>18</v>
      </c>
      <c r="B587" s="34" t="n">
        <v>15650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6.8" hidden="false" customHeight="false" outlineLevel="0" collapsed="false">
      <c r="A588" s="25" t="s">
        <v>11</v>
      </c>
      <c r="B588" s="35" t="n">
        <f aca="false">SUM(B585:B587)</f>
        <v>143500</v>
      </c>
      <c r="C588" s="0"/>
      <c r="D588" s="0"/>
      <c r="E588" s="0"/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3.2" hidden="false" customHeight="false" outlineLevel="0" collapsed="false">
      <c r="A589" s="0"/>
      <c r="B589" s="0"/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3.2" hidden="false" customHeight="false" outlineLevel="0" collapsed="false">
      <c r="A590" s="39" t="s">
        <v>23</v>
      </c>
      <c r="B590" s="39" t="s">
        <v>24</v>
      </c>
      <c r="C590" s="39" t="s">
        <v>25</v>
      </c>
      <c r="D590" s="39" t="s">
        <v>26</v>
      </c>
      <c r="E590" s="41" t="s">
        <v>27</v>
      </c>
      <c r="F590" s="41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3.2" hidden="false" customHeight="false" outlineLevel="0" collapsed="false">
      <c r="A591" s="26"/>
      <c r="B591" s="26"/>
      <c r="C591" s="26"/>
      <c r="D591" s="26"/>
      <c r="E591" s="26"/>
      <c r="F591" s="26"/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3.2" hidden="false" customHeight="false" outlineLevel="0" collapsed="false">
      <c r="A592" s="26"/>
      <c r="B592" s="26"/>
      <c r="C592" s="26"/>
      <c r="D592" s="26"/>
      <c r="E592" s="26"/>
      <c r="F592" s="26"/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3.2" hidden="false" customHeight="false" outlineLevel="0" collapsed="false">
      <c r="A593" s="26"/>
      <c r="B593" s="26"/>
      <c r="C593" s="26"/>
      <c r="D593" s="26"/>
      <c r="E593" s="26"/>
      <c r="F593" s="26"/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3.2" hidden="false" customHeight="false" outlineLevel="0" collapsed="false">
      <c r="A594" s="26"/>
      <c r="B594" s="26"/>
      <c r="C594" s="26"/>
      <c r="D594" s="26"/>
      <c r="E594" s="26"/>
      <c r="F594" s="26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3.2" hidden="false" customHeight="false" outlineLevel="0" collapsed="false">
      <c r="A595" s="39" t="s">
        <v>34</v>
      </c>
      <c r="B595" s="39"/>
      <c r="C595" s="39"/>
      <c r="D595" s="39"/>
      <c r="E595" s="41" t="s">
        <v>29</v>
      </c>
      <c r="F595" s="41"/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601" customFormat="false" ht="18" hidden="false" customHeight="true" outlineLevel="0" collapsed="false">
      <c r="A601" s="62" t="s">
        <v>0</v>
      </c>
      <c r="B601" s="16"/>
      <c r="C601" s="16"/>
      <c r="D601" s="16"/>
      <c r="E601" s="16"/>
      <c r="F601" s="16"/>
      <c r="G601" s="0"/>
      <c r="H601" s="0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8.6" hidden="false" customHeight="true" outlineLevel="0" collapsed="false">
      <c r="A602" s="42" t="s">
        <v>106</v>
      </c>
      <c r="B602" s="42"/>
      <c r="C602" s="42"/>
      <c r="D602" s="42"/>
      <c r="E602" s="42"/>
      <c r="F602" s="43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3.8" hidden="false" customHeight="true" outlineLevel="0" collapsed="false">
      <c r="A603" s="10" t="s">
        <v>2</v>
      </c>
      <c r="B603" s="10"/>
      <c r="C603" s="10"/>
      <c r="D603" s="10"/>
      <c r="E603" s="10"/>
      <c r="F603" s="44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6.8" hidden="false" customHeight="false" outlineLevel="0" collapsed="false">
      <c r="A604" s="13" t="s">
        <v>3</v>
      </c>
      <c r="B604" s="14"/>
      <c r="C604" s="14"/>
      <c r="D604" s="46"/>
      <c r="E604" s="46" t="s">
        <v>4</v>
      </c>
      <c r="F604" s="66"/>
      <c r="G604" s="0"/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33.6" hidden="false" customHeight="false" outlineLevel="0" collapsed="false">
      <c r="A605" s="17" t="s">
        <v>5</v>
      </c>
      <c r="B605" s="17" t="s">
        <v>5</v>
      </c>
      <c r="C605" s="17" t="s">
        <v>107</v>
      </c>
      <c r="D605" s="17" t="s">
        <v>7</v>
      </c>
      <c r="E605" s="17" t="s">
        <v>8</v>
      </c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6.8" hidden="false" customHeight="false" outlineLevel="0" collapsed="false">
      <c r="A606" s="19" t="s">
        <v>9</v>
      </c>
      <c r="B606" s="20" t="n">
        <f aca="false">E571</f>
        <v>635</v>
      </c>
      <c r="C606" s="20" t="n">
        <v>125</v>
      </c>
      <c r="D606" s="20" t="n">
        <v>635</v>
      </c>
      <c r="E606" s="47" t="n">
        <f aca="false">B606+C606-D606</f>
        <v>125</v>
      </c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6.8" hidden="false" customHeight="false" outlineLevel="0" collapsed="false">
      <c r="A607" s="19" t="s">
        <v>63</v>
      </c>
      <c r="B607" s="20" t="n">
        <f aca="false">E572</f>
        <v>9240</v>
      </c>
      <c r="C607" s="20"/>
      <c r="D607" s="20" t="n">
        <v>9240</v>
      </c>
      <c r="E607" s="47" t="n">
        <f aca="false">B607+C607-D607</f>
        <v>0</v>
      </c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6.8" hidden="false" customHeight="false" outlineLevel="0" collapsed="false">
      <c r="A608" s="19" t="s">
        <v>10</v>
      </c>
      <c r="B608" s="20" t="n">
        <f aca="false">E573</f>
        <v>909766</v>
      </c>
      <c r="C608" s="20" t="n">
        <f aca="false">157573-125</f>
        <v>157448</v>
      </c>
      <c r="D608" s="20" t="n">
        <v>909766</v>
      </c>
      <c r="E608" s="47" t="n">
        <f aca="false">B608+C608-D608</f>
        <v>157448</v>
      </c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6.8" hidden="false" customHeight="false" outlineLevel="0" collapsed="false">
      <c r="A609" s="21" t="s">
        <v>11</v>
      </c>
      <c r="B609" s="22" t="n">
        <f aca="false">SUM(B606:B608)</f>
        <v>919641</v>
      </c>
      <c r="C609" s="22" t="n">
        <f aca="false">SUM(C606:C608)</f>
        <v>157573</v>
      </c>
      <c r="D609" s="22" t="n">
        <f aca="false">SUM(D606:D608)</f>
        <v>919641</v>
      </c>
      <c r="E609" s="22" t="n">
        <f aca="false">SUM(E606:E608)</f>
        <v>157573</v>
      </c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6.8" hidden="false" customHeight="false" outlineLevel="0" collapsed="false">
      <c r="A610" s="64" t="s">
        <v>108</v>
      </c>
      <c r="B610" s="64"/>
      <c r="C610" s="64"/>
      <c r="D610" s="64"/>
      <c r="E610" s="64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6.8" hidden="false" customHeight="false" outlineLevel="0" collapsed="false">
      <c r="A611" s="77" t="s">
        <v>109</v>
      </c>
      <c r="B611" s="77"/>
      <c r="C611" s="77"/>
      <c r="D611" s="77"/>
      <c r="E611" s="77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8.75" hidden="false" customHeight="true" outlineLevel="0" collapsed="false">
      <c r="A612" s="13" t="s">
        <v>12</v>
      </c>
      <c r="B612" s="13"/>
      <c r="C612" s="13"/>
      <c r="D612" s="13"/>
      <c r="E612" s="24"/>
      <c r="F612" s="24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8.75" hidden="false" customHeight="true" outlineLevel="0" collapsed="false">
      <c r="A613" s="14" t="s">
        <v>110</v>
      </c>
      <c r="B613" s="13"/>
      <c r="C613" s="13"/>
      <c r="D613" s="13"/>
      <c r="E613" s="24"/>
      <c r="F613" s="24"/>
      <c r="G613" s="0"/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50.4" hidden="false" customHeight="false" outlineLevel="0" collapsed="false">
      <c r="A614" s="25" t="s">
        <v>13</v>
      </c>
      <c r="B614" s="17" t="s">
        <v>111</v>
      </c>
      <c r="C614" s="17" t="s">
        <v>112</v>
      </c>
      <c r="D614" s="72" t="s">
        <v>15</v>
      </c>
      <c r="E614" s="73" t="s">
        <v>16</v>
      </c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33.6" hidden="false" customHeight="false" outlineLevel="0" collapsed="false">
      <c r="A615" s="49" t="s">
        <v>49</v>
      </c>
      <c r="B615" s="50"/>
      <c r="C615" s="60"/>
      <c r="D615" s="70"/>
      <c r="E615" s="7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6.8" hidden="false" customHeight="false" outlineLevel="0" collapsed="false">
      <c r="A616" s="49" t="s">
        <v>53</v>
      </c>
      <c r="B616" s="19" t="n">
        <f aca="false">74300-27650+86650+100650</f>
        <v>233950</v>
      </c>
      <c r="C616" s="61" t="n">
        <f aca="false">29850+4000</f>
        <v>33850</v>
      </c>
      <c r="D616" s="70"/>
      <c r="E616" s="78" t="n">
        <f aca="false">D609/(B618+C618)</f>
        <v>3.43405899925317</v>
      </c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6.8" hidden="false" customHeight="false" outlineLevel="0" collapsed="false">
      <c r="A617" s="53" t="s">
        <v>18</v>
      </c>
      <c r="B617" s="20"/>
      <c r="C617" s="60"/>
      <c r="D617" s="70"/>
      <c r="E617" s="7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6.8" hidden="false" customHeight="false" outlineLevel="0" collapsed="false">
      <c r="A618" s="30" t="s">
        <v>11</v>
      </c>
      <c r="B618" s="22" t="n">
        <f aca="false">SUM(B615:B617)</f>
        <v>233950</v>
      </c>
      <c r="C618" s="22" t="n">
        <f aca="false">SUM(C615:C617)</f>
        <v>33850</v>
      </c>
      <c r="D618" s="75"/>
      <c r="E618" s="79" t="n">
        <f aca="false">D609/(C618+B618)</f>
        <v>3.43405899925317</v>
      </c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20.25" hidden="false" customHeight="true" outlineLevel="0" collapsed="false">
      <c r="A619" s="67" t="s">
        <v>113</v>
      </c>
      <c r="B619" s="56"/>
      <c r="C619" s="56"/>
      <c r="D619" s="80"/>
      <c r="E619" s="8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50.4" hidden="false" customHeight="false" outlineLevel="0" collapsed="false">
      <c r="A620" s="25" t="s">
        <v>13</v>
      </c>
      <c r="B620" s="17" t="s">
        <v>114</v>
      </c>
      <c r="C620" s="72" t="s">
        <v>15</v>
      </c>
      <c r="D620" s="73" t="s">
        <v>16</v>
      </c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33.6" hidden="false" customHeight="false" outlineLevel="0" collapsed="false">
      <c r="A621" s="49" t="s">
        <v>49</v>
      </c>
      <c r="B621" s="50"/>
      <c r="C621" s="70"/>
      <c r="D621" s="70"/>
      <c r="E621" s="0"/>
      <c r="F621" s="0"/>
      <c r="G621" s="0"/>
      <c r="H621" s="0"/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6.8" hidden="false" customHeight="false" outlineLevel="0" collapsed="false">
      <c r="A622" s="49" t="s">
        <v>53</v>
      </c>
      <c r="B622" s="19" t="n">
        <f aca="false">78150-29850-4000</f>
        <v>44300</v>
      </c>
      <c r="C622" s="70"/>
      <c r="D622" s="78"/>
      <c r="E622" s="0"/>
      <c r="F622" s="0"/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6.8" hidden="false" customHeight="false" outlineLevel="0" collapsed="false">
      <c r="A623" s="53" t="s">
        <v>18</v>
      </c>
      <c r="B623" s="20"/>
      <c r="C623" s="70"/>
      <c r="D623" s="7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7.25" hidden="false" customHeight="true" outlineLevel="0" collapsed="false">
      <c r="A624" s="30" t="s">
        <v>11</v>
      </c>
      <c r="B624" s="22" t="n">
        <f aca="false">SUM(B621:B623)</f>
        <v>44300</v>
      </c>
      <c r="C624" s="75"/>
      <c r="D624" s="81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23.25" hidden="false" customHeight="true" outlineLevel="0" collapsed="false">
      <c r="A625" s="13" t="s">
        <v>20</v>
      </c>
      <c r="B625" s="0"/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6.8" hidden="false" customHeight="false" outlineLevel="0" collapsed="false">
      <c r="A626" s="17" t="s">
        <v>13</v>
      </c>
      <c r="B626" s="17" t="s">
        <v>21</v>
      </c>
      <c r="C626" s="18"/>
      <c r="D626" s="18"/>
      <c r="E626" s="18"/>
      <c r="F626" s="18"/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6.8" hidden="false" customHeight="false" outlineLevel="0" collapsed="false">
      <c r="A627" s="33" t="s">
        <v>22</v>
      </c>
      <c r="B627" s="34"/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6.8" hidden="false" customHeight="false" outlineLevel="0" collapsed="false">
      <c r="A628" s="33" t="s">
        <v>17</v>
      </c>
      <c r="B628" s="34" t="n">
        <f aca="false">215450-B629</f>
        <v>201200</v>
      </c>
      <c r="C628" s="0"/>
      <c r="D628" s="0"/>
      <c r="E628" s="0"/>
      <c r="F628" s="0"/>
      <c r="G628" s="0"/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6.8" hidden="false" customHeight="false" outlineLevel="0" collapsed="false">
      <c r="A629" s="33" t="s">
        <v>18</v>
      </c>
      <c r="B629" s="34" t="n">
        <v>14250</v>
      </c>
      <c r="C629" s="0"/>
      <c r="D629" s="0"/>
      <c r="E629" s="0"/>
      <c r="F629" s="0"/>
      <c r="G629" s="0"/>
      <c r="H629" s="0"/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6.8" hidden="false" customHeight="false" outlineLevel="0" collapsed="false">
      <c r="A630" s="25" t="s">
        <v>11</v>
      </c>
      <c r="B630" s="35" t="n">
        <f aca="false">SUM(B627:B629)</f>
        <v>215450</v>
      </c>
      <c r="C630" s="0"/>
      <c r="D630" s="0"/>
      <c r="E630" s="0"/>
      <c r="F630" s="0"/>
      <c r="G630" s="0"/>
      <c r="H630" s="0"/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3.2" hidden="false" customHeight="false" outlineLevel="0" collapsed="false">
      <c r="A631" s="0"/>
      <c r="B631" s="0"/>
      <c r="C631" s="0"/>
      <c r="D631" s="0"/>
      <c r="E631" s="0"/>
      <c r="F631" s="0"/>
      <c r="G631" s="0"/>
      <c r="H631" s="0"/>
      <c r="I631" s="0"/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3.2" hidden="false" customHeight="false" outlineLevel="0" collapsed="false">
      <c r="A632" s="39" t="s">
        <v>23</v>
      </c>
      <c r="B632" s="39" t="s">
        <v>24</v>
      </c>
      <c r="C632" s="39" t="s">
        <v>25</v>
      </c>
      <c r="D632" s="39" t="s">
        <v>26</v>
      </c>
      <c r="E632" s="41" t="s">
        <v>27</v>
      </c>
      <c r="F632" s="41"/>
      <c r="G632" s="0"/>
      <c r="H632" s="0"/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3.2" hidden="false" customHeight="false" outlineLevel="0" collapsed="false">
      <c r="A633" s="26"/>
      <c r="B633" s="26"/>
      <c r="C633" s="26"/>
      <c r="D633" s="26"/>
      <c r="E633" s="26"/>
      <c r="F633" s="26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3.2" hidden="false" customHeight="false" outlineLevel="0" collapsed="false">
      <c r="A634" s="26"/>
      <c r="B634" s="26"/>
      <c r="C634" s="26"/>
      <c r="D634" s="26"/>
      <c r="E634" s="26"/>
      <c r="F634" s="26"/>
      <c r="G634" s="0"/>
      <c r="H634" s="0"/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3.2" hidden="false" customHeight="false" outlineLevel="0" collapsed="false">
      <c r="A635" s="26"/>
      <c r="B635" s="26"/>
      <c r="C635" s="26"/>
      <c r="D635" s="26"/>
      <c r="E635" s="26"/>
      <c r="F635" s="26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3.2" hidden="false" customHeight="false" outlineLevel="0" collapsed="false">
      <c r="A636" s="26"/>
      <c r="B636" s="26"/>
      <c r="C636" s="26"/>
      <c r="D636" s="26"/>
      <c r="E636" s="26"/>
      <c r="F636" s="26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3.2" hidden="false" customHeight="false" outlineLevel="0" collapsed="false">
      <c r="A637" s="39" t="s">
        <v>34</v>
      </c>
      <c r="B637" s="39"/>
      <c r="C637" s="39"/>
      <c r="D637" s="39"/>
      <c r="E637" s="41" t="s">
        <v>29</v>
      </c>
      <c r="F637" s="41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42" customFormat="false" ht="13.8" hidden="false" customHeight="false" outlineLevel="0" collapsed="false">
      <c r="A642" s="62" t="s">
        <v>0</v>
      </c>
      <c r="B642" s="16"/>
      <c r="C642" s="16"/>
      <c r="D642" s="16"/>
      <c r="E642" s="16"/>
      <c r="F642" s="16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8.6" hidden="false" customHeight="true" outlineLevel="0" collapsed="false">
      <c r="A643" s="42" t="s">
        <v>115</v>
      </c>
      <c r="B643" s="42"/>
      <c r="C643" s="42"/>
      <c r="D643" s="42"/>
      <c r="E643" s="42"/>
      <c r="F643" s="43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3.8" hidden="false" customHeight="true" outlineLevel="0" collapsed="false">
      <c r="A644" s="10" t="s">
        <v>2</v>
      </c>
      <c r="B644" s="10"/>
      <c r="C644" s="10"/>
      <c r="D644" s="10"/>
      <c r="E644" s="10"/>
      <c r="F644" s="44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6.8" hidden="false" customHeight="false" outlineLevel="0" collapsed="false">
      <c r="A645" s="13" t="s">
        <v>3</v>
      </c>
      <c r="B645" s="14"/>
      <c r="C645" s="14"/>
      <c r="D645" s="46"/>
      <c r="E645" s="46" t="s">
        <v>4</v>
      </c>
      <c r="F645" s="66"/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33.6" hidden="false" customHeight="false" outlineLevel="0" collapsed="false">
      <c r="A646" s="17" t="s">
        <v>5</v>
      </c>
      <c r="B646" s="17" t="s">
        <v>5</v>
      </c>
      <c r="C646" s="17" t="s">
        <v>116</v>
      </c>
      <c r="D646" s="17" t="s">
        <v>117</v>
      </c>
      <c r="E646" s="17" t="s">
        <v>8</v>
      </c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6.8" hidden="false" customHeight="false" outlineLevel="0" collapsed="false">
      <c r="A647" s="19" t="s">
        <v>9</v>
      </c>
      <c r="B647" s="20" t="n">
        <f aca="false">E606</f>
        <v>125</v>
      </c>
      <c r="C647" s="20"/>
      <c r="D647" s="20" t="n">
        <v>125</v>
      </c>
      <c r="E647" s="47" t="n">
        <f aca="false">B647+C647-D647</f>
        <v>0</v>
      </c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6.8" hidden="false" customHeight="false" outlineLevel="0" collapsed="false">
      <c r="A648" s="19" t="s">
        <v>63</v>
      </c>
      <c r="B648" s="20"/>
      <c r="C648" s="20"/>
      <c r="D648" s="20"/>
      <c r="E648" s="47" t="n">
        <f aca="false">B648+C648-D648</f>
        <v>0</v>
      </c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6.8" hidden="false" customHeight="false" outlineLevel="0" collapsed="false">
      <c r="A649" s="19" t="s">
        <v>10</v>
      </c>
      <c r="B649" s="20" t="n">
        <f aca="false">E608</f>
        <v>157448</v>
      </c>
      <c r="C649" s="20" t="n">
        <f aca="false">177673-25019</f>
        <v>152654</v>
      </c>
      <c r="D649" s="20" t="n">
        <f aca="false">157448</f>
        <v>157448</v>
      </c>
      <c r="E649" s="47" t="n">
        <f aca="false">B649+C649-D649</f>
        <v>152654</v>
      </c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33.6" hidden="false" customHeight="false" outlineLevel="0" collapsed="false">
      <c r="A650" s="82" t="s">
        <v>118</v>
      </c>
      <c r="B650" s="20"/>
      <c r="C650" s="20" t="n">
        <f aca="false">34093+11222</f>
        <v>45315</v>
      </c>
      <c r="D650" s="20" t="n">
        <v>11093</v>
      </c>
      <c r="E650" s="47" t="n">
        <f aca="false">B650+C650-D650</f>
        <v>34222</v>
      </c>
      <c r="F650" s="0"/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6.8" hidden="false" customHeight="false" outlineLevel="0" collapsed="false">
      <c r="A651" s="21" t="s">
        <v>11</v>
      </c>
      <c r="B651" s="22" t="n">
        <f aca="false">SUM(B647:B649)</f>
        <v>157573</v>
      </c>
      <c r="C651" s="22" t="n">
        <f aca="false">SUM(C647:C649)</f>
        <v>152654</v>
      </c>
      <c r="D651" s="22" t="n">
        <f aca="false">SUM(D647:D649)</f>
        <v>157573</v>
      </c>
      <c r="E651" s="22" t="n">
        <f aca="false">SUM(E647:E650)</f>
        <v>186876</v>
      </c>
      <c r="F651" s="0"/>
      <c r="G651" s="0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6.8" hidden="false" customHeight="false" outlineLevel="0" collapsed="false">
      <c r="A652" s="64" t="s">
        <v>119</v>
      </c>
      <c r="B652" s="64"/>
      <c r="C652" s="64"/>
      <c r="D652" s="64"/>
      <c r="E652" s="64"/>
      <c r="F652" s="0"/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35.25" hidden="false" customHeight="true" outlineLevel="0" collapsed="false">
      <c r="A653" s="83" t="s">
        <v>120</v>
      </c>
      <c r="B653" s="83"/>
      <c r="C653" s="83"/>
      <c r="D653" s="83"/>
      <c r="E653" s="83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6.8" hidden="false" customHeight="false" outlineLevel="0" collapsed="false">
      <c r="A654" s="13" t="s">
        <v>12</v>
      </c>
      <c r="B654" s="13"/>
      <c r="C654" s="13"/>
      <c r="D654" s="13"/>
      <c r="E654" s="24"/>
      <c r="F654" s="24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6.8" hidden="false" customHeight="false" outlineLevel="0" collapsed="false">
      <c r="A655" s="14" t="s">
        <v>121</v>
      </c>
      <c r="B655" s="13"/>
      <c r="C655" s="13"/>
      <c r="D655" s="13"/>
      <c r="E655" s="24"/>
      <c r="F655" s="24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50.4" hidden="false" customHeight="false" outlineLevel="0" collapsed="false">
      <c r="A656" s="25" t="s">
        <v>13</v>
      </c>
      <c r="B656" s="17" t="s">
        <v>114</v>
      </c>
      <c r="C656" s="72" t="s">
        <v>15</v>
      </c>
      <c r="D656" s="73" t="s">
        <v>16</v>
      </c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33.6" hidden="false" customHeight="false" outlineLevel="0" collapsed="false">
      <c r="A657" s="49" t="s">
        <v>49</v>
      </c>
      <c r="B657" s="50"/>
      <c r="C657" s="70"/>
      <c r="D657" s="70"/>
      <c r="E657" s="0"/>
      <c r="F657" s="0"/>
      <c r="G657" s="0"/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6.8" hidden="false" customHeight="false" outlineLevel="0" collapsed="false">
      <c r="A658" s="49" t="s">
        <v>53</v>
      </c>
      <c r="B658" s="19" t="n">
        <v>44300</v>
      </c>
      <c r="C658" s="70"/>
      <c r="D658" s="78" t="n">
        <f aca="false">D651/B658</f>
        <v>3.55695259593679</v>
      </c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6.8" hidden="false" customHeight="false" outlineLevel="0" collapsed="false">
      <c r="A659" s="53" t="s">
        <v>18</v>
      </c>
      <c r="B659" s="20"/>
      <c r="C659" s="70"/>
      <c r="D659" s="70"/>
      <c r="E659" s="0"/>
      <c r="F659" s="0"/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6.8" hidden="false" customHeight="false" outlineLevel="0" collapsed="false">
      <c r="A660" s="30" t="s">
        <v>11</v>
      </c>
      <c r="B660" s="22" t="n">
        <f aca="false">SUM(B657:B659)</f>
        <v>44300</v>
      </c>
      <c r="C660" s="75"/>
      <c r="D660" s="79" t="n">
        <f aca="false">D651/B660</f>
        <v>3.55695259593679</v>
      </c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6.8" hidden="false" customHeight="false" outlineLevel="0" collapsed="false">
      <c r="A661" s="67" t="s">
        <v>122</v>
      </c>
      <c r="B661" s="56"/>
      <c r="C661" s="56"/>
      <c r="D661" s="80"/>
      <c r="E661" s="80"/>
      <c r="F661" s="0"/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33.6" hidden="false" customHeight="false" outlineLevel="0" collapsed="false">
      <c r="A662" s="25" t="s">
        <v>13</v>
      </c>
      <c r="B662" s="17" t="s">
        <v>123</v>
      </c>
      <c r="C662" s="72" t="s">
        <v>15</v>
      </c>
      <c r="D662" s="73" t="s">
        <v>16</v>
      </c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33.6" hidden="false" customHeight="false" outlineLevel="0" collapsed="false">
      <c r="A663" s="49" t="s">
        <v>49</v>
      </c>
      <c r="B663" s="50"/>
      <c r="C663" s="70"/>
      <c r="D663" s="70"/>
      <c r="E663" s="0"/>
      <c r="F663" s="0"/>
      <c r="G663" s="0"/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6.8" hidden="false" customHeight="false" outlineLevel="0" collapsed="false">
      <c r="A664" s="49" t="s">
        <v>53</v>
      </c>
      <c r="B664" s="19" t="n">
        <v>35150</v>
      </c>
      <c r="C664" s="70" t="n">
        <v>63.8</v>
      </c>
      <c r="D664" s="78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6.8" hidden="false" customHeight="false" outlineLevel="0" collapsed="false">
      <c r="A665" s="53" t="s">
        <v>18</v>
      </c>
      <c r="B665" s="20"/>
      <c r="C665" s="70"/>
      <c r="D665" s="7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6.8" hidden="false" customHeight="false" outlineLevel="0" collapsed="false">
      <c r="A666" s="30" t="s">
        <v>11</v>
      </c>
      <c r="B666" s="22" t="n">
        <f aca="false">SUM(B663:B665)</f>
        <v>35150</v>
      </c>
      <c r="C666" s="75"/>
      <c r="D666" s="81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s="84" customFormat="true" ht="16.8" hidden="false" customHeight="false" outlineLevel="0" collapsed="false">
      <c r="A667" s="55" t="s">
        <v>124</v>
      </c>
      <c r="B667" s="56"/>
      <c r="C667" s="80"/>
      <c r="D667" s="80"/>
    </row>
    <row r="668" customFormat="false" ht="16.8" hidden="false" customHeight="false" outlineLevel="0" collapsed="false">
      <c r="A668" s="13" t="s">
        <v>20</v>
      </c>
      <c r="B668" s="0"/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6.8" hidden="false" customHeight="false" outlineLevel="0" collapsed="false">
      <c r="A669" s="17" t="s">
        <v>13</v>
      </c>
      <c r="B669" s="17" t="s">
        <v>21</v>
      </c>
      <c r="C669" s="18"/>
      <c r="D669" s="18"/>
      <c r="E669" s="18"/>
      <c r="F669" s="18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6.8" hidden="false" customHeight="false" outlineLevel="0" collapsed="false">
      <c r="A670" s="33" t="s">
        <v>22</v>
      </c>
      <c r="B670" s="34"/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6.8" hidden="false" customHeight="false" outlineLevel="0" collapsed="false">
      <c r="A671" s="33" t="s">
        <v>17</v>
      </c>
      <c r="B671" s="34" t="n">
        <v>232610</v>
      </c>
      <c r="C671" s="0"/>
      <c r="D671" s="0"/>
      <c r="E671" s="0"/>
      <c r="F671" s="0"/>
      <c r="G671" s="0"/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6.8" hidden="false" customHeight="false" outlineLevel="0" collapsed="false">
      <c r="A672" s="33" t="s">
        <v>18</v>
      </c>
      <c r="B672" s="34" t="n">
        <v>14250</v>
      </c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6.8" hidden="false" customHeight="false" outlineLevel="0" collapsed="false">
      <c r="A673" s="25" t="s">
        <v>11</v>
      </c>
      <c r="B673" s="35" t="n">
        <f aca="false">SUM(B670:B672)</f>
        <v>246860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3.2" hidden="false" customHeight="false" outlineLevel="0" collapsed="false">
      <c r="A674" s="0"/>
      <c r="B674" s="0"/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3.2" hidden="false" customHeight="false" outlineLevel="0" collapsed="false">
      <c r="A675" s="39" t="s">
        <v>23</v>
      </c>
      <c r="B675" s="39" t="s">
        <v>24</v>
      </c>
      <c r="C675" s="39" t="s">
        <v>25</v>
      </c>
      <c r="D675" s="39" t="s">
        <v>26</v>
      </c>
      <c r="E675" s="41" t="s">
        <v>27</v>
      </c>
      <c r="F675" s="41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3.2" hidden="false" customHeight="false" outlineLevel="0" collapsed="false">
      <c r="A676" s="26"/>
      <c r="B676" s="26"/>
      <c r="C676" s="26"/>
      <c r="D676" s="26"/>
      <c r="E676" s="26"/>
      <c r="F676" s="26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3.2" hidden="false" customHeight="false" outlineLevel="0" collapsed="false">
      <c r="A677" s="26"/>
      <c r="B677" s="26"/>
      <c r="C677" s="26"/>
      <c r="D677" s="26"/>
      <c r="E677" s="26"/>
      <c r="F677" s="26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3.2" hidden="false" customHeight="false" outlineLevel="0" collapsed="false">
      <c r="A678" s="26"/>
      <c r="B678" s="26"/>
      <c r="C678" s="26"/>
      <c r="D678" s="26"/>
      <c r="E678" s="26"/>
      <c r="F678" s="26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3.2" hidden="false" customHeight="false" outlineLevel="0" collapsed="false">
      <c r="A679" s="26"/>
      <c r="B679" s="26"/>
      <c r="C679" s="26"/>
      <c r="D679" s="26"/>
      <c r="E679" s="26"/>
      <c r="F679" s="26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3.2" hidden="false" customHeight="false" outlineLevel="0" collapsed="false">
      <c r="A680" s="39" t="s">
        <v>34</v>
      </c>
      <c r="B680" s="39"/>
      <c r="C680" s="39"/>
      <c r="D680" s="39"/>
      <c r="E680" s="41" t="s">
        <v>29</v>
      </c>
      <c r="F680" s="41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4" customFormat="false" ht="13.8" hidden="false" customHeight="false" outlineLevel="0" collapsed="false">
      <c r="A684" s="62" t="s">
        <v>0</v>
      </c>
      <c r="B684" s="16"/>
      <c r="C684" s="16"/>
      <c r="D684" s="16"/>
      <c r="E684" s="16"/>
      <c r="F684" s="16"/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8.6" hidden="false" customHeight="true" outlineLevel="0" collapsed="false">
      <c r="A685" s="42" t="s">
        <v>125</v>
      </c>
      <c r="B685" s="42"/>
      <c r="C685" s="42"/>
      <c r="D685" s="42"/>
      <c r="E685" s="42"/>
      <c r="F685" s="43"/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3.8" hidden="false" customHeight="true" outlineLevel="0" collapsed="false">
      <c r="A686" s="10" t="s">
        <v>2</v>
      </c>
      <c r="B686" s="10"/>
      <c r="C686" s="10"/>
      <c r="D686" s="10"/>
      <c r="E686" s="10"/>
      <c r="F686" s="44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6.8" hidden="false" customHeight="false" outlineLevel="0" collapsed="false">
      <c r="A687" s="13" t="s">
        <v>3</v>
      </c>
      <c r="B687" s="14"/>
      <c r="C687" s="14"/>
      <c r="D687" s="46"/>
      <c r="E687" s="46" t="s">
        <v>4</v>
      </c>
      <c r="F687" s="66"/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33.6" hidden="false" customHeight="false" outlineLevel="0" collapsed="false">
      <c r="A688" s="17" t="s">
        <v>5</v>
      </c>
      <c r="B688" s="17" t="s">
        <v>5</v>
      </c>
      <c r="C688" s="17" t="s">
        <v>126</v>
      </c>
      <c r="D688" s="17" t="s">
        <v>7</v>
      </c>
      <c r="E688" s="17" t="s">
        <v>8</v>
      </c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6.8" hidden="false" customHeight="false" outlineLevel="0" collapsed="false">
      <c r="A689" s="19" t="s">
        <v>9</v>
      </c>
      <c r="B689" s="20" t="n">
        <f aca="false">E647</f>
        <v>0</v>
      </c>
      <c r="C689" s="20" t="n">
        <v>170</v>
      </c>
      <c r="D689" s="20" t="n">
        <v>170</v>
      </c>
      <c r="E689" s="47" t="n">
        <f aca="false">B689+C689-D689</f>
        <v>0</v>
      </c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6.8" hidden="false" customHeight="false" outlineLevel="0" collapsed="false">
      <c r="A690" s="19" t="s">
        <v>63</v>
      </c>
      <c r="B690" s="20" t="n">
        <f aca="false">E648</f>
        <v>0</v>
      </c>
      <c r="C690" s="20"/>
      <c r="D690" s="20"/>
      <c r="E690" s="47" t="n">
        <f aca="false">B690+C690-D690</f>
        <v>0</v>
      </c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6.8" hidden="false" customHeight="false" outlineLevel="0" collapsed="false">
      <c r="A691" s="19" t="s">
        <v>10</v>
      </c>
      <c r="B691" s="20" t="n">
        <f aca="false">E649</f>
        <v>152654</v>
      </c>
      <c r="C691" s="20" t="n">
        <f aca="false">54840</f>
        <v>54840</v>
      </c>
      <c r="D691" s="20" t="n">
        <f aca="false">232513-25019</f>
        <v>207494</v>
      </c>
      <c r="E691" s="47" t="n">
        <f aca="false">B691+C691-D691</f>
        <v>0</v>
      </c>
      <c r="F691" s="0"/>
      <c r="G691" s="0"/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33.6" hidden="false" customHeight="false" outlineLevel="0" collapsed="false">
      <c r="A692" s="82" t="s">
        <v>118</v>
      </c>
      <c r="B692" s="20" t="n">
        <f aca="false">E650</f>
        <v>34222</v>
      </c>
      <c r="C692" s="20"/>
      <c r="D692" s="20" t="n">
        <f aca="false">23000+11222</f>
        <v>34222</v>
      </c>
      <c r="E692" s="47" t="n">
        <f aca="false">B692+C692-D692</f>
        <v>0</v>
      </c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6.8" hidden="false" customHeight="false" outlineLevel="0" collapsed="false">
      <c r="A693" s="21" t="s">
        <v>11</v>
      </c>
      <c r="B693" s="22" t="n">
        <f aca="false">SUM(B689:B691)</f>
        <v>152654</v>
      </c>
      <c r="C693" s="22" t="n">
        <f aca="false">SUM(C689:C691)</f>
        <v>55010</v>
      </c>
      <c r="D693" s="22" t="n">
        <f aca="false">SUM(D689:D691)</f>
        <v>207664</v>
      </c>
      <c r="E693" s="22" t="n">
        <f aca="false">SUM(E689:E691)</f>
        <v>0</v>
      </c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21" hidden="false" customHeight="true" outlineLevel="0" collapsed="false">
      <c r="A694" s="13" t="s">
        <v>12</v>
      </c>
      <c r="B694" s="13"/>
      <c r="C694" s="13"/>
      <c r="D694" s="13"/>
      <c r="E694" s="24"/>
      <c r="F694" s="24"/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6.8" hidden="false" customHeight="false" outlineLevel="0" collapsed="false">
      <c r="A695" s="14" t="s">
        <v>127</v>
      </c>
      <c r="B695" s="13"/>
      <c r="C695" s="13"/>
      <c r="D695" s="13"/>
      <c r="E695" s="24"/>
      <c r="F695" s="24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33.6" hidden="false" customHeight="false" outlineLevel="0" collapsed="false">
      <c r="A696" s="25" t="s">
        <v>13</v>
      </c>
      <c r="B696" s="17" t="s">
        <v>123</v>
      </c>
      <c r="C696" s="17" t="s">
        <v>128</v>
      </c>
      <c r="D696" s="85" t="s">
        <v>129</v>
      </c>
      <c r="E696" s="73" t="s">
        <v>16</v>
      </c>
      <c r="F696" s="0"/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33.6" hidden="false" customHeight="false" outlineLevel="0" collapsed="false">
      <c r="A697" s="49" t="s">
        <v>49</v>
      </c>
      <c r="B697" s="50"/>
      <c r="C697" s="20"/>
      <c r="D697" s="20"/>
      <c r="E697" s="20"/>
      <c r="F697" s="0"/>
      <c r="G697" s="0"/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6.8" hidden="false" customHeight="false" outlineLevel="0" collapsed="false">
      <c r="A698" s="49" t="s">
        <v>53</v>
      </c>
      <c r="B698" s="19" t="n">
        <v>35150</v>
      </c>
      <c r="C698" s="20" t="n">
        <v>33620</v>
      </c>
      <c r="D698" s="86" t="n">
        <v>63.8</v>
      </c>
      <c r="E698" s="29" t="n">
        <f aca="false">D693/(B698+C698)</f>
        <v>3.01968881779846</v>
      </c>
      <c r="F698" s="0"/>
      <c r="G698" s="0"/>
      <c r="H698" s="0"/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6.8" hidden="false" customHeight="false" outlineLevel="0" collapsed="false">
      <c r="A699" s="53" t="s">
        <v>18</v>
      </c>
      <c r="B699" s="20"/>
      <c r="C699" s="20"/>
      <c r="D699" s="20"/>
      <c r="E699" s="2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6.8" hidden="false" customHeight="false" outlineLevel="0" collapsed="false">
      <c r="A700" s="30" t="s">
        <v>11</v>
      </c>
      <c r="B700" s="22" t="n">
        <f aca="false">SUM(B697:B699)</f>
        <v>35150</v>
      </c>
      <c r="C700" s="87" t="n">
        <f aca="false">SUM(C697:C699)</f>
        <v>33620</v>
      </c>
      <c r="D700" s="88" t="n">
        <v>63.8</v>
      </c>
      <c r="E700" s="89" t="n">
        <v>3.02</v>
      </c>
      <c r="F700" s="0"/>
      <c r="G700" s="0"/>
      <c r="H700" s="0"/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6.8" hidden="false" customHeight="false" outlineLevel="0" collapsed="false">
      <c r="A701" s="13" t="s">
        <v>20</v>
      </c>
      <c r="B701" s="0"/>
      <c r="C701" s="0"/>
      <c r="D701" s="0"/>
      <c r="E701" s="0"/>
      <c r="F701" s="0"/>
      <c r="G701" s="0"/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6.8" hidden="false" customHeight="false" outlineLevel="0" collapsed="false">
      <c r="A702" s="17" t="s">
        <v>13</v>
      </c>
      <c r="B702" s="17" t="s">
        <v>21</v>
      </c>
      <c r="C702" s="18"/>
      <c r="D702" s="18"/>
      <c r="E702" s="18"/>
      <c r="F702" s="18"/>
      <c r="G702" s="0"/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6.8" hidden="false" customHeight="false" outlineLevel="0" collapsed="false">
      <c r="A703" s="33" t="s">
        <v>22</v>
      </c>
      <c r="B703" s="34"/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6.8" hidden="false" customHeight="false" outlineLevel="0" collapsed="false">
      <c r="A704" s="33" t="s">
        <v>17</v>
      </c>
      <c r="B704" s="34" t="n">
        <f aca="false">280480-B705</f>
        <v>266230</v>
      </c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6.8" hidden="false" customHeight="false" outlineLevel="0" collapsed="false">
      <c r="A705" s="33" t="s">
        <v>18</v>
      </c>
      <c r="B705" s="34" t="n">
        <v>14250</v>
      </c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6.8" hidden="false" customHeight="false" outlineLevel="0" collapsed="false">
      <c r="A706" s="25" t="s">
        <v>11</v>
      </c>
      <c r="B706" s="35" t="n">
        <f aca="false">SUM(B703:B705)</f>
        <v>280480</v>
      </c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3.2" hidden="false" customHeight="false" outlineLevel="0" collapsed="false">
      <c r="A707" s="0"/>
      <c r="B707" s="0"/>
      <c r="C707" s="0"/>
      <c r="D707" s="0"/>
      <c r="E707" s="0"/>
      <c r="F707" s="0"/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3.2" hidden="false" customHeight="false" outlineLevel="0" collapsed="false">
      <c r="A708" s="39" t="s">
        <v>23</v>
      </c>
      <c r="B708" s="39" t="s">
        <v>24</v>
      </c>
      <c r="C708" s="39" t="s">
        <v>25</v>
      </c>
      <c r="D708" s="39" t="s">
        <v>26</v>
      </c>
      <c r="E708" s="41" t="s">
        <v>27</v>
      </c>
      <c r="F708" s="41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3.2" hidden="false" customHeight="false" outlineLevel="0" collapsed="false">
      <c r="A709" s="26"/>
      <c r="B709" s="26"/>
      <c r="C709" s="26"/>
      <c r="D709" s="26"/>
      <c r="E709" s="26"/>
      <c r="F709" s="26"/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3.2" hidden="false" customHeight="false" outlineLevel="0" collapsed="false">
      <c r="A710" s="26"/>
      <c r="B710" s="26"/>
      <c r="C710" s="26"/>
      <c r="D710" s="26"/>
      <c r="E710" s="26"/>
      <c r="F710" s="26"/>
      <c r="G710" s="0"/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3.2" hidden="false" customHeight="false" outlineLevel="0" collapsed="false">
      <c r="A711" s="26"/>
      <c r="B711" s="26"/>
      <c r="C711" s="26"/>
      <c r="D711" s="26"/>
      <c r="E711" s="26"/>
      <c r="F711" s="26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3.2" hidden="false" customHeight="false" outlineLevel="0" collapsed="false">
      <c r="A712" s="26"/>
      <c r="B712" s="26"/>
      <c r="C712" s="26"/>
      <c r="D712" s="26"/>
      <c r="E712" s="26"/>
      <c r="F712" s="26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3.2" hidden="false" customHeight="false" outlineLevel="0" collapsed="false">
      <c r="A713" s="39" t="s">
        <v>34</v>
      </c>
      <c r="B713" s="39"/>
      <c r="C713" s="39"/>
      <c r="D713" s="39"/>
      <c r="E713" s="41" t="s">
        <v>29</v>
      </c>
      <c r="F713" s="41"/>
      <c r="G713" s="0"/>
      <c r="H713" s="0"/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7" customFormat="false" ht="13.8" hidden="false" customHeight="false" outlineLevel="0" collapsed="false">
      <c r="A717" s="62" t="s">
        <v>0</v>
      </c>
      <c r="B717" s="16"/>
      <c r="C717" s="16"/>
      <c r="D717" s="16"/>
      <c r="E717" s="16"/>
      <c r="F717" s="16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8.6" hidden="false" customHeight="true" outlineLevel="0" collapsed="false">
      <c r="A718" s="42" t="s">
        <v>130</v>
      </c>
      <c r="B718" s="42"/>
      <c r="C718" s="42"/>
      <c r="D718" s="42"/>
      <c r="E718" s="42"/>
      <c r="F718" s="43"/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3.8" hidden="false" customHeight="true" outlineLevel="0" collapsed="false">
      <c r="A719" s="10" t="s">
        <v>2</v>
      </c>
      <c r="B719" s="10"/>
      <c r="C719" s="10"/>
      <c r="D719" s="10"/>
      <c r="E719" s="10"/>
      <c r="F719" s="44"/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6.8" hidden="false" customHeight="false" outlineLevel="0" collapsed="false">
      <c r="A720" s="13" t="s">
        <v>3</v>
      </c>
      <c r="B720" s="14"/>
      <c r="C720" s="14"/>
      <c r="D720" s="46"/>
      <c r="E720" s="46" t="s">
        <v>4</v>
      </c>
      <c r="F720" s="66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33.6" hidden="false" customHeight="false" outlineLevel="0" collapsed="false">
      <c r="A721" s="17" t="s">
        <v>5</v>
      </c>
      <c r="B721" s="17" t="s">
        <v>5</v>
      </c>
      <c r="C721" s="17" t="s">
        <v>131</v>
      </c>
      <c r="D721" s="17" t="s">
        <v>7</v>
      </c>
      <c r="E721" s="17" t="s">
        <v>8</v>
      </c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6.8" hidden="false" customHeight="false" outlineLevel="0" collapsed="false">
      <c r="A722" s="19" t="s">
        <v>9</v>
      </c>
      <c r="B722" s="20"/>
      <c r="C722" s="20" t="n">
        <v>110</v>
      </c>
      <c r="D722" s="20"/>
      <c r="E722" s="47" t="n">
        <f aca="false">B722+C722-D722</f>
        <v>110</v>
      </c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6.8" hidden="false" customHeight="false" outlineLevel="0" collapsed="false">
      <c r="A723" s="19" t="s">
        <v>63</v>
      </c>
      <c r="B723" s="20" t="n">
        <f aca="false">E681</f>
        <v>0</v>
      </c>
      <c r="C723" s="20" t="n">
        <v>7155</v>
      </c>
      <c r="D723" s="20"/>
      <c r="E723" s="47" t="n">
        <f aca="false">B723+C723-D723</f>
        <v>7155</v>
      </c>
      <c r="F723" s="0"/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6.8" hidden="false" customHeight="false" outlineLevel="0" collapsed="false">
      <c r="A724" s="19" t="s">
        <v>10</v>
      </c>
      <c r="B724" s="20" t="n">
        <f aca="false">E682</f>
        <v>0</v>
      </c>
      <c r="C724" s="20" t="n">
        <v>199323</v>
      </c>
      <c r="D724" s="20"/>
      <c r="E724" s="47" t="n">
        <f aca="false">B724+C724-D724</f>
        <v>199323</v>
      </c>
      <c r="F724" s="0"/>
      <c r="G724" s="0"/>
      <c r="H724" s="0"/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33.6" hidden="false" customHeight="false" outlineLevel="0" collapsed="false">
      <c r="A725" s="82" t="s">
        <v>118</v>
      </c>
      <c r="B725" s="20" t="n">
        <f aca="false">E683</f>
        <v>0</v>
      </c>
      <c r="C725" s="20"/>
      <c r="D725" s="20"/>
      <c r="E725" s="47" t="n">
        <f aca="false">B725+C725-D725</f>
        <v>0</v>
      </c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6.8" hidden="false" customHeight="false" outlineLevel="0" collapsed="false">
      <c r="A726" s="21" t="s">
        <v>11</v>
      </c>
      <c r="B726" s="22" t="n">
        <f aca="false">SUM(B722:B724)</f>
        <v>0</v>
      </c>
      <c r="C726" s="22" t="n">
        <f aca="false">SUM(C722:C724)</f>
        <v>206588</v>
      </c>
      <c r="D726" s="22" t="n">
        <f aca="false">SUM(D722:D724)</f>
        <v>0</v>
      </c>
      <c r="E726" s="22" t="n">
        <f aca="false">SUM(E722:E724)</f>
        <v>206588</v>
      </c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6.8" hidden="false" customHeight="false" outlineLevel="0" collapsed="false">
      <c r="A727" s="64" t="s">
        <v>87</v>
      </c>
      <c r="B727" s="64"/>
      <c r="C727" s="64"/>
      <c r="D727" s="64"/>
      <c r="E727" s="64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21" hidden="false" customHeight="true" outlineLevel="0" collapsed="false">
      <c r="A728" s="13" t="s">
        <v>12</v>
      </c>
      <c r="B728" s="13"/>
      <c r="C728" s="13"/>
      <c r="D728" s="13"/>
      <c r="E728" s="24"/>
      <c r="F728" s="24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33.6" hidden="false" customHeight="false" outlineLevel="0" collapsed="false">
      <c r="A729" s="25" t="s">
        <v>13</v>
      </c>
      <c r="B729" s="17" t="s">
        <v>132</v>
      </c>
      <c r="C729" s="90" t="s">
        <v>133</v>
      </c>
      <c r="D729" s="73" t="s">
        <v>16</v>
      </c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33.6" hidden="false" customHeight="false" outlineLevel="0" collapsed="false">
      <c r="A730" s="49" t="s">
        <v>49</v>
      </c>
      <c r="B730" s="50"/>
      <c r="C730" s="20"/>
      <c r="D730" s="20"/>
      <c r="E730" s="0"/>
      <c r="F730" s="0"/>
      <c r="G730" s="0"/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6.8" hidden="false" customHeight="false" outlineLevel="0" collapsed="false">
      <c r="A731" s="49" t="s">
        <v>53</v>
      </c>
      <c r="B731" s="19" t="n">
        <v>27330</v>
      </c>
      <c r="C731" s="86"/>
      <c r="D731" s="29"/>
      <c r="E731" s="0"/>
      <c r="F731" s="0"/>
      <c r="G731" s="0"/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6.8" hidden="false" customHeight="false" outlineLevel="0" collapsed="false">
      <c r="A732" s="53" t="s">
        <v>18</v>
      </c>
      <c r="B732" s="20"/>
      <c r="C732" s="20"/>
      <c r="D732" s="20"/>
      <c r="E732" s="0"/>
      <c r="F732" s="0"/>
      <c r="G732" s="0"/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6.8" hidden="false" customHeight="false" outlineLevel="0" collapsed="false">
      <c r="A733" s="30" t="s">
        <v>11</v>
      </c>
      <c r="B733" s="22" t="n">
        <f aca="false">SUM(B730:B732)</f>
        <v>27330</v>
      </c>
      <c r="C733" s="88"/>
      <c r="D733" s="89"/>
      <c r="E733" s="0"/>
      <c r="F733" s="0"/>
      <c r="G733" s="0"/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6.8" hidden="false" customHeight="false" outlineLevel="0" collapsed="false">
      <c r="A734" s="13" t="s">
        <v>20</v>
      </c>
      <c r="B734" s="0"/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6.8" hidden="false" customHeight="false" outlineLevel="0" collapsed="false">
      <c r="A735" s="17" t="s">
        <v>13</v>
      </c>
      <c r="B735" s="17" t="s">
        <v>21</v>
      </c>
      <c r="C735" s="18"/>
      <c r="D735" s="18"/>
      <c r="E735" s="18"/>
      <c r="F735" s="18"/>
      <c r="G735" s="0"/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6.8" hidden="false" customHeight="false" outlineLevel="0" collapsed="false">
      <c r="A736" s="33" t="s">
        <v>22</v>
      </c>
      <c r="B736" s="34"/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6.8" hidden="false" customHeight="false" outlineLevel="0" collapsed="false">
      <c r="A737" s="33" t="s">
        <v>17</v>
      </c>
      <c r="B737" s="34" t="n">
        <f aca="false">307810-B738</f>
        <v>293560</v>
      </c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6.8" hidden="false" customHeight="false" outlineLevel="0" collapsed="false">
      <c r="A738" s="33" t="s">
        <v>18</v>
      </c>
      <c r="B738" s="34" t="n">
        <v>14250</v>
      </c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6.8" hidden="false" customHeight="false" outlineLevel="0" collapsed="false">
      <c r="A739" s="25" t="s">
        <v>11</v>
      </c>
      <c r="B739" s="35" t="n">
        <f aca="false">SUM(B736:B738)</f>
        <v>307810</v>
      </c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3.2" hidden="false" customHeight="false" outlineLevel="0" collapsed="false">
      <c r="A740" s="0"/>
      <c r="B740" s="0"/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3.2" hidden="false" customHeight="false" outlineLevel="0" collapsed="false">
      <c r="A741" s="39" t="s">
        <v>23</v>
      </c>
      <c r="B741" s="39" t="s">
        <v>24</v>
      </c>
      <c r="C741" s="39" t="s">
        <v>25</v>
      </c>
      <c r="D741" s="39" t="s">
        <v>26</v>
      </c>
      <c r="E741" s="41" t="s">
        <v>27</v>
      </c>
      <c r="F741" s="41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3.2" hidden="false" customHeight="false" outlineLevel="0" collapsed="false">
      <c r="A742" s="26"/>
      <c r="B742" s="26"/>
      <c r="C742" s="26"/>
      <c r="D742" s="26"/>
      <c r="E742" s="26"/>
      <c r="F742" s="26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3.2" hidden="false" customHeight="false" outlineLevel="0" collapsed="false">
      <c r="A743" s="26"/>
      <c r="B743" s="26"/>
      <c r="C743" s="26"/>
      <c r="D743" s="26"/>
      <c r="E743" s="26"/>
      <c r="F743" s="26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3.2" hidden="false" customHeight="false" outlineLevel="0" collapsed="false">
      <c r="A744" s="26"/>
      <c r="B744" s="26"/>
      <c r="C744" s="26"/>
      <c r="D744" s="26"/>
      <c r="E744" s="26"/>
      <c r="F744" s="26"/>
      <c r="G744" s="0"/>
      <c r="H744" s="0"/>
      <c r="I744" s="0"/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3.2" hidden="false" customHeight="false" outlineLevel="0" collapsed="false">
      <c r="A745" s="26"/>
      <c r="B745" s="26"/>
      <c r="C745" s="26"/>
      <c r="D745" s="26"/>
      <c r="E745" s="26"/>
      <c r="F745" s="26"/>
      <c r="G745" s="0"/>
      <c r="H745" s="0"/>
      <c r="I745" s="0"/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3.2" hidden="false" customHeight="false" outlineLevel="0" collapsed="false">
      <c r="A746" s="39" t="s">
        <v>34</v>
      </c>
      <c r="B746" s="39"/>
      <c r="C746" s="39"/>
      <c r="D746" s="39"/>
      <c r="E746" s="41" t="s">
        <v>29</v>
      </c>
      <c r="F746" s="41"/>
      <c r="G746" s="0"/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51" customFormat="false" ht="13.8" hidden="false" customHeight="false" outlineLevel="0" collapsed="false">
      <c r="A751" s="62" t="s">
        <v>0</v>
      </c>
      <c r="B751" s="16"/>
      <c r="C751" s="16"/>
      <c r="D751" s="16"/>
      <c r="E751" s="16"/>
      <c r="F751" s="16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8.6" hidden="false" customHeight="true" outlineLevel="0" collapsed="false">
      <c r="A752" s="42" t="s">
        <v>134</v>
      </c>
      <c r="B752" s="42"/>
      <c r="C752" s="42"/>
      <c r="D752" s="42"/>
      <c r="E752" s="42"/>
      <c r="F752" s="43"/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13.8" hidden="false" customHeight="true" outlineLevel="0" collapsed="false">
      <c r="A753" s="10" t="s">
        <v>2</v>
      </c>
      <c r="B753" s="10"/>
      <c r="C753" s="10"/>
      <c r="D753" s="10"/>
      <c r="E753" s="10"/>
      <c r="F753" s="44"/>
      <c r="G753" s="0"/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6.8" hidden="false" customHeight="false" outlineLevel="0" collapsed="false">
      <c r="A754" s="13" t="s">
        <v>3</v>
      </c>
      <c r="B754" s="14"/>
      <c r="C754" s="14"/>
      <c r="D754" s="46"/>
      <c r="E754" s="46" t="s">
        <v>4</v>
      </c>
      <c r="F754" s="66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33.6" hidden="false" customHeight="false" outlineLevel="0" collapsed="false">
      <c r="A755" s="17" t="s">
        <v>5</v>
      </c>
      <c r="B755" s="17" t="s">
        <v>5</v>
      </c>
      <c r="C755" s="17" t="s">
        <v>135</v>
      </c>
      <c r="D755" s="17" t="s">
        <v>7</v>
      </c>
      <c r="E755" s="17" t="s">
        <v>8</v>
      </c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6.8" hidden="false" customHeight="false" outlineLevel="0" collapsed="false">
      <c r="A756" s="19" t="s">
        <v>9</v>
      </c>
      <c r="B756" s="20" t="n">
        <f aca="false">E722</f>
        <v>110</v>
      </c>
      <c r="C756" s="20" t="n">
        <v>95</v>
      </c>
      <c r="D756" s="20" t="n">
        <f aca="false">95+110</f>
        <v>205</v>
      </c>
      <c r="E756" s="47" t="n">
        <f aca="false">B756+C756-D756</f>
        <v>0</v>
      </c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6.8" hidden="false" customHeight="false" outlineLevel="0" collapsed="false">
      <c r="A757" s="19" t="s">
        <v>63</v>
      </c>
      <c r="B757" s="20" t="n">
        <f aca="false">E723</f>
        <v>7155</v>
      </c>
      <c r="C757" s="20"/>
      <c r="D757" s="20" t="n">
        <v>7155</v>
      </c>
      <c r="E757" s="47" t="n">
        <f aca="false">B757+C757-D757</f>
        <v>0</v>
      </c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6.8" hidden="false" customHeight="false" outlineLevel="0" collapsed="false">
      <c r="A758" s="19" t="s">
        <v>10</v>
      </c>
      <c r="B758" s="20" t="n">
        <f aca="false">E724</f>
        <v>199323</v>
      </c>
      <c r="C758" s="20" t="n">
        <f aca="false">170778-C756</f>
        <v>170683</v>
      </c>
      <c r="D758" s="20" t="n">
        <f aca="false">108598+199323-95</f>
        <v>307826</v>
      </c>
      <c r="E758" s="47" t="n">
        <f aca="false">B758+C758-D758</f>
        <v>62180</v>
      </c>
      <c r="F758" s="45"/>
      <c r="G758" s="45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33.6" hidden="false" customHeight="false" outlineLevel="0" collapsed="false">
      <c r="A759" s="82" t="s">
        <v>118</v>
      </c>
      <c r="B759" s="20" t="n">
        <f aca="false">E717</f>
        <v>0</v>
      </c>
      <c r="C759" s="20"/>
      <c r="D759" s="20"/>
      <c r="E759" s="47" t="n">
        <f aca="false">B759+C759-D759</f>
        <v>0</v>
      </c>
      <c r="F759" s="0"/>
      <c r="G759" s="45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16.8" hidden="false" customHeight="false" outlineLevel="0" collapsed="false">
      <c r="A760" s="21" t="s">
        <v>11</v>
      </c>
      <c r="B760" s="22" t="n">
        <f aca="false">SUM(B756:B758)</f>
        <v>206588</v>
      </c>
      <c r="C760" s="22" t="n">
        <f aca="false">SUM(C756:C758)</f>
        <v>170778</v>
      </c>
      <c r="D760" s="22" t="n">
        <f aca="false">SUM(D756:D758)</f>
        <v>315186</v>
      </c>
      <c r="E760" s="22" t="n">
        <f aca="false">SUM(E756:E758)</f>
        <v>62180</v>
      </c>
      <c r="F760" s="45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6.8" hidden="false" customHeight="false" outlineLevel="0" collapsed="false">
      <c r="A761" s="64" t="s">
        <v>136</v>
      </c>
      <c r="B761" s="64"/>
      <c r="C761" s="64"/>
      <c r="D761" s="64"/>
      <c r="E761" s="64"/>
      <c r="F761" s="91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16.8" hidden="false" customHeight="false" outlineLevel="0" collapsed="false">
      <c r="A762" s="13" t="s">
        <v>12</v>
      </c>
      <c r="B762" s="13"/>
      <c r="C762" s="13"/>
      <c r="D762" s="13"/>
      <c r="E762" s="24"/>
      <c r="F762" s="24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s="26" customFormat="true" ht="33" hidden="false" customHeight="true" outlineLevel="0" collapsed="false">
      <c r="A763" s="25" t="s">
        <v>13</v>
      </c>
      <c r="B763" s="17" t="s">
        <v>132</v>
      </c>
      <c r="C763" s="17" t="s">
        <v>137</v>
      </c>
      <c r="D763" s="85" t="s">
        <v>138</v>
      </c>
      <c r="E763" s="73" t="s">
        <v>16</v>
      </c>
    </row>
    <row r="764" customFormat="false" ht="21.75" hidden="false" customHeight="true" outlineLevel="0" collapsed="false">
      <c r="A764" s="49" t="s">
        <v>49</v>
      </c>
      <c r="B764" s="50"/>
      <c r="C764" s="20"/>
      <c r="D764" s="20"/>
      <c r="E764" s="20"/>
      <c r="F764" s="0"/>
      <c r="G764" s="0"/>
    </row>
    <row r="765" customFormat="false" ht="16.8" hidden="false" customHeight="false" outlineLevel="0" collapsed="false">
      <c r="A765" s="49" t="s">
        <v>53</v>
      </c>
      <c r="B765" s="19" t="n">
        <v>27330</v>
      </c>
      <c r="C765" s="20" t="n">
        <f aca="false">67850+1800</f>
        <v>69650</v>
      </c>
      <c r="D765" s="29" t="n">
        <v>62.85</v>
      </c>
      <c r="E765" s="29" t="n">
        <f aca="false">D760/(B765+C765)</f>
        <v>3.25001031140441</v>
      </c>
      <c r="F765" s="45"/>
      <c r="G765" s="0"/>
    </row>
    <row r="766" customFormat="false" ht="16.8" hidden="false" customHeight="false" outlineLevel="0" collapsed="false">
      <c r="A766" s="53" t="s">
        <v>18</v>
      </c>
      <c r="B766" s="20"/>
      <c r="C766" s="20"/>
      <c r="D766" s="20"/>
      <c r="E766" s="20"/>
      <c r="F766" s="45"/>
      <c r="G766" s="91"/>
    </row>
    <row r="767" customFormat="false" ht="16.8" hidden="false" customHeight="false" outlineLevel="0" collapsed="false">
      <c r="A767" s="30" t="s">
        <v>11</v>
      </c>
      <c r="B767" s="22" t="n">
        <f aca="false">SUM(B764:B766)</f>
        <v>27330</v>
      </c>
      <c r="C767" s="87" t="n">
        <f aca="false">SUM(C764:C766)</f>
        <v>69650</v>
      </c>
      <c r="D767" s="88"/>
      <c r="E767" s="89" t="n">
        <f aca="false">D760/(B767+C767)</f>
        <v>3.25001031140441</v>
      </c>
      <c r="F767" s="91"/>
    </row>
    <row r="768" customFormat="false" ht="16.8" hidden="false" customHeight="false" outlineLevel="0" collapsed="false">
      <c r="A768" s="13" t="s">
        <v>20</v>
      </c>
      <c r="B768" s="0"/>
      <c r="C768" s="0"/>
      <c r="D768" s="0"/>
      <c r="E768" s="0"/>
      <c r="F768" s="0"/>
    </row>
    <row r="769" customFormat="false" ht="16.8" hidden="false" customHeight="false" outlineLevel="0" collapsed="false">
      <c r="A769" s="17" t="s">
        <v>13</v>
      </c>
      <c r="B769" s="17" t="s">
        <v>21</v>
      </c>
      <c r="C769" s="18"/>
      <c r="D769" s="18"/>
      <c r="E769" s="18"/>
      <c r="F769" s="18"/>
    </row>
    <row r="770" customFormat="false" ht="16.8" hidden="false" customHeight="false" outlineLevel="0" collapsed="false">
      <c r="A770" s="33" t="s">
        <v>22</v>
      </c>
      <c r="B770" s="34"/>
      <c r="C770" s="0"/>
      <c r="D770" s="0"/>
      <c r="E770" s="0"/>
      <c r="F770" s="0"/>
    </row>
    <row r="771" customFormat="false" ht="16.8" hidden="false" customHeight="false" outlineLevel="0" collapsed="false">
      <c r="A771" s="33" t="s">
        <v>17</v>
      </c>
      <c r="B771" s="34" t="n">
        <v>270210</v>
      </c>
      <c r="C771" s="0"/>
      <c r="D771" s="0"/>
      <c r="E771" s="0"/>
      <c r="F771" s="0"/>
    </row>
    <row r="772" customFormat="false" ht="16.8" hidden="false" customHeight="false" outlineLevel="0" collapsed="false">
      <c r="A772" s="33" t="s">
        <v>18</v>
      </c>
      <c r="B772" s="34" t="n">
        <v>14250</v>
      </c>
      <c r="C772" s="0"/>
      <c r="D772" s="0"/>
      <c r="E772" s="0"/>
      <c r="F772" s="0"/>
    </row>
    <row r="773" customFormat="false" ht="16.8" hidden="false" customHeight="false" outlineLevel="0" collapsed="false">
      <c r="A773" s="25" t="s">
        <v>11</v>
      </c>
      <c r="B773" s="35" t="n">
        <f aca="false">SUM(B770:B772)</f>
        <v>284460</v>
      </c>
      <c r="C773" s="0"/>
      <c r="D773" s="0"/>
      <c r="E773" s="0"/>
      <c r="F773" s="0"/>
    </row>
    <row r="774" customFormat="false" ht="13.2" hidden="false" customHeight="false" outlineLevel="0" collapsed="false">
      <c r="A774" s="0"/>
      <c r="B774" s="0"/>
      <c r="C774" s="0"/>
      <c r="D774" s="0"/>
      <c r="E774" s="0"/>
      <c r="F774" s="0"/>
    </row>
    <row r="775" customFormat="false" ht="13.2" hidden="false" customHeight="false" outlineLevel="0" collapsed="false">
      <c r="A775" s="39" t="s">
        <v>23</v>
      </c>
      <c r="B775" s="39" t="s">
        <v>24</v>
      </c>
      <c r="C775" s="39" t="s">
        <v>25</v>
      </c>
      <c r="D775" s="39" t="s">
        <v>26</v>
      </c>
      <c r="E775" s="41" t="s">
        <v>27</v>
      </c>
      <c r="F775" s="41"/>
    </row>
    <row r="776" customFormat="false" ht="13.2" hidden="false" customHeight="false" outlineLevel="0" collapsed="false">
      <c r="A776" s="26"/>
      <c r="B776" s="26"/>
      <c r="C776" s="26"/>
      <c r="D776" s="26"/>
      <c r="E776" s="26"/>
      <c r="F776" s="26"/>
    </row>
    <row r="777" customFormat="false" ht="13.2" hidden="false" customHeight="false" outlineLevel="0" collapsed="false">
      <c r="A777" s="26"/>
      <c r="B777" s="26"/>
      <c r="C777" s="26"/>
      <c r="D777" s="26"/>
      <c r="E777" s="26"/>
      <c r="F777" s="26"/>
    </row>
    <row r="778" customFormat="false" ht="13.2" hidden="false" customHeight="false" outlineLevel="0" collapsed="false">
      <c r="A778" s="26"/>
      <c r="B778" s="26"/>
      <c r="C778" s="26"/>
      <c r="D778" s="26"/>
      <c r="E778" s="26"/>
      <c r="F778" s="26"/>
    </row>
    <row r="779" customFormat="false" ht="13.2" hidden="false" customHeight="false" outlineLevel="0" collapsed="false">
      <c r="A779" s="26"/>
      <c r="B779" s="26"/>
      <c r="C779" s="26"/>
      <c r="D779" s="26"/>
      <c r="E779" s="26"/>
      <c r="F779" s="26"/>
    </row>
    <row r="780" customFormat="false" ht="13.2" hidden="false" customHeight="false" outlineLevel="0" collapsed="false">
      <c r="A780" s="39" t="s">
        <v>34</v>
      </c>
      <c r="B780" s="39"/>
      <c r="C780" s="39"/>
      <c r="D780" s="39"/>
      <c r="E780" s="41" t="s">
        <v>29</v>
      </c>
      <c r="F780" s="41"/>
    </row>
    <row r="781" customFormat="false" ht="13.2" hidden="false" customHeight="false" outlineLevel="0" collapsed="false">
      <c r="A781" s="0"/>
      <c r="B781" s="0"/>
      <c r="C781" s="0"/>
      <c r="D781" s="0"/>
      <c r="E781" s="0"/>
      <c r="F781" s="0"/>
    </row>
    <row r="782" customFormat="false" ht="13.2" hidden="false" customHeight="false" outlineLevel="0" collapsed="false">
      <c r="A782" s="0"/>
      <c r="B782" s="0"/>
      <c r="C782" s="0"/>
      <c r="D782" s="0"/>
      <c r="E782" s="0"/>
      <c r="F782" s="0"/>
    </row>
    <row r="783" customFormat="false" ht="13.2" hidden="false" customHeight="false" outlineLevel="0" collapsed="false">
      <c r="A783" s="0"/>
      <c r="B783" s="0"/>
      <c r="C783" s="0"/>
      <c r="D783" s="0"/>
      <c r="E783" s="0"/>
      <c r="F783" s="0"/>
    </row>
    <row r="784" customFormat="false" ht="13.8" hidden="false" customHeight="false" outlineLevel="0" collapsed="false">
      <c r="A784" s="92" t="s">
        <v>0</v>
      </c>
      <c r="B784" s="16"/>
      <c r="C784" s="16"/>
      <c r="D784" s="16"/>
      <c r="E784" s="16"/>
      <c r="F784" s="16"/>
    </row>
    <row r="785" customFormat="false" ht="18.6" hidden="false" customHeight="true" outlineLevel="0" collapsed="false">
      <c r="A785" s="42" t="s">
        <v>139</v>
      </c>
      <c r="B785" s="42"/>
      <c r="C785" s="42"/>
      <c r="D785" s="42"/>
      <c r="E785" s="42"/>
      <c r="F785" s="43"/>
    </row>
    <row r="786" customFormat="false" ht="13.8" hidden="false" customHeight="true" outlineLevel="0" collapsed="false">
      <c r="A786" s="10" t="s">
        <v>2</v>
      </c>
      <c r="B786" s="10"/>
      <c r="C786" s="10"/>
      <c r="D786" s="10"/>
      <c r="E786" s="10"/>
      <c r="F786" s="44"/>
    </row>
    <row r="787" customFormat="false" ht="16.8" hidden="false" customHeight="false" outlineLevel="0" collapsed="false">
      <c r="A787" s="13" t="s">
        <v>3</v>
      </c>
      <c r="B787" s="14"/>
      <c r="C787" s="14"/>
      <c r="D787" s="46"/>
      <c r="E787" s="46" t="s">
        <v>4</v>
      </c>
      <c r="F787" s="66"/>
    </row>
    <row r="788" customFormat="false" ht="33.6" hidden="false" customHeight="false" outlineLevel="0" collapsed="false">
      <c r="A788" s="17" t="s">
        <v>5</v>
      </c>
      <c r="B788" s="17" t="s">
        <v>5</v>
      </c>
      <c r="C788" s="17" t="s">
        <v>140</v>
      </c>
      <c r="D788" s="17" t="s">
        <v>7</v>
      </c>
      <c r="E788" s="17" t="s">
        <v>8</v>
      </c>
      <c r="F788" s="0"/>
    </row>
    <row r="789" customFormat="false" ht="16.8" hidden="false" customHeight="false" outlineLevel="0" collapsed="false">
      <c r="A789" s="19" t="s">
        <v>9</v>
      </c>
      <c r="B789" s="20" t="n">
        <f aca="false">E756</f>
        <v>0</v>
      </c>
      <c r="C789" s="20" t="n">
        <v>3283</v>
      </c>
      <c r="D789" s="20"/>
      <c r="E789" s="47" t="n">
        <f aca="false">B789+C789-D789</f>
        <v>3283</v>
      </c>
      <c r="F789" s="0"/>
    </row>
    <row r="790" customFormat="false" ht="16.8" hidden="false" customHeight="false" outlineLevel="0" collapsed="false">
      <c r="A790" s="19" t="s">
        <v>63</v>
      </c>
      <c r="B790" s="20" t="n">
        <f aca="false">E757</f>
        <v>0</v>
      </c>
      <c r="C790" s="20"/>
      <c r="D790" s="20"/>
      <c r="E790" s="47" t="n">
        <f aca="false">B790+C790-D790</f>
        <v>0</v>
      </c>
      <c r="F790" s="0"/>
    </row>
    <row r="791" customFormat="false" ht="16.8" hidden="false" customHeight="false" outlineLevel="0" collapsed="false">
      <c r="A791" s="19" t="s">
        <v>10</v>
      </c>
      <c r="B791" s="20" t="n">
        <f aca="false">E758</f>
        <v>62180</v>
      </c>
      <c r="C791" s="20" t="n">
        <f aca="false">189415-C789</f>
        <v>186132</v>
      </c>
      <c r="D791" s="20"/>
      <c r="E791" s="47" t="n">
        <f aca="false">B791+C791-D791</f>
        <v>248312</v>
      </c>
      <c r="F791" s="45"/>
    </row>
    <row r="792" customFormat="false" ht="33.6" hidden="false" customHeight="false" outlineLevel="0" collapsed="false">
      <c r="A792" s="82" t="s">
        <v>118</v>
      </c>
      <c r="B792" s="20" t="n">
        <f aca="false">E759</f>
        <v>0</v>
      </c>
      <c r="C792" s="20"/>
      <c r="D792" s="20"/>
      <c r="E792" s="47" t="n">
        <f aca="false">B792+C792-D792</f>
        <v>0</v>
      </c>
      <c r="F792" s="0"/>
    </row>
    <row r="793" customFormat="false" ht="16.8" hidden="false" customHeight="false" outlineLevel="0" collapsed="false">
      <c r="A793" s="21" t="s">
        <v>11</v>
      </c>
      <c r="B793" s="22" t="n">
        <f aca="false">SUM(B789:B791)</f>
        <v>62180</v>
      </c>
      <c r="C793" s="22" t="n">
        <f aca="false">SUM(C789:C791)</f>
        <v>189415</v>
      </c>
      <c r="D793" s="22" t="n">
        <f aca="false">SUM(D789:D791)</f>
        <v>0</v>
      </c>
      <c r="E793" s="22" t="n">
        <f aca="false">SUM(E789:E791)</f>
        <v>251595</v>
      </c>
      <c r="F793" s="45"/>
    </row>
    <row r="794" customFormat="false" ht="16.8" hidden="false" customHeight="false" outlineLevel="0" collapsed="false">
      <c r="A794" s="64" t="s">
        <v>141</v>
      </c>
      <c r="B794" s="64"/>
      <c r="C794" s="64"/>
      <c r="D794" s="64"/>
      <c r="E794" s="64"/>
      <c r="F794" s="91"/>
    </row>
    <row r="795" customFormat="false" ht="16.8" hidden="false" customHeight="false" outlineLevel="0" collapsed="false">
      <c r="A795" s="13" t="s">
        <v>12</v>
      </c>
      <c r="B795" s="13"/>
      <c r="C795" s="13"/>
      <c r="D795" s="13"/>
      <c r="E795" s="24"/>
      <c r="F795" s="24"/>
    </row>
    <row r="796" customFormat="false" ht="67.2" hidden="false" customHeight="false" outlineLevel="0" collapsed="false">
      <c r="A796" s="25" t="s">
        <v>13</v>
      </c>
      <c r="B796" s="17" t="s">
        <v>142</v>
      </c>
      <c r="C796" s="85" t="s">
        <v>138</v>
      </c>
      <c r="D796" s="73" t="s">
        <v>16</v>
      </c>
      <c r="E796" s="26"/>
      <c r="F796" s="0"/>
    </row>
    <row r="797" customFormat="false" ht="33.6" hidden="false" customHeight="false" outlineLevel="0" collapsed="false">
      <c r="A797" s="49" t="s">
        <v>49</v>
      </c>
      <c r="B797" s="50"/>
      <c r="C797" s="20"/>
      <c r="D797" s="20"/>
      <c r="E797" s="0"/>
      <c r="F797" s="0"/>
    </row>
    <row r="798" customFormat="false" ht="16.8" hidden="false" customHeight="false" outlineLevel="0" collapsed="false">
      <c r="A798" s="49" t="s">
        <v>53</v>
      </c>
      <c r="B798" s="19" t="n">
        <v>57750</v>
      </c>
      <c r="C798" s="29"/>
      <c r="D798" s="29"/>
      <c r="E798" s="45"/>
      <c r="F798" s="0"/>
    </row>
    <row r="799" customFormat="false" ht="16.8" hidden="false" customHeight="false" outlineLevel="0" collapsed="false">
      <c r="A799" s="53" t="s">
        <v>18</v>
      </c>
      <c r="B799" s="20"/>
      <c r="C799" s="20"/>
      <c r="D799" s="20"/>
      <c r="E799" s="45"/>
      <c r="F799" s="0"/>
    </row>
    <row r="800" customFormat="false" ht="16.8" hidden="false" customHeight="false" outlineLevel="0" collapsed="false">
      <c r="A800" s="30" t="s">
        <v>11</v>
      </c>
      <c r="B800" s="22" t="n">
        <f aca="false">SUM(B797:B799)</f>
        <v>57750</v>
      </c>
      <c r="C800" s="88"/>
      <c r="D800" s="89"/>
      <c r="E800" s="91"/>
      <c r="F800" s="0"/>
    </row>
    <row r="801" customFormat="false" ht="16.8" hidden="false" customHeight="false" outlineLevel="0" collapsed="false">
      <c r="A801" s="13" t="s">
        <v>20</v>
      </c>
      <c r="B801" s="0"/>
      <c r="C801" s="0"/>
      <c r="D801" s="0"/>
      <c r="E801" s="0"/>
      <c r="F801" s="0"/>
    </row>
    <row r="802" customFormat="false" ht="16.8" hidden="false" customHeight="false" outlineLevel="0" collapsed="false">
      <c r="A802" s="17" t="s">
        <v>13</v>
      </c>
      <c r="B802" s="17" t="s">
        <v>21</v>
      </c>
      <c r="C802" s="18"/>
      <c r="D802" s="18"/>
      <c r="E802" s="18"/>
      <c r="F802" s="18"/>
    </row>
    <row r="803" customFormat="false" ht="16.8" hidden="false" customHeight="false" outlineLevel="0" collapsed="false">
      <c r="A803" s="33" t="s">
        <v>22</v>
      </c>
      <c r="B803" s="34"/>
      <c r="C803" s="0"/>
      <c r="D803" s="0"/>
      <c r="E803" s="0"/>
      <c r="F803" s="0"/>
    </row>
    <row r="804" customFormat="false" ht="16.8" hidden="false" customHeight="false" outlineLevel="0" collapsed="false">
      <c r="A804" s="33" t="s">
        <v>17</v>
      </c>
      <c r="B804" s="34" t="n">
        <f aca="false">256310-B805</f>
        <v>242060</v>
      </c>
      <c r="C804" s="0"/>
      <c r="D804" s="0"/>
      <c r="E804" s="0"/>
      <c r="F804" s="0"/>
    </row>
    <row r="805" customFormat="false" ht="16.8" hidden="false" customHeight="false" outlineLevel="0" collapsed="false">
      <c r="A805" s="33" t="s">
        <v>18</v>
      </c>
      <c r="B805" s="34" t="n">
        <v>14250</v>
      </c>
      <c r="C805" s="0"/>
      <c r="D805" s="0"/>
      <c r="E805" s="0"/>
      <c r="F805" s="0"/>
    </row>
    <row r="806" customFormat="false" ht="16.8" hidden="false" customHeight="false" outlineLevel="0" collapsed="false">
      <c r="A806" s="25" t="s">
        <v>11</v>
      </c>
      <c r="B806" s="35" t="n">
        <f aca="false">SUM(B803:B805)</f>
        <v>256310</v>
      </c>
      <c r="C806" s="0"/>
      <c r="D806" s="0"/>
      <c r="E806" s="0"/>
      <c r="F806" s="0"/>
    </row>
    <row r="807" customFormat="false" ht="13.2" hidden="false" customHeight="false" outlineLevel="0" collapsed="false">
      <c r="A807" s="0"/>
      <c r="B807" s="0"/>
      <c r="C807" s="0"/>
      <c r="D807" s="0"/>
      <c r="E807" s="0"/>
      <c r="F807" s="0"/>
    </row>
    <row r="808" customFormat="false" ht="13.2" hidden="false" customHeight="false" outlineLevel="0" collapsed="false">
      <c r="A808" s="39" t="s">
        <v>23</v>
      </c>
      <c r="B808" s="39" t="s">
        <v>24</v>
      </c>
      <c r="C808" s="39" t="s">
        <v>25</v>
      </c>
      <c r="D808" s="39" t="s">
        <v>26</v>
      </c>
      <c r="E808" s="41" t="s">
        <v>27</v>
      </c>
      <c r="F808" s="41"/>
    </row>
    <row r="809" customFormat="false" ht="13.2" hidden="false" customHeight="false" outlineLevel="0" collapsed="false">
      <c r="A809" s="26"/>
      <c r="B809" s="26"/>
      <c r="C809" s="26"/>
      <c r="D809" s="26"/>
      <c r="E809" s="26"/>
      <c r="F809" s="26"/>
    </row>
    <row r="810" customFormat="false" ht="13.2" hidden="false" customHeight="false" outlineLevel="0" collapsed="false">
      <c r="A810" s="26"/>
      <c r="B810" s="26"/>
      <c r="C810" s="26"/>
      <c r="D810" s="26"/>
      <c r="E810" s="26"/>
      <c r="F810" s="26"/>
    </row>
    <row r="811" customFormat="false" ht="13.2" hidden="false" customHeight="false" outlineLevel="0" collapsed="false">
      <c r="A811" s="26"/>
      <c r="B811" s="26"/>
      <c r="C811" s="26"/>
      <c r="D811" s="26"/>
      <c r="E811" s="26"/>
      <c r="F811" s="26"/>
    </row>
    <row r="812" customFormat="false" ht="13.2" hidden="false" customHeight="false" outlineLevel="0" collapsed="false">
      <c r="A812" s="26"/>
      <c r="B812" s="26"/>
      <c r="C812" s="26"/>
      <c r="D812" s="26"/>
      <c r="E812" s="26"/>
      <c r="F812" s="26"/>
    </row>
    <row r="813" customFormat="false" ht="13.2" hidden="false" customHeight="false" outlineLevel="0" collapsed="false">
      <c r="A813" s="39" t="s">
        <v>34</v>
      </c>
      <c r="B813" s="39"/>
      <c r="C813" s="39"/>
      <c r="D813" s="39"/>
      <c r="E813" s="41" t="s">
        <v>29</v>
      </c>
      <c r="F813" s="41"/>
    </row>
    <row r="814" customFormat="false" ht="13.2" hidden="false" customHeight="false" outlineLevel="0" collapsed="false">
      <c r="A814" s="0"/>
      <c r="B814" s="0"/>
      <c r="C814" s="0"/>
      <c r="D814" s="0"/>
      <c r="E814" s="0"/>
      <c r="F814" s="0"/>
    </row>
    <row r="815" customFormat="false" ht="13.2" hidden="false" customHeight="false" outlineLevel="0" collapsed="false">
      <c r="A815" s="0"/>
      <c r="B815" s="0"/>
      <c r="C815" s="0"/>
      <c r="D815" s="0"/>
      <c r="E815" s="0"/>
      <c r="F815" s="0"/>
    </row>
    <row r="816" customFormat="false" ht="13.2" hidden="false" customHeight="false" outlineLevel="0" collapsed="false">
      <c r="A816" s="0"/>
      <c r="B816" s="0"/>
      <c r="C816" s="0"/>
      <c r="D816" s="0"/>
      <c r="E816" s="0"/>
      <c r="F816" s="0"/>
    </row>
    <row r="817" customFormat="false" ht="13.8" hidden="false" customHeight="false" outlineLevel="0" collapsed="false">
      <c r="A817" s="62" t="s">
        <v>0</v>
      </c>
      <c r="B817" s="16"/>
      <c r="C817" s="16"/>
      <c r="D817" s="16"/>
      <c r="E817" s="16"/>
      <c r="F817" s="16"/>
    </row>
    <row r="818" customFormat="false" ht="18.6" hidden="false" customHeight="true" outlineLevel="0" collapsed="false">
      <c r="A818" s="42" t="s">
        <v>143</v>
      </c>
      <c r="B818" s="42"/>
      <c r="C818" s="42"/>
      <c r="D818" s="42"/>
      <c r="E818" s="42"/>
      <c r="F818" s="43"/>
    </row>
    <row r="819" customFormat="false" ht="13.8" hidden="false" customHeight="true" outlineLevel="0" collapsed="false">
      <c r="A819" s="10" t="s">
        <v>2</v>
      </c>
      <c r="B819" s="10"/>
      <c r="C819" s="10"/>
      <c r="D819" s="10"/>
      <c r="E819" s="10"/>
      <c r="F819" s="44"/>
    </row>
    <row r="820" customFormat="false" ht="16.8" hidden="false" customHeight="false" outlineLevel="0" collapsed="false">
      <c r="A820" s="13" t="s">
        <v>3</v>
      </c>
      <c r="B820" s="14"/>
      <c r="C820" s="14"/>
      <c r="D820" s="46"/>
      <c r="E820" s="46" t="s">
        <v>4</v>
      </c>
      <c r="F820" s="66"/>
    </row>
    <row r="821" customFormat="false" ht="33.6" hidden="false" customHeight="false" outlineLevel="0" collapsed="false">
      <c r="A821" s="17" t="s">
        <v>5</v>
      </c>
      <c r="B821" s="17" t="s">
        <v>5</v>
      </c>
      <c r="C821" s="17" t="s">
        <v>144</v>
      </c>
      <c r="D821" s="17" t="s">
        <v>7</v>
      </c>
      <c r="E821" s="17" t="s">
        <v>8</v>
      </c>
      <c r="F821" s="0"/>
    </row>
    <row r="822" customFormat="false" ht="16.8" hidden="false" customHeight="false" outlineLevel="0" collapsed="false">
      <c r="A822" s="19" t="s">
        <v>9</v>
      </c>
      <c r="B822" s="20" t="n">
        <f aca="false">E789</f>
        <v>3283</v>
      </c>
      <c r="C822" s="20" t="n">
        <v>837</v>
      </c>
      <c r="D822" s="20" t="n">
        <f aca="false">B822+C822</f>
        <v>4120</v>
      </c>
      <c r="E822" s="47" t="n">
        <f aca="false">B822+C822-D822</f>
        <v>0</v>
      </c>
      <c r="F822" s="0"/>
    </row>
    <row r="823" customFormat="false" ht="16.8" hidden="false" customHeight="false" outlineLevel="0" collapsed="false">
      <c r="A823" s="19" t="s">
        <v>63</v>
      </c>
      <c r="B823" s="20" t="n">
        <f aca="false">E790</f>
        <v>0</v>
      </c>
      <c r="C823" s="20" t="n">
        <v>5480</v>
      </c>
      <c r="D823" s="20" t="n">
        <v>5480</v>
      </c>
      <c r="E823" s="47" t="n">
        <f aca="false">B823+C823-D823</f>
        <v>0</v>
      </c>
      <c r="F823" s="0"/>
    </row>
    <row r="824" customFormat="false" ht="16.8" hidden="false" customHeight="false" outlineLevel="0" collapsed="false">
      <c r="A824" s="19" t="s">
        <v>10</v>
      </c>
      <c r="B824" s="20" t="n">
        <f aca="false">E791</f>
        <v>248312</v>
      </c>
      <c r="C824" s="20" t="n">
        <f aca="false">185552-C822</f>
        <v>184715</v>
      </c>
      <c r="D824" s="20" t="n">
        <f aca="false">B824+C824-72324</f>
        <v>360703</v>
      </c>
      <c r="E824" s="47" t="n">
        <f aca="false">B824+C824-D824</f>
        <v>72324</v>
      </c>
      <c r="F824" s="45"/>
    </row>
    <row r="825" customFormat="false" ht="16.8" hidden="false" customHeight="false" outlineLevel="0" collapsed="false">
      <c r="A825" s="82" t="s">
        <v>145</v>
      </c>
      <c r="B825" s="20" t="n">
        <f aca="false">E792</f>
        <v>0</v>
      </c>
      <c r="C825" s="20" t="n">
        <v>1995</v>
      </c>
      <c r="D825" s="20" t="n">
        <v>1995</v>
      </c>
      <c r="E825" s="47" t="n">
        <f aca="false">B825+C825-D825</f>
        <v>0</v>
      </c>
      <c r="F825" s="0"/>
    </row>
    <row r="826" customFormat="false" ht="16.8" hidden="false" customHeight="false" outlineLevel="0" collapsed="false">
      <c r="A826" s="21" t="s">
        <v>11</v>
      </c>
      <c r="B826" s="22" t="n">
        <f aca="false">SUM(B822:B824)</f>
        <v>251595</v>
      </c>
      <c r="C826" s="22" t="n">
        <f aca="false">SUM(C822:C825)</f>
        <v>193027</v>
      </c>
      <c r="D826" s="22" t="n">
        <f aca="false">SUM(D822:D825)</f>
        <v>372298</v>
      </c>
      <c r="E826" s="22" t="n">
        <f aca="false">SUM(E822:E824)</f>
        <v>72324</v>
      </c>
      <c r="F826" s="45"/>
    </row>
    <row r="827" customFormat="false" ht="16.8" hidden="false" customHeight="false" outlineLevel="0" collapsed="false">
      <c r="A827" s="13" t="s">
        <v>12</v>
      </c>
      <c r="B827" s="13"/>
      <c r="C827" s="13"/>
      <c r="D827" s="13"/>
      <c r="E827" s="24"/>
      <c r="F827" s="24"/>
    </row>
    <row r="828" customFormat="false" ht="67.2" hidden="false" customHeight="false" outlineLevel="0" collapsed="false">
      <c r="A828" s="25" t="s">
        <v>13</v>
      </c>
      <c r="B828" s="17" t="s">
        <v>142</v>
      </c>
      <c r="C828" s="17" t="s">
        <v>146</v>
      </c>
      <c r="D828" s="93" t="s">
        <v>138</v>
      </c>
      <c r="E828" s="73" t="s">
        <v>16</v>
      </c>
      <c r="F828" s="0"/>
    </row>
    <row r="829" customFormat="false" ht="33.6" hidden="false" customHeight="false" outlineLevel="0" collapsed="false">
      <c r="A829" s="49" t="s">
        <v>49</v>
      </c>
      <c r="B829" s="50"/>
      <c r="C829" s="20"/>
      <c r="D829" s="20"/>
      <c r="E829" s="70"/>
      <c r="F829" s="0"/>
    </row>
    <row r="830" customFormat="false" ht="16.8" hidden="false" customHeight="false" outlineLevel="0" collapsed="false">
      <c r="A830" s="49" t="s">
        <v>53</v>
      </c>
      <c r="B830" s="19" t="n">
        <v>57750</v>
      </c>
      <c r="C830" s="20" t="n">
        <v>44700</v>
      </c>
      <c r="D830" s="29"/>
      <c r="E830" s="78" t="n">
        <f aca="false">D826/(B830+C830)</f>
        <v>3.63394826744754</v>
      </c>
      <c r="F830" s="0"/>
    </row>
    <row r="831" customFormat="false" ht="16.8" hidden="false" customHeight="false" outlineLevel="0" collapsed="false">
      <c r="A831" s="53" t="s">
        <v>18</v>
      </c>
      <c r="B831" s="20"/>
      <c r="C831" s="20"/>
      <c r="D831" s="20"/>
      <c r="E831" s="47"/>
      <c r="F831" s="0"/>
    </row>
    <row r="832" customFormat="false" ht="16.8" hidden="false" customHeight="false" outlineLevel="0" collapsed="false">
      <c r="A832" s="30" t="s">
        <v>11</v>
      </c>
      <c r="B832" s="22" t="n">
        <f aca="false">SUM(B829:B831)</f>
        <v>57750</v>
      </c>
      <c r="C832" s="87" t="n">
        <f aca="false">SUM(C829:C831)</f>
        <v>44700</v>
      </c>
      <c r="D832" s="89"/>
      <c r="E832" s="89" t="n">
        <f aca="false">D826/(B832+C832)</f>
        <v>3.63394826744754</v>
      </c>
      <c r="F832" s="0"/>
    </row>
    <row r="833" customFormat="false" ht="16.8" hidden="false" customHeight="false" outlineLevel="0" collapsed="false">
      <c r="A833" s="13" t="s">
        <v>20</v>
      </c>
      <c r="B833" s="0"/>
      <c r="C833" s="0"/>
      <c r="D833" s="0"/>
      <c r="E833" s="0"/>
      <c r="F833" s="0"/>
    </row>
    <row r="834" customFormat="false" ht="16.8" hidden="false" customHeight="false" outlineLevel="0" collapsed="false">
      <c r="A834" s="17" t="s">
        <v>13</v>
      </c>
      <c r="B834" s="17" t="s">
        <v>21</v>
      </c>
      <c r="C834" s="18"/>
      <c r="D834" s="18"/>
      <c r="E834" s="18"/>
      <c r="F834" s="18"/>
    </row>
    <row r="835" customFormat="false" ht="16.8" hidden="false" customHeight="false" outlineLevel="0" collapsed="false">
      <c r="A835" s="33" t="s">
        <v>22</v>
      </c>
      <c r="B835" s="34"/>
      <c r="C835" s="0"/>
      <c r="D835" s="0"/>
      <c r="E835" s="0"/>
      <c r="F835" s="0"/>
    </row>
    <row r="836" customFormat="false" ht="16.8" hidden="false" customHeight="false" outlineLevel="0" collapsed="false">
      <c r="A836" s="33" t="s">
        <v>17</v>
      </c>
      <c r="B836" s="34" t="n">
        <f aca="false">161010-B837</f>
        <v>146760</v>
      </c>
      <c r="C836" s="0"/>
      <c r="D836" s="0"/>
      <c r="E836" s="0"/>
      <c r="F836" s="0"/>
    </row>
    <row r="837" customFormat="false" ht="16.8" hidden="false" customHeight="false" outlineLevel="0" collapsed="false">
      <c r="A837" s="33" t="s">
        <v>18</v>
      </c>
      <c r="B837" s="34" t="n">
        <v>14250</v>
      </c>
      <c r="C837" s="0"/>
      <c r="D837" s="0"/>
      <c r="E837" s="0"/>
      <c r="F837" s="0"/>
    </row>
    <row r="838" customFormat="false" ht="16.8" hidden="false" customHeight="false" outlineLevel="0" collapsed="false">
      <c r="A838" s="25" t="s">
        <v>11</v>
      </c>
      <c r="B838" s="35" t="n">
        <f aca="false">SUM(B835:B837)</f>
        <v>161010</v>
      </c>
      <c r="C838" s="0"/>
      <c r="D838" s="0"/>
      <c r="E838" s="0"/>
      <c r="F838" s="0"/>
    </row>
    <row r="839" customFormat="false" ht="13.2" hidden="false" customHeight="false" outlineLevel="0" collapsed="false">
      <c r="A839" s="0"/>
      <c r="B839" s="0"/>
      <c r="C839" s="0"/>
      <c r="D839" s="0"/>
      <c r="E839" s="0"/>
      <c r="F839" s="0"/>
    </row>
    <row r="840" customFormat="false" ht="13.2" hidden="false" customHeight="false" outlineLevel="0" collapsed="false">
      <c r="A840" s="39" t="s">
        <v>23</v>
      </c>
      <c r="B840" s="39" t="s">
        <v>24</v>
      </c>
      <c r="C840" s="39" t="s">
        <v>25</v>
      </c>
      <c r="D840" s="39" t="s">
        <v>26</v>
      </c>
      <c r="E840" s="41" t="s">
        <v>27</v>
      </c>
      <c r="F840" s="41"/>
    </row>
    <row r="841" customFormat="false" ht="13.2" hidden="false" customHeight="false" outlineLevel="0" collapsed="false">
      <c r="A841" s="26"/>
      <c r="B841" s="26"/>
      <c r="C841" s="26"/>
      <c r="D841" s="26"/>
      <c r="E841" s="26"/>
      <c r="F841" s="26"/>
    </row>
    <row r="842" customFormat="false" ht="13.2" hidden="false" customHeight="false" outlineLevel="0" collapsed="false">
      <c r="A842" s="26"/>
      <c r="B842" s="26"/>
      <c r="C842" s="26"/>
      <c r="D842" s="26"/>
      <c r="E842" s="26"/>
      <c r="F842" s="26"/>
    </row>
    <row r="843" customFormat="false" ht="13.2" hidden="false" customHeight="false" outlineLevel="0" collapsed="false">
      <c r="A843" s="26"/>
      <c r="B843" s="26"/>
      <c r="C843" s="26"/>
      <c r="D843" s="26"/>
      <c r="E843" s="26"/>
      <c r="F843" s="26"/>
    </row>
    <row r="844" customFormat="false" ht="13.2" hidden="false" customHeight="false" outlineLevel="0" collapsed="false">
      <c r="A844" s="26"/>
      <c r="B844" s="26"/>
      <c r="C844" s="26"/>
      <c r="D844" s="26"/>
      <c r="E844" s="26"/>
      <c r="F844" s="26"/>
    </row>
    <row r="845" customFormat="false" ht="13.2" hidden="false" customHeight="false" outlineLevel="0" collapsed="false">
      <c r="A845" s="39" t="s">
        <v>34</v>
      </c>
      <c r="B845" s="39"/>
      <c r="C845" s="39"/>
      <c r="D845" s="39"/>
      <c r="E845" s="41" t="s">
        <v>29</v>
      </c>
      <c r="F845" s="41"/>
    </row>
    <row r="846" customFormat="false" ht="13.2" hidden="false" customHeight="false" outlineLevel="0" collapsed="false">
      <c r="A846" s="0"/>
      <c r="B846" s="0"/>
      <c r="C846" s="0"/>
      <c r="D846" s="0"/>
      <c r="E846" s="0"/>
      <c r="F846" s="0"/>
    </row>
    <row r="847" customFormat="false" ht="13.2" hidden="false" customHeight="false" outlineLevel="0" collapsed="false">
      <c r="A847" s="0"/>
      <c r="B847" s="0"/>
      <c r="C847" s="0"/>
      <c r="D847" s="0"/>
      <c r="E847" s="0"/>
      <c r="F847" s="0"/>
    </row>
    <row r="848" customFormat="false" ht="13.2" hidden="false" customHeight="false" outlineLevel="0" collapsed="false">
      <c r="A848" s="0"/>
      <c r="B848" s="0"/>
      <c r="C848" s="0"/>
      <c r="D848" s="0"/>
      <c r="E848" s="0"/>
      <c r="F848" s="0"/>
    </row>
    <row r="849" customFormat="false" ht="13.8" hidden="false" customHeight="false" outlineLevel="0" collapsed="false">
      <c r="A849" s="62" t="s">
        <v>0</v>
      </c>
      <c r="B849" s="16"/>
      <c r="C849" s="16"/>
      <c r="D849" s="16"/>
      <c r="E849" s="16"/>
      <c r="F849" s="16"/>
    </row>
    <row r="850" customFormat="false" ht="18.6" hidden="false" customHeight="true" outlineLevel="0" collapsed="false">
      <c r="A850" s="42" t="s">
        <v>147</v>
      </c>
      <c r="B850" s="42"/>
      <c r="C850" s="42"/>
      <c r="D850" s="42"/>
      <c r="E850" s="42"/>
      <c r="F850" s="43"/>
    </row>
    <row r="851" customFormat="false" ht="13.8" hidden="false" customHeight="true" outlineLevel="0" collapsed="false">
      <c r="A851" s="10" t="s">
        <v>2</v>
      </c>
      <c r="B851" s="10"/>
      <c r="C851" s="10"/>
      <c r="D851" s="10"/>
      <c r="E851" s="10"/>
      <c r="F851" s="44"/>
    </row>
    <row r="852" customFormat="false" ht="16.8" hidden="false" customHeight="false" outlineLevel="0" collapsed="false">
      <c r="A852" s="13" t="s">
        <v>3</v>
      </c>
      <c r="B852" s="14"/>
      <c r="C852" s="14"/>
      <c r="D852" s="46"/>
      <c r="E852" s="46" t="s">
        <v>4</v>
      </c>
      <c r="F852" s="66"/>
    </row>
    <row r="853" customFormat="false" ht="33.6" hidden="false" customHeight="false" outlineLevel="0" collapsed="false">
      <c r="A853" s="17" t="s">
        <v>5</v>
      </c>
      <c r="B853" s="17" t="s">
        <v>5</v>
      </c>
      <c r="C853" s="17" t="s">
        <v>148</v>
      </c>
      <c r="D853" s="17" t="s">
        <v>7</v>
      </c>
      <c r="E853" s="17" t="s">
        <v>8</v>
      </c>
      <c r="F853" s="0"/>
    </row>
    <row r="854" customFormat="false" ht="16.8" hidden="false" customHeight="false" outlineLevel="0" collapsed="false">
      <c r="A854" s="19" t="s">
        <v>9</v>
      </c>
      <c r="B854" s="20" t="n">
        <f aca="false">E822</f>
        <v>0</v>
      </c>
      <c r="C854" s="20" t="n">
        <v>308</v>
      </c>
      <c r="D854" s="20"/>
      <c r="E854" s="47" t="n">
        <f aca="false">B854+C854-D854</f>
        <v>308</v>
      </c>
      <c r="F854" s="0"/>
    </row>
    <row r="855" customFormat="false" ht="16.8" hidden="false" customHeight="false" outlineLevel="0" collapsed="false">
      <c r="A855" s="19" t="s">
        <v>63</v>
      </c>
      <c r="B855" s="20" t="n">
        <f aca="false">E823</f>
        <v>0</v>
      </c>
      <c r="C855" s="20"/>
      <c r="D855" s="20"/>
      <c r="E855" s="47" t="n">
        <f aca="false">B855+C855-D855</f>
        <v>0</v>
      </c>
      <c r="F855" s="0"/>
    </row>
    <row r="856" customFormat="false" ht="16.8" hidden="false" customHeight="false" outlineLevel="0" collapsed="false">
      <c r="A856" s="19" t="s">
        <v>10</v>
      </c>
      <c r="B856" s="20" t="n">
        <f aca="false">E824</f>
        <v>72324</v>
      </c>
      <c r="C856" s="20" t="n">
        <f aca="false">408925-C854</f>
        <v>408617</v>
      </c>
      <c r="D856" s="20"/>
      <c r="E856" s="47" t="n">
        <f aca="false">B856+C856-D856</f>
        <v>480941</v>
      </c>
      <c r="F856" s="45"/>
    </row>
    <row r="857" customFormat="false" ht="33.6" hidden="false" customHeight="false" outlineLevel="0" collapsed="false">
      <c r="A857" s="82" t="s">
        <v>118</v>
      </c>
      <c r="B857" s="20" t="n">
        <f aca="false">E825</f>
        <v>0</v>
      </c>
      <c r="C857" s="20"/>
      <c r="D857" s="20"/>
      <c r="E857" s="47" t="n">
        <f aca="false">B857+C857-D857</f>
        <v>0</v>
      </c>
      <c r="F857" s="0"/>
    </row>
    <row r="858" customFormat="false" ht="16.8" hidden="false" customHeight="false" outlineLevel="0" collapsed="false">
      <c r="A858" s="21" t="s">
        <v>11</v>
      </c>
      <c r="B858" s="22" t="n">
        <f aca="false">SUM(B854:B856)</f>
        <v>72324</v>
      </c>
      <c r="C858" s="22" t="n">
        <f aca="false">SUM(C854:C856)</f>
        <v>408925</v>
      </c>
      <c r="D858" s="22" t="n">
        <f aca="false">SUM(D854:D856)</f>
        <v>0</v>
      </c>
      <c r="E858" s="22" t="n">
        <f aca="false">SUM(E854:E856)</f>
        <v>481249</v>
      </c>
      <c r="F858" s="45"/>
    </row>
    <row r="859" customFormat="false" ht="16.8" hidden="false" customHeight="false" outlineLevel="0" collapsed="false">
      <c r="A859" s="64" t="s">
        <v>141</v>
      </c>
      <c r="B859" s="64"/>
      <c r="C859" s="64"/>
      <c r="D859" s="64"/>
      <c r="E859" s="64"/>
      <c r="F859" s="91"/>
    </row>
    <row r="860" customFormat="false" ht="16.8" hidden="false" customHeight="false" outlineLevel="0" collapsed="false">
      <c r="A860" s="13" t="s">
        <v>12</v>
      </c>
      <c r="B860" s="13"/>
      <c r="C860" s="13"/>
      <c r="D860" s="13"/>
      <c r="E860" s="24"/>
      <c r="F860" s="24"/>
    </row>
    <row r="861" customFormat="false" ht="67.2" hidden="false" customHeight="false" outlineLevel="0" collapsed="false">
      <c r="A861" s="25" t="s">
        <v>13</v>
      </c>
      <c r="B861" s="17" t="s">
        <v>149</v>
      </c>
      <c r="C861" s="93" t="s">
        <v>138</v>
      </c>
      <c r="D861" s="73" t="s">
        <v>16</v>
      </c>
      <c r="E861" s="0"/>
      <c r="F861" s="0"/>
    </row>
    <row r="862" customFormat="false" ht="33.6" hidden="false" customHeight="false" outlineLevel="0" collapsed="false">
      <c r="A862" s="49" t="s">
        <v>49</v>
      </c>
      <c r="B862" s="50"/>
      <c r="C862" s="20"/>
      <c r="D862" s="70"/>
      <c r="E862" s="0"/>
      <c r="F862" s="0"/>
    </row>
    <row r="863" customFormat="false" ht="16.8" hidden="false" customHeight="false" outlineLevel="0" collapsed="false">
      <c r="A863" s="49" t="s">
        <v>53</v>
      </c>
      <c r="B863" s="19" t="n">
        <v>92690</v>
      </c>
      <c r="C863" s="29"/>
      <c r="D863" s="78"/>
      <c r="E863" s="0"/>
      <c r="F863" s="0"/>
    </row>
    <row r="864" customFormat="false" ht="16.8" hidden="false" customHeight="false" outlineLevel="0" collapsed="false">
      <c r="A864" s="53" t="s">
        <v>18</v>
      </c>
      <c r="B864" s="20"/>
      <c r="C864" s="20"/>
      <c r="D864" s="47"/>
      <c r="E864" s="0"/>
      <c r="F864" s="0"/>
    </row>
    <row r="865" customFormat="false" ht="16.8" hidden="false" customHeight="false" outlineLevel="0" collapsed="false">
      <c r="A865" s="30" t="s">
        <v>11</v>
      </c>
      <c r="B865" s="22" t="n">
        <f aca="false">SUM(B862:B864)</f>
        <v>92690</v>
      </c>
      <c r="C865" s="89"/>
      <c r="D865" s="89"/>
      <c r="E865" s="0"/>
      <c r="F865" s="0"/>
    </row>
    <row r="866" customFormat="false" ht="16.8" hidden="false" customHeight="false" outlineLevel="0" collapsed="false">
      <c r="A866" s="13" t="s">
        <v>20</v>
      </c>
      <c r="B866" s="0"/>
      <c r="C866" s="0"/>
      <c r="D866" s="0"/>
      <c r="E866" s="0"/>
      <c r="F866" s="0"/>
    </row>
    <row r="867" customFormat="false" ht="16.8" hidden="false" customHeight="false" outlineLevel="0" collapsed="false">
      <c r="A867" s="17" t="s">
        <v>13</v>
      </c>
      <c r="B867" s="17" t="s">
        <v>21</v>
      </c>
      <c r="C867" s="18"/>
      <c r="D867" s="18"/>
      <c r="E867" s="18"/>
      <c r="F867" s="18"/>
    </row>
    <row r="868" customFormat="false" ht="16.8" hidden="false" customHeight="false" outlineLevel="0" collapsed="false">
      <c r="A868" s="33" t="s">
        <v>22</v>
      </c>
      <c r="B868" s="34"/>
      <c r="C868" s="0"/>
      <c r="D868" s="0"/>
      <c r="E868" s="0"/>
      <c r="F868" s="0"/>
    </row>
    <row r="869" customFormat="false" ht="16.8" hidden="false" customHeight="false" outlineLevel="0" collapsed="false">
      <c r="A869" s="33" t="s">
        <v>17</v>
      </c>
      <c r="B869" s="34" t="n">
        <f aca="false">173700-B870</f>
        <v>159450</v>
      </c>
      <c r="C869" s="0"/>
      <c r="D869" s="0"/>
      <c r="E869" s="0"/>
      <c r="F869" s="0"/>
    </row>
    <row r="870" customFormat="false" ht="16.8" hidden="false" customHeight="false" outlineLevel="0" collapsed="false">
      <c r="A870" s="33" t="s">
        <v>18</v>
      </c>
      <c r="B870" s="34" t="n">
        <v>14250</v>
      </c>
      <c r="C870" s="0"/>
      <c r="D870" s="0"/>
      <c r="E870" s="0"/>
      <c r="F870" s="0"/>
    </row>
    <row r="871" customFormat="false" ht="16.8" hidden="false" customHeight="false" outlineLevel="0" collapsed="false">
      <c r="A871" s="25" t="s">
        <v>11</v>
      </c>
      <c r="B871" s="35" t="n">
        <f aca="false">SUM(B868:B870)</f>
        <v>173700</v>
      </c>
      <c r="C871" s="0"/>
      <c r="D871" s="0"/>
      <c r="E871" s="0"/>
      <c r="F871" s="0"/>
    </row>
    <row r="872" customFormat="false" ht="13.2" hidden="false" customHeight="false" outlineLevel="0" collapsed="false">
      <c r="A872" s="0"/>
      <c r="B872" s="0"/>
      <c r="C872" s="0"/>
      <c r="D872" s="0"/>
      <c r="E872" s="0"/>
      <c r="F872" s="0"/>
    </row>
    <row r="873" customFormat="false" ht="13.2" hidden="false" customHeight="false" outlineLevel="0" collapsed="false">
      <c r="A873" s="39" t="s">
        <v>23</v>
      </c>
      <c r="B873" s="39" t="s">
        <v>24</v>
      </c>
      <c r="C873" s="39" t="s">
        <v>25</v>
      </c>
      <c r="D873" s="39" t="s">
        <v>26</v>
      </c>
      <c r="E873" s="41" t="s">
        <v>27</v>
      </c>
      <c r="F873" s="41"/>
    </row>
    <row r="874" customFormat="false" ht="13.2" hidden="false" customHeight="false" outlineLevel="0" collapsed="false">
      <c r="A874" s="26"/>
      <c r="B874" s="26"/>
      <c r="C874" s="26"/>
      <c r="D874" s="26"/>
      <c r="E874" s="26"/>
      <c r="F874" s="26"/>
    </row>
    <row r="875" customFormat="false" ht="13.2" hidden="false" customHeight="false" outlineLevel="0" collapsed="false">
      <c r="A875" s="26"/>
      <c r="B875" s="26"/>
      <c r="C875" s="26"/>
      <c r="D875" s="26"/>
      <c r="E875" s="26"/>
      <c r="F875" s="26"/>
    </row>
    <row r="876" customFormat="false" ht="13.2" hidden="false" customHeight="false" outlineLevel="0" collapsed="false">
      <c r="A876" s="26"/>
      <c r="B876" s="26"/>
      <c r="C876" s="26"/>
      <c r="D876" s="26"/>
      <c r="E876" s="26"/>
      <c r="F876" s="26"/>
    </row>
    <row r="877" customFormat="false" ht="13.2" hidden="false" customHeight="false" outlineLevel="0" collapsed="false">
      <c r="A877" s="26"/>
      <c r="B877" s="26"/>
      <c r="C877" s="26"/>
      <c r="D877" s="26"/>
      <c r="E877" s="26"/>
      <c r="F877" s="26"/>
    </row>
    <row r="878" customFormat="false" ht="13.2" hidden="false" customHeight="false" outlineLevel="0" collapsed="false">
      <c r="A878" s="39" t="s">
        <v>34</v>
      </c>
      <c r="B878" s="39"/>
      <c r="C878" s="39"/>
      <c r="D878" s="39"/>
      <c r="E878" s="41" t="s">
        <v>29</v>
      </c>
      <c r="F878" s="41"/>
    </row>
    <row r="879" customFormat="false" ht="13.2" hidden="false" customHeight="false" outlineLevel="0" collapsed="false">
      <c r="A879" s="0"/>
      <c r="B879" s="0"/>
      <c r="C879" s="0"/>
      <c r="D879" s="0"/>
      <c r="E879" s="0"/>
      <c r="F879" s="0"/>
    </row>
    <row r="880" customFormat="false" ht="13.2" hidden="false" customHeight="false" outlineLevel="0" collapsed="false">
      <c r="A880" s="0"/>
      <c r="B880" s="0"/>
      <c r="C880" s="0"/>
      <c r="D880" s="0"/>
      <c r="E880" s="0"/>
      <c r="F880" s="0"/>
    </row>
    <row r="881" customFormat="false" ht="13.2" hidden="false" customHeight="false" outlineLevel="0" collapsed="false">
      <c r="A881" s="0"/>
      <c r="B881" s="0"/>
      <c r="C881" s="0"/>
      <c r="D881" s="0"/>
      <c r="E881" s="0"/>
      <c r="F881" s="0"/>
    </row>
    <row r="882" customFormat="false" ht="13.2" hidden="false" customHeight="false" outlineLevel="0" collapsed="false">
      <c r="A882" s="0"/>
      <c r="B882" s="0"/>
      <c r="C882" s="0"/>
      <c r="D882" s="0"/>
      <c r="E882" s="0"/>
      <c r="F882" s="0"/>
    </row>
    <row r="883" customFormat="false" ht="13.8" hidden="false" customHeight="false" outlineLevel="0" collapsed="false">
      <c r="A883" s="62" t="s">
        <v>0</v>
      </c>
      <c r="B883" s="16"/>
      <c r="C883" s="16"/>
      <c r="D883" s="16"/>
      <c r="E883" s="16"/>
      <c r="F883" s="16"/>
    </row>
    <row r="884" customFormat="false" ht="18.6" hidden="false" customHeight="true" outlineLevel="0" collapsed="false">
      <c r="A884" s="42" t="s">
        <v>150</v>
      </c>
      <c r="B884" s="42"/>
      <c r="C884" s="42"/>
      <c r="D884" s="42"/>
      <c r="E884" s="42"/>
      <c r="F884" s="43"/>
    </row>
    <row r="885" customFormat="false" ht="13.8" hidden="false" customHeight="true" outlineLevel="0" collapsed="false">
      <c r="A885" s="10" t="s">
        <v>2</v>
      </c>
      <c r="B885" s="10"/>
      <c r="C885" s="10"/>
      <c r="D885" s="10"/>
      <c r="E885" s="10"/>
      <c r="F885" s="44"/>
    </row>
    <row r="886" customFormat="false" ht="16.8" hidden="false" customHeight="false" outlineLevel="0" collapsed="false">
      <c r="A886" s="13" t="s">
        <v>3</v>
      </c>
      <c r="B886" s="14"/>
      <c r="C886" s="14"/>
      <c r="D886" s="46"/>
      <c r="E886" s="46" t="s">
        <v>4</v>
      </c>
      <c r="F886" s="66"/>
    </row>
    <row r="887" customFormat="false" ht="33.6" hidden="false" customHeight="false" outlineLevel="0" collapsed="false">
      <c r="A887" s="17" t="s">
        <v>5</v>
      </c>
      <c r="B887" s="17" t="s">
        <v>5</v>
      </c>
      <c r="C887" s="17" t="s">
        <v>151</v>
      </c>
      <c r="D887" s="17" t="s">
        <v>7</v>
      </c>
      <c r="E887" s="17" t="s">
        <v>8</v>
      </c>
      <c r="F887" s="0"/>
    </row>
    <row r="888" customFormat="false" ht="16.8" hidden="false" customHeight="false" outlineLevel="0" collapsed="false">
      <c r="A888" s="19" t="s">
        <v>9</v>
      </c>
      <c r="B888" s="20" t="n">
        <f aca="false">E854</f>
        <v>308</v>
      </c>
      <c r="C888" s="20" t="n">
        <v>610</v>
      </c>
      <c r="D888" s="20"/>
      <c r="E888" s="47" t="n">
        <f aca="false">B888+C888-D888</f>
        <v>918</v>
      </c>
      <c r="F888" s="0"/>
    </row>
    <row r="889" customFormat="false" ht="16.8" hidden="false" customHeight="false" outlineLevel="0" collapsed="false">
      <c r="A889" s="19" t="s">
        <v>63</v>
      </c>
      <c r="B889" s="20" t="n">
        <f aca="false">E855</f>
        <v>0</v>
      </c>
      <c r="C889" s="20"/>
      <c r="D889" s="20"/>
      <c r="E889" s="47" t="n">
        <f aca="false">B889+C889-D889</f>
        <v>0</v>
      </c>
      <c r="F889" s="0"/>
    </row>
    <row r="890" customFormat="false" ht="16.8" hidden="false" customHeight="false" outlineLevel="0" collapsed="false">
      <c r="A890" s="19" t="s">
        <v>10</v>
      </c>
      <c r="B890" s="20" t="n">
        <f aca="false">E856</f>
        <v>480941</v>
      </c>
      <c r="C890" s="20" t="n">
        <f aca="false">201040-C888</f>
        <v>200430</v>
      </c>
      <c r="D890" s="20"/>
      <c r="E890" s="47" t="n">
        <f aca="false">B890+C890-D890</f>
        <v>681371</v>
      </c>
      <c r="F890" s="45"/>
    </row>
    <row r="891" customFormat="false" ht="33.6" hidden="false" customHeight="false" outlineLevel="0" collapsed="false">
      <c r="A891" s="82" t="s">
        <v>118</v>
      </c>
      <c r="B891" s="20" t="n">
        <f aca="false">E857</f>
        <v>0</v>
      </c>
      <c r="C891" s="20"/>
      <c r="D891" s="20"/>
      <c r="E891" s="47" t="n">
        <f aca="false">B891+C891-D891</f>
        <v>0</v>
      </c>
      <c r="F891" s="0"/>
    </row>
    <row r="892" customFormat="false" ht="16.8" hidden="false" customHeight="false" outlineLevel="0" collapsed="false">
      <c r="A892" s="21" t="s">
        <v>11</v>
      </c>
      <c r="B892" s="22" t="n">
        <f aca="false">SUM(B888:B890)</f>
        <v>481249</v>
      </c>
      <c r="C892" s="22" t="n">
        <f aca="false">SUM(C888:C890)</f>
        <v>201040</v>
      </c>
      <c r="D892" s="22" t="n">
        <f aca="false">SUM(D888:D890)</f>
        <v>0</v>
      </c>
      <c r="E892" s="22" t="n">
        <f aca="false">SUM(E888:E890)</f>
        <v>682289</v>
      </c>
      <c r="F892" s="45"/>
    </row>
    <row r="893" customFormat="false" ht="16.8" hidden="false" customHeight="false" outlineLevel="0" collapsed="false">
      <c r="A893" s="64" t="s">
        <v>141</v>
      </c>
      <c r="B893" s="64"/>
      <c r="C893" s="64"/>
      <c r="D893" s="64"/>
      <c r="E893" s="64"/>
      <c r="F893" s="91"/>
    </row>
    <row r="894" customFormat="false" ht="16.8" hidden="false" customHeight="false" outlineLevel="0" collapsed="false">
      <c r="A894" s="13" t="s">
        <v>12</v>
      </c>
      <c r="B894" s="13"/>
      <c r="C894" s="13"/>
      <c r="D894" s="13"/>
      <c r="E894" s="24"/>
      <c r="F894" s="24"/>
    </row>
    <row r="895" customFormat="false" ht="67.2" hidden="false" customHeight="false" outlineLevel="0" collapsed="false">
      <c r="A895" s="25" t="s">
        <v>13</v>
      </c>
      <c r="B895" s="17" t="s">
        <v>152</v>
      </c>
      <c r="C895" s="93" t="s">
        <v>138</v>
      </c>
      <c r="D895" s="73" t="s">
        <v>16</v>
      </c>
      <c r="E895" s="0"/>
      <c r="F895" s="0"/>
    </row>
    <row r="896" customFormat="false" ht="33.6" hidden="false" customHeight="false" outlineLevel="0" collapsed="false">
      <c r="A896" s="49" t="s">
        <v>49</v>
      </c>
      <c r="B896" s="50"/>
      <c r="C896" s="20"/>
      <c r="D896" s="70"/>
      <c r="E896" s="0"/>
      <c r="F896" s="0"/>
    </row>
    <row r="897" customFormat="false" ht="16.8" hidden="false" customHeight="false" outlineLevel="0" collapsed="false">
      <c r="A897" s="49" t="s">
        <v>53</v>
      </c>
      <c r="B897" s="19" t="n">
        <v>93130</v>
      </c>
      <c r="C897" s="29"/>
      <c r="D897" s="78"/>
      <c r="E897" s="0"/>
      <c r="F897" s="0"/>
    </row>
    <row r="898" customFormat="false" ht="16.8" hidden="false" customHeight="false" outlineLevel="0" collapsed="false">
      <c r="A898" s="53" t="s">
        <v>18</v>
      </c>
      <c r="B898" s="20"/>
      <c r="C898" s="20"/>
      <c r="D898" s="47"/>
      <c r="E898" s="0"/>
      <c r="F898" s="0"/>
    </row>
    <row r="899" customFormat="false" ht="16.8" hidden="false" customHeight="false" outlineLevel="0" collapsed="false">
      <c r="A899" s="30" t="s">
        <v>11</v>
      </c>
      <c r="B899" s="22" t="n">
        <f aca="false">SUM(B896:B898)</f>
        <v>93130</v>
      </c>
      <c r="C899" s="89"/>
      <c r="D899" s="89"/>
      <c r="E899" s="0"/>
      <c r="F899" s="0"/>
    </row>
    <row r="900" customFormat="false" ht="16.8" hidden="false" customHeight="false" outlineLevel="0" collapsed="false">
      <c r="A900" s="13" t="s">
        <v>20</v>
      </c>
      <c r="B900" s="0"/>
      <c r="C900" s="0"/>
      <c r="D900" s="0"/>
      <c r="E900" s="0"/>
      <c r="F900" s="0"/>
    </row>
    <row r="901" customFormat="false" ht="16.8" hidden="false" customHeight="false" outlineLevel="0" collapsed="false">
      <c r="A901" s="17" t="s">
        <v>13</v>
      </c>
      <c r="B901" s="17" t="s">
        <v>21</v>
      </c>
      <c r="C901" s="18"/>
      <c r="D901" s="18"/>
      <c r="E901" s="18"/>
      <c r="F901" s="18"/>
    </row>
    <row r="902" customFormat="false" ht="16.8" hidden="false" customHeight="false" outlineLevel="0" collapsed="false">
      <c r="A902" s="33" t="s">
        <v>22</v>
      </c>
      <c r="B902" s="34"/>
      <c r="C902" s="0"/>
      <c r="D902" s="0"/>
      <c r="E902" s="0"/>
      <c r="F902" s="0"/>
    </row>
    <row r="903" customFormat="false" ht="16.8" hidden="false" customHeight="false" outlineLevel="0" collapsed="false">
      <c r="A903" s="33" t="s">
        <v>17</v>
      </c>
      <c r="B903" s="34" t="n">
        <f aca="false">261980-B904</f>
        <v>247730</v>
      </c>
      <c r="C903" s="0"/>
      <c r="D903" s="0"/>
      <c r="E903" s="0"/>
      <c r="F903" s="0"/>
    </row>
    <row r="904" customFormat="false" ht="16.8" hidden="false" customHeight="false" outlineLevel="0" collapsed="false">
      <c r="A904" s="33" t="s">
        <v>18</v>
      </c>
      <c r="B904" s="34" t="n">
        <v>14250</v>
      </c>
      <c r="C904" s="0"/>
      <c r="D904" s="0"/>
      <c r="E904" s="0"/>
      <c r="F904" s="0"/>
    </row>
    <row r="905" customFormat="false" ht="16.8" hidden="false" customHeight="false" outlineLevel="0" collapsed="false">
      <c r="A905" s="25" t="s">
        <v>11</v>
      </c>
      <c r="B905" s="35" t="n">
        <f aca="false">SUM(B902:B904)</f>
        <v>261980</v>
      </c>
      <c r="C905" s="0"/>
      <c r="D905" s="0"/>
      <c r="E905" s="0"/>
      <c r="F905" s="0"/>
    </row>
    <row r="906" customFormat="false" ht="13.2" hidden="false" customHeight="false" outlineLevel="0" collapsed="false">
      <c r="A906" s="0"/>
      <c r="B906" s="0"/>
      <c r="C906" s="0"/>
      <c r="D906" s="0"/>
      <c r="E906" s="0"/>
      <c r="F906" s="0"/>
    </row>
    <row r="907" customFormat="false" ht="13.2" hidden="false" customHeight="false" outlineLevel="0" collapsed="false">
      <c r="A907" s="39" t="s">
        <v>23</v>
      </c>
      <c r="B907" s="39" t="s">
        <v>24</v>
      </c>
      <c r="C907" s="39" t="s">
        <v>25</v>
      </c>
      <c r="D907" s="39" t="s">
        <v>26</v>
      </c>
      <c r="E907" s="41" t="s">
        <v>27</v>
      </c>
      <c r="F907" s="41"/>
    </row>
    <row r="908" customFormat="false" ht="13.2" hidden="false" customHeight="false" outlineLevel="0" collapsed="false">
      <c r="A908" s="26"/>
      <c r="B908" s="26"/>
      <c r="C908" s="26"/>
      <c r="D908" s="26"/>
      <c r="E908" s="26"/>
      <c r="F908" s="26"/>
    </row>
    <row r="909" customFormat="false" ht="13.2" hidden="false" customHeight="false" outlineLevel="0" collapsed="false">
      <c r="A909" s="26"/>
      <c r="B909" s="26"/>
      <c r="C909" s="26"/>
      <c r="D909" s="26"/>
      <c r="E909" s="26"/>
      <c r="F909" s="26"/>
    </row>
    <row r="910" customFormat="false" ht="13.2" hidden="false" customHeight="false" outlineLevel="0" collapsed="false">
      <c r="A910" s="26"/>
      <c r="B910" s="26"/>
      <c r="C910" s="26"/>
      <c r="D910" s="26"/>
      <c r="E910" s="26"/>
      <c r="F910" s="26"/>
    </row>
    <row r="911" customFormat="false" ht="13.2" hidden="false" customHeight="false" outlineLevel="0" collapsed="false">
      <c r="A911" s="26"/>
      <c r="B911" s="26"/>
      <c r="C911" s="26"/>
      <c r="D911" s="26"/>
      <c r="E911" s="26"/>
      <c r="F911" s="26"/>
    </row>
    <row r="912" customFormat="false" ht="13.2" hidden="false" customHeight="false" outlineLevel="0" collapsed="false">
      <c r="A912" s="39" t="s">
        <v>34</v>
      </c>
      <c r="B912" s="39"/>
      <c r="C912" s="39"/>
      <c r="D912" s="39"/>
      <c r="E912" s="41" t="s">
        <v>29</v>
      </c>
      <c r="F912" s="41"/>
    </row>
    <row r="913" customFormat="false" ht="13.2" hidden="false" customHeight="false" outlineLevel="0" collapsed="false">
      <c r="A913" s="0"/>
      <c r="B913" s="0"/>
      <c r="C913" s="0"/>
      <c r="D913" s="0"/>
      <c r="E913" s="0"/>
      <c r="F913" s="0"/>
    </row>
    <row r="914" customFormat="false" ht="13.2" hidden="false" customHeight="false" outlineLevel="0" collapsed="false">
      <c r="A914" s="0"/>
      <c r="B914" s="0"/>
      <c r="C914" s="0"/>
      <c r="D914" s="0"/>
      <c r="E914" s="0"/>
      <c r="F914" s="0"/>
    </row>
    <row r="915" customFormat="false" ht="13.2" hidden="false" customHeight="false" outlineLevel="0" collapsed="false">
      <c r="A915" s="0"/>
      <c r="B915" s="0"/>
      <c r="C915" s="0"/>
      <c r="D915" s="0"/>
      <c r="E915" s="0"/>
      <c r="F915" s="0"/>
    </row>
    <row r="916" customFormat="false" ht="13.2" hidden="false" customHeight="false" outlineLevel="0" collapsed="false">
      <c r="A916" s="0"/>
      <c r="B916" s="0"/>
      <c r="C916" s="0"/>
      <c r="D916" s="0"/>
      <c r="E916" s="0"/>
      <c r="F916" s="0"/>
    </row>
    <row r="917" customFormat="false" ht="13.8" hidden="false" customHeight="false" outlineLevel="0" collapsed="false">
      <c r="A917" s="62" t="s">
        <v>0</v>
      </c>
      <c r="B917" s="16"/>
      <c r="C917" s="16"/>
      <c r="D917" s="16"/>
      <c r="E917" s="16"/>
      <c r="F917" s="16"/>
    </row>
    <row r="918" customFormat="false" ht="18.6" hidden="false" customHeight="true" outlineLevel="0" collapsed="false">
      <c r="A918" s="42" t="s">
        <v>153</v>
      </c>
      <c r="B918" s="42"/>
      <c r="C918" s="42"/>
      <c r="D918" s="42"/>
      <c r="E918" s="42"/>
      <c r="F918" s="43"/>
    </row>
    <row r="919" customFormat="false" ht="13.8" hidden="false" customHeight="true" outlineLevel="0" collapsed="false">
      <c r="A919" s="10" t="s">
        <v>2</v>
      </c>
      <c r="B919" s="10"/>
      <c r="C919" s="10"/>
      <c r="D919" s="10"/>
      <c r="E919" s="10"/>
      <c r="F919" s="44"/>
    </row>
    <row r="920" customFormat="false" ht="16.8" hidden="false" customHeight="false" outlineLevel="0" collapsed="false">
      <c r="A920" s="13" t="s">
        <v>3</v>
      </c>
      <c r="B920" s="14"/>
      <c r="C920" s="14"/>
      <c r="D920" s="46"/>
      <c r="E920" s="46" t="s">
        <v>4</v>
      </c>
      <c r="F920" s="66"/>
    </row>
    <row r="921" customFormat="false" ht="33.6" hidden="false" customHeight="false" outlineLevel="0" collapsed="false">
      <c r="A921" s="17" t="s">
        <v>5</v>
      </c>
      <c r="B921" s="17" t="s">
        <v>5</v>
      </c>
      <c r="C921" s="17" t="s">
        <v>154</v>
      </c>
      <c r="D921" s="17" t="s">
        <v>7</v>
      </c>
      <c r="E921" s="17" t="s">
        <v>8</v>
      </c>
      <c r="F921" s="0"/>
    </row>
    <row r="922" customFormat="false" ht="16.8" hidden="false" customHeight="false" outlineLevel="0" collapsed="false">
      <c r="A922" s="19" t="s">
        <v>9</v>
      </c>
      <c r="B922" s="20" t="n">
        <f aca="false">E888</f>
        <v>918</v>
      </c>
      <c r="C922" s="20" t="n">
        <v>1119</v>
      </c>
      <c r="D922" s="20" t="n">
        <v>2037</v>
      </c>
      <c r="E922" s="47" t="n">
        <f aca="false">B922+C922-D922</f>
        <v>0</v>
      </c>
      <c r="F922" s="0"/>
    </row>
    <row r="923" customFormat="false" ht="16.8" hidden="false" customHeight="false" outlineLevel="0" collapsed="false">
      <c r="A923" s="19" t="s">
        <v>63</v>
      </c>
      <c r="B923" s="20" t="n">
        <f aca="false">E889</f>
        <v>0</v>
      </c>
      <c r="C923" s="20"/>
      <c r="D923" s="20"/>
      <c r="E923" s="47" t="n">
        <f aca="false">B923+C923-D923</f>
        <v>0</v>
      </c>
      <c r="F923" s="0"/>
    </row>
    <row r="924" customFormat="false" ht="16.8" hidden="false" customHeight="false" outlineLevel="0" collapsed="false">
      <c r="A924" s="19" t="s">
        <v>10</v>
      </c>
      <c r="B924" s="20" t="n">
        <f aca="false">E890</f>
        <v>681371</v>
      </c>
      <c r="C924" s="20" t="n">
        <f aca="false">212195-C922</f>
        <v>211076</v>
      </c>
      <c r="D924" s="20" t="n">
        <v>892447</v>
      </c>
      <c r="E924" s="47" t="n">
        <f aca="false">B924+C924-D924</f>
        <v>0</v>
      </c>
      <c r="F924" s="45"/>
    </row>
    <row r="925" customFormat="false" ht="33.6" hidden="false" customHeight="false" outlineLevel="0" collapsed="false">
      <c r="A925" s="82" t="s">
        <v>118</v>
      </c>
      <c r="B925" s="20" t="n">
        <f aca="false">E891</f>
        <v>0</v>
      </c>
      <c r="C925" s="20"/>
      <c r="D925" s="20"/>
      <c r="E925" s="47" t="n">
        <f aca="false">B925+C925-D925</f>
        <v>0</v>
      </c>
      <c r="F925" s="0"/>
    </row>
    <row r="926" customFormat="false" ht="16.8" hidden="false" customHeight="false" outlineLevel="0" collapsed="false">
      <c r="A926" s="21" t="s">
        <v>11</v>
      </c>
      <c r="B926" s="22" t="n">
        <f aca="false">SUM(B922:B924)</f>
        <v>682289</v>
      </c>
      <c r="C926" s="22" t="n">
        <f aca="false">SUM(C922:C924)</f>
        <v>212195</v>
      </c>
      <c r="D926" s="22" t="n">
        <f aca="false">SUM(D922:D924)</f>
        <v>894484</v>
      </c>
      <c r="E926" s="22" t="n">
        <f aca="false">SUM(E922:E924)</f>
        <v>0</v>
      </c>
      <c r="F926" s="45"/>
    </row>
    <row r="927" customFormat="false" ht="16.8" hidden="false" customHeight="false" outlineLevel="0" collapsed="false">
      <c r="A927" s="13" t="s">
        <v>12</v>
      </c>
      <c r="B927" s="13"/>
      <c r="C927" s="13"/>
      <c r="D927" s="13"/>
      <c r="E927" s="24"/>
      <c r="F927" s="24"/>
    </row>
    <row r="928" customFormat="false" ht="67.2" hidden="false" customHeight="false" outlineLevel="0" collapsed="false">
      <c r="A928" s="25" t="s">
        <v>13</v>
      </c>
      <c r="B928" s="17" t="s">
        <v>155</v>
      </c>
      <c r="C928" s="17" t="s">
        <v>156</v>
      </c>
      <c r="D928" s="93" t="s">
        <v>138</v>
      </c>
      <c r="E928" s="73" t="s">
        <v>16</v>
      </c>
      <c r="F928" s="0"/>
    </row>
    <row r="929" customFormat="false" ht="33.6" hidden="false" customHeight="false" outlineLevel="0" collapsed="false">
      <c r="A929" s="49" t="s">
        <v>49</v>
      </c>
      <c r="B929" s="50"/>
      <c r="C929" s="20"/>
      <c r="D929" s="20"/>
      <c r="E929" s="70"/>
      <c r="F929" s="0"/>
    </row>
    <row r="930" customFormat="false" ht="16.8" hidden="false" customHeight="false" outlineLevel="0" collapsed="false">
      <c r="A930" s="49" t="s">
        <v>53</v>
      </c>
      <c r="B930" s="19" t="n">
        <f aca="false">93130+B863</f>
        <v>185820</v>
      </c>
      <c r="C930" s="20" t="n">
        <v>78460</v>
      </c>
      <c r="D930" s="29"/>
      <c r="E930" s="78" t="n">
        <f aca="false">D926/(B930+C930)</f>
        <v>3.38460723475102</v>
      </c>
      <c r="F930" s="0"/>
    </row>
    <row r="931" customFormat="false" ht="16.8" hidden="false" customHeight="false" outlineLevel="0" collapsed="false">
      <c r="A931" s="53" t="s">
        <v>18</v>
      </c>
      <c r="B931" s="20"/>
      <c r="C931" s="20"/>
      <c r="D931" s="20"/>
      <c r="E931" s="47"/>
      <c r="F931" s="0"/>
    </row>
    <row r="932" customFormat="false" ht="16.8" hidden="false" customHeight="false" outlineLevel="0" collapsed="false">
      <c r="A932" s="30" t="s">
        <v>11</v>
      </c>
      <c r="B932" s="22" t="n">
        <f aca="false">SUM(B929:B931)</f>
        <v>185820</v>
      </c>
      <c r="C932" s="94" t="n">
        <f aca="false">SUM(C929:C931)</f>
        <v>78460</v>
      </c>
      <c r="D932" s="89"/>
      <c r="E932" s="89" t="n">
        <f aca="false">E930</f>
        <v>3.38460723475102</v>
      </c>
      <c r="F932" s="0"/>
    </row>
    <row r="933" customFormat="false" ht="16.8" hidden="false" customHeight="false" outlineLevel="0" collapsed="false">
      <c r="A933" s="13" t="s">
        <v>20</v>
      </c>
      <c r="B933" s="0"/>
      <c r="C933" s="0"/>
      <c r="D933" s="0"/>
      <c r="E933" s="0"/>
      <c r="F933" s="0"/>
    </row>
    <row r="934" customFormat="false" ht="16.8" hidden="false" customHeight="false" outlineLevel="0" collapsed="false">
      <c r="A934" s="17" t="s">
        <v>13</v>
      </c>
      <c r="B934" s="17" t="s">
        <v>21</v>
      </c>
      <c r="C934" s="18"/>
      <c r="D934" s="18"/>
      <c r="E934" s="18"/>
      <c r="F934" s="18"/>
    </row>
    <row r="935" customFormat="false" ht="16.8" hidden="false" customHeight="false" outlineLevel="0" collapsed="false">
      <c r="A935" s="33" t="s">
        <v>22</v>
      </c>
      <c r="B935" s="34"/>
      <c r="C935" s="0"/>
      <c r="D935" s="0"/>
      <c r="E935" s="0"/>
      <c r="F935" s="0"/>
    </row>
    <row r="936" customFormat="false" ht="16.8" hidden="false" customHeight="false" outlineLevel="0" collapsed="false">
      <c r="A936" s="33" t="s">
        <v>17</v>
      </c>
      <c r="B936" s="34" t="n">
        <v>168590</v>
      </c>
      <c r="C936" s="0"/>
      <c r="D936" s="0"/>
      <c r="E936" s="0"/>
      <c r="F936" s="0"/>
    </row>
    <row r="937" customFormat="false" ht="16.8" hidden="false" customHeight="false" outlineLevel="0" collapsed="false">
      <c r="A937" s="33" t="s">
        <v>18</v>
      </c>
      <c r="B937" s="34" t="n">
        <v>14250</v>
      </c>
      <c r="C937" s="0"/>
      <c r="D937" s="0"/>
      <c r="E937" s="0"/>
      <c r="F937" s="0"/>
    </row>
    <row r="938" customFormat="false" ht="16.8" hidden="false" customHeight="false" outlineLevel="0" collapsed="false">
      <c r="A938" s="25" t="s">
        <v>11</v>
      </c>
      <c r="B938" s="35" t="n">
        <f aca="false">SUM(B935:B937)</f>
        <v>182840</v>
      </c>
      <c r="C938" s="0"/>
      <c r="D938" s="0"/>
      <c r="E938" s="0"/>
      <c r="F938" s="0"/>
    </row>
    <row r="939" customFormat="false" ht="13.2" hidden="false" customHeight="false" outlineLevel="0" collapsed="false">
      <c r="A939" s="0"/>
      <c r="B939" s="0"/>
      <c r="C939" s="0"/>
      <c r="D939" s="0"/>
      <c r="E939" s="0"/>
      <c r="F939" s="0"/>
    </row>
    <row r="940" customFormat="false" ht="13.2" hidden="false" customHeight="false" outlineLevel="0" collapsed="false">
      <c r="A940" s="39" t="s">
        <v>23</v>
      </c>
      <c r="B940" s="39" t="s">
        <v>24</v>
      </c>
      <c r="C940" s="39" t="s">
        <v>25</v>
      </c>
      <c r="D940" s="39" t="s">
        <v>26</v>
      </c>
      <c r="E940" s="41" t="s">
        <v>27</v>
      </c>
      <c r="F940" s="41"/>
    </row>
    <row r="941" customFormat="false" ht="13.2" hidden="false" customHeight="false" outlineLevel="0" collapsed="false">
      <c r="A941" s="26"/>
      <c r="B941" s="26"/>
      <c r="C941" s="26"/>
      <c r="D941" s="26"/>
      <c r="E941" s="26"/>
      <c r="F941" s="26"/>
    </row>
    <row r="942" customFormat="false" ht="13.2" hidden="false" customHeight="false" outlineLevel="0" collapsed="false">
      <c r="A942" s="26"/>
      <c r="B942" s="26"/>
      <c r="C942" s="26"/>
      <c r="D942" s="26"/>
      <c r="E942" s="26"/>
      <c r="F942" s="26"/>
    </row>
    <row r="943" customFormat="false" ht="13.2" hidden="false" customHeight="false" outlineLevel="0" collapsed="false">
      <c r="A943" s="26"/>
      <c r="B943" s="26"/>
      <c r="C943" s="26"/>
      <c r="D943" s="26"/>
      <c r="E943" s="26"/>
      <c r="F943" s="26"/>
    </row>
    <row r="944" customFormat="false" ht="13.2" hidden="false" customHeight="false" outlineLevel="0" collapsed="false">
      <c r="A944" s="26"/>
      <c r="B944" s="26"/>
      <c r="C944" s="26"/>
      <c r="D944" s="26"/>
      <c r="E944" s="26"/>
      <c r="F944" s="26"/>
    </row>
    <row r="945" customFormat="false" ht="13.2" hidden="false" customHeight="false" outlineLevel="0" collapsed="false">
      <c r="A945" s="39" t="s">
        <v>34</v>
      </c>
      <c r="B945" s="39"/>
      <c r="C945" s="39"/>
      <c r="D945" s="39"/>
      <c r="E945" s="41" t="s">
        <v>29</v>
      </c>
      <c r="F945" s="41"/>
    </row>
  </sheetData>
  <mergeCells count="124">
    <mergeCell ref="A2:F2"/>
    <mergeCell ref="A3:F3"/>
    <mergeCell ref="D4:E4"/>
    <mergeCell ref="E26:F26"/>
    <mergeCell ref="E31:F31"/>
    <mergeCell ref="A35:F35"/>
    <mergeCell ref="A36:F36"/>
    <mergeCell ref="D37:E37"/>
    <mergeCell ref="E58:F58"/>
    <mergeCell ref="E63:F63"/>
    <mergeCell ref="A72:E72"/>
    <mergeCell ref="A73:E73"/>
    <mergeCell ref="D74:E74"/>
    <mergeCell ref="E96:F96"/>
    <mergeCell ref="E101:F101"/>
    <mergeCell ref="A107:E107"/>
    <mergeCell ref="A108:E108"/>
    <mergeCell ref="D109:E109"/>
    <mergeCell ref="E130:F130"/>
    <mergeCell ref="E135:F135"/>
    <mergeCell ref="A143:E143"/>
    <mergeCell ref="A144:E144"/>
    <mergeCell ref="E145:F145"/>
    <mergeCell ref="E176:F176"/>
    <mergeCell ref="E181:F181"/>
    <mergeCell ref="A186:E186"/>
    <mergeCell ref="A187:E187"/>
    <mergeCell ref="E188:F188"/>
    <mergeCell ref="E219:F219"/>
    <mergeCell ref="E224:F224"/>
    <mergeCell ref="A229:E229"/>
    <mergeCell ref="A230:E230"/>
    <mergeCell ref="E255:F255"/>
    <mergeCell ref="E260:F260"/>
    <mergeCell ref="A266:E266"/>
    <mergeCell ref="A267:E267"/>
    <mergeCell ref="E293:F293"/>
    <mergeCell ref="E298:F298"/>
    <mergeCell ref="A305:E305"/>
    <mergeCell ref="A306:E306"/>
    <mergeCell ref="E332:F332"/>
    <mergeCell ref="E337:F337"/>
    <mergeCell ref="A342:E342"/>
    <mergeCell ref="A343:E343"/>
    <mergeCell ref="A351:E351"/>
    <mergeCell ref="E368:F368"/>
    <mergeCell ref="E373:F373"/>
    <mergeCell ref="A380:E380"/>
    <mergeCell ref="A381:E381"/>
    <mergeCell ref="E405:F405"/>
    <mergeCell ref="E410:F410"/>
    <mergeCell ref="A416:E416"/>
    <mergeCell ref="A417:E417"/>
    <mergeCell ref="A425:E425"/>
    <mergeCell ref="E442:F442"/>
    <mergeCell ref="E447:F447"/>
    <mergeCell ref="A454:E454"/>
    <mergeCell ref="A455:E455"/>
    <mergeCell ref="A463:E463"/>
    <mergeCell ref="E479:F479"/>
    <mergeCell ref="E484:F484"/>
    <mergeCell ref="A491:E491"/>
    <mergeCell ref="A492:E492"/>
    <mergeCell ref="A500:E500"/>
    <mergeCell ref="E515:F515"/>
    <mergeCell ref="E520:F520"/>
    <mergeCell ref="A527:E527"/>
    <mergeCell ref="A528:E528"/>
    <mergeCell ref="A536:E536"/>
    <mergeCell ref="E551:F551"/>
    <mergeCell ref="E556:F556"/>
    <mergeCell ref="A567:E567"/>
    <mergeCell ref="A568:E568"/>
    <mergeCell ref="A575:E575"/>
    <mergeCell ref="E590:F590"/>
    <mergeCell ref="E595:F595"/>
    <mergeCell ref="A602:E602"/>
    <mergeCell ref="A603:E603"/>
    <mergeCell ref="A610:E610"/>
    <mergeCell ref="E632:F632"/>
    <mergeCell ref="E637:F637"/>
    <mergeCell ref="A643:E643"/>
    <mergeCell ref="A644:E644"/>
    <mergeCell ref="A652:E652"/>
    <mergeCell ref="A653:E653"/>
    <mergeCell ref="E675:F675"/>
    <mergeCell ref="E680:F680"/>
    <mergeCell ref="A685:E685"/>
    <mergeCell ref="A686:E686"/>
    <mergeCell ref="E708:F708"/>
    <mergeCell ref="E713:F713"/>
    <mergeCell ref="A718:E718"/>
    <mergeCell ref="A719:E719"/>
    <mergeCell ref="A727:E727"/>
    <mergeCell ref="E741:F741"/>
    <mergeCell ref="E746:F746"/>
    <mergeCell ref="A752:E752"/>
    <mergeCell ref="A753:E753"/>
    <mergeCell ref="A761:E761"/>
    <mergeCell ref="E775:F775"/>
    <mergeCell ref="E780:F780"/>
    <mergeCell ref="A785:E785"/>
    <mergeCell ref="A786:E786"/>
    <mergeCell ref="A794:E794"/>
    <mergeCell ref="E808:F808"/>
    <mergeCell ref="E813:F813"/>
    <mergeCell ref="A818:E818"/>
    <mergeCell ref="A819:E819"/>
    <mergeCell ref="E840:F840"/>
    <mergeCell ref="E845:F845"/>
    <mergeCell ref="A850:E850"/>
    <mergeCell ref="A851:E851"/>
    <mergeCell ref="A859:E859"/>
    <mergeCell ref="E873:F873"/>
    <mergeCell ref="E878:F878"/>
    <mergeCell ref="A884:E884"/>
    <mergeCell ref="A885:E885"/>
    <mergeCell ref="A893:E893"/>
    <mergeCell ref="E907:F907"/>
    <mergeCell ref="E912:F912"/>
    <mergeCell ref="A918:E918"/>
    <mergeCell ref="A919:E919"/>
    <mergeCell ref="E940:F940"/>
    <mergeCell ref="E945:F945"/>
  </mergeCells>
  <printOptions headings="false" gridLines="false" gridLinesSet="true" horizontalCentered="false" verticalCentered="false"/>
  <pageMargins left="0.220138888888889" right="0.2" top="0.35" bottom="0.42986111111111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8" activeCellId="0" sqref="A18"/>
    </sheetView>
  </sheetViews>
  <sheetFormatPr defaultRowHeight="13.2"/>
  <cols>
    <col collapsed="false" hidden="false" max="1" min="1" style="0" width="21.8673469387755"/>
    <col collapsed="false" hidden="false" max="2" min="2" style="0" width="19.1683673469388"/>
    <col collapsed="false" hidden="false" max="3" min="3" style="0" width="13.6326530612245"/>
    <col collapsed="false" hidden="false" max="4" min="4" style="0" width="14.8469387755102"/>
    <col collapsed="false" hidden="false" max="5" min="5" style="0" width="14.5816326530612"/>
    <col collapsed="false" hidden="false" max="6" min="6" style="0" width="14.8469387755102"/>
    <col collapsed="false" hidden="false" max="7" min="7" style="0" width="10.3928571428571"/>
    <col collapsed="false" hidden="false" max="1025" min="8" style="0" width="8.50510204081633"/>
  </cols>
  <sheetData>
    <row r="1" customFormat="false" ht="13.8" hidden="false" customHeight="false" outlineLevel="0" collapsed="false">
      <c r="A1" s="62" t="s">
        <v>0</v>
      </c>
      <c r="B1" s="16"/>
      <c r="C1" s="16"/>
      <c r="D1" s="16"/>
      <c r="E1" s="16"/>
      <c r="F1" s="16"/>
    </row>
    <row r="2" customFormat="false" ht="18.6" hidden="false" customHeight="true" outlineLevel="0" collapsed="false">
      <c r="A2" s="42" t="s">
        <v>153</v>
      </c>
      <c r="B2" s="42"/>
      <c r="C2" s="42"/>
      <c r="D2" s="42"/>
      <c r="E2" s="42"/>
      <c r="F2" s="43"/>
    </row>
    <row r="3" customFormat="false" ht="13.8" hidden="false" customHeight="true" outlineLevel="0" collapsed="false">
      <c r="A3" s="10" t="s">
        <v>2</v>
      </c>
      <c r="B3" s="10"/>
      <c r="C3" s="10"/>
      <c r="D3" s="10"/>
      <c r="E3" s="10"/>
      <c r="F3" s="44"/>
    </row>
    <row r="4" customFormat="false" ht="16.8" hidden="false" customHeight="false" outlineLevel="0" collapsed="false">
      <c r="A4" s="13" t="s">
        <v>3</v>
      </c>
      <c r="B4" s="14"/>
      <c r="C4" s="14"/>
      <c r="D4" s="46"/>
      <c r="E4" s="46" t="s">
        <v>4</v>
      </c>
      <c r="F4" s="66"/>
    </row>
    <row r="5" customFormat="false" ht="33.6" hidden="false" customHeight="false" outlineLevel="0" collapsed="false">
      <c r="A5" s="17" t="s">
        <v>5</v>
      </c>
      <c r="B5" s="17" t="s">
        <v>5</v>
      </c>
      <c r="C5" s="17" t="s">
        <v>154</v>
      </c>
      <c r="D5" s="17" t="s">
        <v>7</v>
      </c>
      <c r="E5" s="17" t="s">
        <v>8</v>
      </c>
      <c r="F5" s="1"/>
    </row>
    <row r="6" customFormat="false" ht="16.8" hidden="false" customHeight="false" outlineLevel="0" collapsed="false">
      <c r="A6" s="19" t="s">
        <v>9</v>
      </c>
      <c r="B6" s="20" t="n">
        <f aca="false">'Bột Cá 1 Cty LH'!B922</f>
        <v>918</v>
      </c>
      <c r="C6" s="20" t="n">
        <f aca="false">'Bột Cá 1 Cty LH'!C922</f>
        <v>1119</v>
      </c>
      <c r="D6" s="20" t="n">
        <v>2037</v>
      </c>
      <c r="E6" s="47" t="n">
        <f aca="false">B6+C6-D6</f>
        <v>0</v>
      </c>
      <c r="F6" s="1"/>
    </row>
    <row r="7" customFormat="false" ht="16.8" hidden="false" customHeight="false" outlineLevel="0" collapsed="false">
      <c r="A7" s="19" t="s">
        <v>63</v>
      </c>
      <c r="B7" s="20" t="n">
        <f aca="false">'Bột Cá 1 Cty LH'!B923</f>
        <v>0</v>
      </c>
      <c r="C7" s="20"/>
      <c r="D7" s="20"/>
      <c r="E7" s="47" t="n">
        <f aca="false">B7+C7-D7</f>
        <v>0</v>
      </c>
      <c r="F7" s="1"/>
    </row>
    <row r="8" customFormat="false" ht="16.8" hidden="false" customHeight="false" outlineLevel="0" collapsed="false">
      <c r="A8" s="19" t="s">
        <v>10</v>
      </c>
      <c r="B8" s="20" t="n">
        <f aca="false">'Bột Cá 1 Cty LH'!B924</f>
        <v>681371</v>
      </c>
      <c r="C8" s="20" t="n">
        <f aca="false">212195-C6</f>
        <v>211076</v>
      </c>
      <c r="D8" s="20" t="n">
        <v>892447</v>
      </c>
      <c r="E8" s="47" t="n">
        <f aca="false">B8+C8-D8</f>
        <v>0</v>
      </c>
      <c r="F8" s="45"/>
    </row>
    <row r="9" customFormat="false" ht="16.8" hidden="false" customHeight="false" outlineLevel="0" collapsed="false">
      <c r="A9" s="21" t="s">
        <v>11</v>
      </c>
      <c r="B9" s="22" t="n">
        <f aca="false">SUM(B6:B8)</f>
        <v>682289</v>
      </c>
      <c r="C9" s="22" t="n">
        <f aca="false">SUM(C6:C8)</f>
        <v>212195</v>
      </c>
      <c r="D9" s="22" t="n">
        <f aca="false">SUM(D6:D8)</f>
        <v>894484</v>
      </c>
      <c r="E9" s="22" t="n">
        <f aca="false">SUM(E6:E8)</f>
        <v>0</v>
      </c>
      <c r="F9" s="45"/>
    </row>
    <row r="10" customFormat="false" ht="16.8" hidden="false" customHeight="false" outlineLevel="0" collapsed="false">
      <c r="A10" s="64" t="s">
        <v>141</v>
      </c>
      <c r="B10" s="64"/>
      <c r="C10" s="64"/>
      <c r="D10" s="64"/>
      <c r="E10" s="64"/>
      <c r="F10" s="91"/>
    </row>
    <row r="11" customFormat="false" ht="16.8" hidden="false" customHeight="false" outlineLevel="0" collapsed="false">
      <c r="A11" s="13" t="s">
        <v>12</v>
      </c>
      <c r="B11" s="13"/>
      <c r="C11" s="13"/>
      <c r="D11" s="13"/>
      <c r="E11" s="24"/>
      <c r="F11" s="24"/>
    </row>
    <row r="12" customFormat="false" ht="67.2" hidden="false" customHeight="false" outlineLevel="0" collapsed="false">
      <c r="A12" s="25" t="s">
        <v>13</v>
      </c>
      <c r="B12" s="17" t="s">
        <v>155</v>
      </c>
      <c r="C12" s="17" t="s">
        <v>156</v>
      </c>
      <c r="D12" s="93" t="s">
        <v>138</v>
      </c>
      <c r="E12" s="73" t="s">
        <v>16</v>
      </c>
      <c r="F12" s="1"/>
    </row>
    <row r="13" customFormat="false" ht="28.5" hidden="false" customHeight="true" outlineLevel="0" collapsed="false">
      <c r="A13" s="49" t="s">
        <v>49</v>
      </c>
      <c r="B13" s="50"/>
      <c r="C13" s="20"/>
      <c r="D13" s="20"/>
      <c r="E13" s="70"/>
      <c r="F13" s="1"/>
    </row>
    <row r="14" s="96" customFormat="true" ht="23.25" hidden="false" customHeight="true" outlineLevel="0" collapsed="false">
      <c r="A14" s="49" t="s">
        <v>53</v>
      </c>
      <c r="B14" s="19" t="n">
        <f aca="false">'Bột Cá 1 Cty LH'!B930</f>
        <v>185820</v>
      </c>
      <c r="C14" s="19" t="n">
        <v>78460</v>
      </c>
      <c r="D14" s="51"/>
      <c r="E14" s="95" t="n">
        <f aca="false">D9/(B14+C14)</f>
        <v>3.38460723475102</v>
      </c>
      <c r="F14" s="16"/>
    </row>
    <row r="15" customFormat="false" ht="16.8" hidden="false" customHeight="false" outlineLevel="0" collapsed="false">
      <c r="A15" s="53" t="s">
        <v>18</v>
      </c>
      <c r="B15" s="20"/>
      <c r="C15" s="20"/>
      <c r="D15" s="20"/>
      <c r="E15" s="47"/>
      <c r="F15" s="1"/>
    </row>
    <row r="16" customFormat="false" ht="16.8" hidden="false" customHeight="false" outlineLevel="0" collapsed="false">
      <c r="A16" s="30" t="s">
        <v>11</v>
      </c>
      <c r="B16" s="22" t="n">
        <f aca="false">SUM(B13:B15)</f>
        <v>185820</v>
      </c>
      <c r="C16" s="94" t="n">
        <f aca="false">SUM(C13:C15)</f>
        <v>78460</v>
      </c>
      <c r="D16" s="89"/>
      <c r="E16" s="89" t="n">
        <f aca="false">E14</f>
        <v>3.38460723475102</v>
      </c>
      <c r="F16" s="1"/>
    </row>
    <row r="17" customFormat="false" ht="16.8" hidden="false" customHeight="false" outlineLevel="0" collapsed="false">
      <c r="A17" s="13" t="s">
        <v>20</v>
      </c>
      <c r="B17" s="1"/>
      <c r="C17" s="1"/>
      <c r="D17" s="1"/>
      <c r="E17" s="1"/>
      <c r="F17" s="1"/>
    </row>
    <row r="18" customFormat="false" ht="16.8" hidden="false" customHeight="false" outlineLevel="0" collapsed="false">
      <c r="A18" s="17" t="s">
        <v>13</v>
      </c>
      <c r="B18" s="17" t="s">
        <v>21</v>
      </c>
      <c r="C18" s="18"/>
      <c r="D18" s="18"/>
      <c r="E18" s="18"/>
      <c r="F18" s="18"/>
    </row>
    <row r="19" customFormat="false" ht="16.8" hidden="false" customHeight="false" outlineLevel="0" collapsed="false">
      <c r="A19" s="33" t="s">
        <v>22</v>
      </c>
      <c r="B19" s="34"/>
      <c r="C19" s="1"/>
      <c r="D19" s="1"/>
      <c r="E19" s="1"/>
      <c r="F19" s="1"/>
    </row>
    <row r="20" customFormat="false" ht="16.8" hidden="false" customHeight="false" outlineLevel="0" collapsed="false">
      <c r="A20" s="33" t="s">
        <v>17</v>
      </c>
      <c r="B20" s="34" t="n">
        <v>168590</v>
      </c>
      <c r="C20" s="1"/>
      <c r="D20" s="1"/>
      <c r="E20" s="1"/>
      <c r="F20" s="1"/>
    </row>
    <row r="21" customFormat="false" ht="16.8" hidden="false" customHeight="false" outlineLevel="0" collapsed="false">
      <c r="A21" s="33" t="s">
        <v>18</v>
      </c>
      <c r="B21" s="34" t="n">
        <v>14250</v>
      </c>
      <c r="C21" s="1"/>
      <c r="D21" s="1"/>
      <c r="E21" s="1"/>
      <c r="F21" s="1"/>
    </row>
    <row r="22" customFormat="false" ht="16.8" hidden="false" customHeight="false" outlineLevel="0" collapsed="false">
      <c r="A22" s="25" t="s">
        <v>11</v>
      </c>
      <c r="B22" s="35" t="n">
        <f aca="false">SUM(B19:B21)</f>
        <v>182840</v>
      </c>
      <c r="C22" s="1"/>
      <c r="D22" s="1"/>
      <c r="E22" s="1"/>
      <c r="F22" s="1"/>
    </row>
    <row r="23" customFormat="false" ht="13.2" hidden="false" customHeight="false" outlineLevel="0" collapsed="false">
      <c r="A23" s="1"/>
      <c r="B23" s="1"/>
      <c r="C23" s="1"/>
      <c r="D23" s="1"/>
      <c r="E23" s="1"/>
      <c r="F23" s="1"/>
    </row>
    <row r="24" customFormat="false" ht="13.2" hidden="false" customHeight="false" outlineLevel="0" collapsed="false">
      <c r="A24" s="39" t="s">
        <v>23</v>
      </c>
      <c r="B24" s="39" t="s">
        <v>24</v>
      </c>
      <c r="C24" s="39" t="s">
        <v>25</v>
      </c>
      <c r="D24" s="39" t="s">
        <v>26</v>
      </c>
      <c r="E24" s="41" t="s">
        <v>27</v>
      </c>
      <c r="F24" s="41"/>
    </row>
    <row r="25" customFormat="false" ht="13.2" hidden="false" customHeight="false" outlineLevel="0" collapsed="false">
      <c r="A25" s="26"/>
      <c r="B25" s="26"/>
      <c r="C25" s="26"/>
      <c r="D25" s="26"/>
      <c r="E25" s="26"/>
      <c r="F25" s="26"/>
    </row>
    <row r="26" customFormat="false" ht="13.2" hidden="false" customHeight="false" outlineLevel="0" collapsed="false">
      <c r="A26" s="26"/>
      <c r="B26" s="26"/>
      <c r="C26" s="26"/>
      <c r="D26" s="26"/>
      <c r="E26" s="26"/>
      <c r="F26" s="26"/>
    </row>
    <row r="27" customFormat="false" ht="13.2" hidden="false" customHeight="false" outlineLevel="0" collapsed="false">
      <c r="A27" s="26"/>
      <c r="B27" s="26"/>
      <c r="C27" s="26"/>
      <c r="D27" s="26"/>
      <c r="E27" s="26"/>
      <c r="F27" s="26"/>
    </row>
    <row r="28" customFormat="false" ht="13.2" hidden="false" customHeight="false" outlineLevel="0" collapsed="false">
      <c r="A28" s="26"/>
      <c r="B28" s="26"/>
      <c r="C28" s="26"/>
      <c r="D28" s="26"/>
      <c r="E28" s="26"/>
      <c r="F28" s="26"/>
    </row>
    <row r="29" customFormat="false" ht="13.2" hidden="false" customHeight="false" outlineLevel="0" collapsed="false">
      <c r="A29" s="39" t="s">
        <v>34</v>
      </c>
      <c r="B29" s="39"/>
      <c r="C29" s="39"/>
      <c r="D29" s="39"/>
      <c r="E29" s="41" t="s">
        <v>29</v>
      </c>
      <c r="F29" s="41"/>
    </row>
    <row r="34" customFormat="false" ht="13.8" hidden="false" customHeight="false" outlineLevel="0" collapsed="false">
      <c r="A34" s="62" t="s">
        <v>0</v>
      </c>
      <c r="B34" s="16"/>
      <c r="C34" s="16"/>
      <c r="D34" s="16"/>
      <c r="E34" s="16"/>
      <c r="F34" s="16"/>
    </row>
    <row r="35" customFormat="false" ht="18.6" hidden="false" customHeight="true" outlineLevel="0" collapsed="false">
      <c r="A35" s="42" t="s">
        <v>157</v>
      </c>
      <c r="B35" s="42"/>
      <c r="C35" s="42"/>
      <c r="D35" s="42"/>
      <c r="E35" s="42"/>
      <c r="F35" s="43"/>
    </row>
    <row r="36" customFormat="false" ht="13.8" hidden="false" customHeight="true" outlineLevel="0" collapsed="false">
      <c r="A36" s="10" t="s">
        <v>2</v>
      </c>
      <c r="B36" s="10"/>
      <c r="C36" s="10"/>
      <c r="D36" s="10"/>
      <c r="E36" s="10"/>
      <c r="F36" s="44"/>
    </row>
    <row r="37" customFormat="false" ht="16.8" hidden="false" customHeight="false" outlineLevel="0" collapsed="false">
      <c r="A37" s="13" t="s">
        <v>3</v>
      </c>
      <c r="B37" s="14"/>
      <c r="C37" s="14"/>
      <c r="D37" s="46"/>
      <c r="E37" s="46" t="s">
        <v>4</v>
      </c>
      <c r="F37" s="66"/>
    </row>
    <row r="38" customFormat="false" ht="33.6" hidden="false" customHeight="false" outlineLevel="0" collapsed="false">
      <c r="A38" s="17" t="s">
        <v>5</v>
      </c>
      <c r="B38" s="17" t="s">
        <v>5</v>
      </c>
      <c r="C38" s="17" t="s">
        <v>158</v>
      </c>
      <c r="D38" s="17" t="s">
        <v>7</v>
      </c>
      <c r="E38" s="17" t="s">
        <v>8</v>
      </c>
      <c r="F38" s="1"/>
    </row>
    <row r="39" customFormat="false" ht="28.5" hidden="false" customHeight="true" outlineLevel="0" collapsed="false">
      <c r="A39" s="19" t="s">
        <v>9</v>
      </c>
      <c r="B39" s="20" t="n">
        <f aca="false">'Bột Cá 1 Cty LH'!B954</f>
        <v>0</v>
      </c>
      <c r="C39" s="20" t="n">
        <v>120</v>
      </c>
      <c r="D39" s="20"/>
      <c r="E39" s="47" t="n">
        <f aca="false">B39+C39-D39</f>
        <v>120</v>
      </c>
      <c r="F39" s="1"/>
    </row>
    <row r="40" customFormat="false" ht="33" hidden="false" customHeight="true" outlineLevel="0" collapsed="false">
      <c r="A40" s="97" t="s">
        <v>159</v>
      </c>
      <c r="B40" s="20" t="n">
        <f aca="false">'Bột Cá 1 Cty LH'!B955</f>
        <v>0</v>
      </c>
      <c r="C40" s="20" t="n">
        <v>7675</v>
      </c>
      <c r="D40" s="20"/>
      <c r="E40" s="47" t="n">
        <f aca="false">B40+C40-D40</f>
        <v>7675</v>
      </c>
      <c r="F40" s="1"/>
    </row>
    <row r="41" customFormat="false" ht="23.25" hidden="false" customHeight="true" outlineLevel="0" collapsed="false">
      <c r="A41" s="19" t="s">
        <v>10</v>
      </c>
      <c r="B41" s="20" t="n">
        <f aca="false">'Bột Cá 1 Cty LH'!B956</f>
        <v>0</v>
      </c>
      <c r="C41" s="20" t="n">
        <f aca="false">143776-C39</f>
        <v>143656</v>
      </c>
      <c r="D41" s="20"/>
      <c r="E41" s="47" t="n">
        <f aca="false">B41+C41-D41</f>
        <v>143656</v>
      </c>
      <c r="F41" s="45"/>
    </row>
    <row r="42" customFormat="false" ht="16.8" hidden="false" customHeight="false" outlineLevel="0" collapsed="false">
      <c r="A42" s="21" t="s">
        <v>11</v>
      </c>
      <c r="B42" s="22" t="n">
        <f aca="false">SUM(B39:B41)</f>
        <v>0</v>
      </c>
      <c r="C42" s="22" t="n">
        <f aca="false">SUM(C39:C41)</f>
        <v>151451</v>
      </c>
      <c r="D42" s="22" t="n">
        <f aca="false">SUM(D39:D41)</f>
        <v>0</v>
      </c>
      <c r="E42" s="22" t="n">
        <f aca="false">SUM(E39:E41)</f>
        <v>151451</v>
      </c>
      <c r="F42" s="45"/>
    </row>
    <row r="43" customFormat="false" ht="16.8" hidden="false" customHeight="false" outlineLevel="0" collapsed="false">
      <c r="A43" s="64" t="s">
        <v>141</v>
      </c>
      <c r="B43" s="64"/>
      <c r="C43" s="64"/>
      <c r="D43" s="64"/>
      <c r="E43" s="64"/>
      <c r="F43" s="91"/>
    </row>
    <row r="44" customFormat="false" ht="16.8" hidden="false" customHeight="false" outlineLevel="0" collapsed="false">
      <c r="A44" s="13" t="s">
        <v>12</v>
      </c>
      <c r="B44" s="13"/>
      <c r="C44" s="13"/>
      <c r="D44" s="13"/>
      <c r="E44" s="24"/>
      <c r="F44" s="24"/>
    </row>
    <row r="45" customFormat="false" ht="67.2" hidden="false" customHeight="false" outlineLevel="0" collapsed="false">
      <c r="A45" s="25" t="s">
        <v>13</v>
      </c>
      <c r="B45" s="17" t="s">
        <v>160</v>
      </c>
      <c r="C45" s="93" t="s">
        <v>138</v>
      </c>
      <c r="D45" s="73" t="s">
        <v>16</v>
      </c>
      <c r="E45" s="1"/>
      <c r="F45" s="1"/>
    </row>
    <row r="46" customFormat="false" ht="33.6" hidden="false" customHeight="false" outlineLevel="0" collapsed="false">
      <c r="A46" s="49" t="s">
        <v>49</v>
      </c>
      <c r="B46" s="50" t="n">
        <v>1650</v>
      </c>
      <c r="C46" s="20"/>
      <c r="D46" s="20"/>
      <c r="E46" s="18"/>
      <c r="F46" s="1"/>
    </row>
    <row r="47" customFormat="false" ht="16.8" hidden="false" customHeight="false" outlineLevel="0" collapsed="false">
      <c r="A47" s="49" t="s">
        <v>53</v>
      </c>
      <c r="B47" s="19" t="n">
        <v>35350</v>
      </c>
      <c r="C47" s="19"/>
      <c r="D47" s="51"/>
      <c r="E47" s="1"/>
      <c r="F47" s="16"/>
    </row>
    <row r="48" customFormat="false" ht="16.8" hidden="false" customHeight="false" outlineLevel="0" collapsed="false">
      <c r="A48" s="53" t="s">
        <v>18</v>
      </c>
      <c r="B48" s="20"/>
      <c r="C48" s="20"/>
      <c r="D48" s="20"/>
      <c r="E48" s="1"/>
      <c r="F48" s="1"/>
    </row>
    <row r="49" customFormat="false" ht="16.8" hidden="false" customHeight="false" outlineLevel="0" collapsed="false">
      <c r="A49" s="30" t="s">
        <v>11</v>
      </c>
      <c r="B49" s="22" t="n">
        <f aca="false">SUM(B46:B48)</f>
        <v>37000</v>
      </c>
      <c r="C49" s="94"/>
      <c r="D49" s="89"/>
      <c r="E49" s="1"/>
      <c r="F49" s="1"/>
    </row>
    <row r="50" customFormat="false" ht="16.8" hidden="false" customHeight="false" outlineLevel="0" collapsed="false">
      <c r="A50" s="13" t="s">
        <v>20</v>
      </c>
      <c r="B50" s="1"/>
      <c r="C50" s="1"/>
      <c r="D50" s="1"/>
      <c r="E50" s="1"/>
      <c r="F50" s="1"/>
    </row>
    <row r="51" customFormat="false" ht="16.8" hidden="false" customHeight="false" outlineLevel="0" collapsed="false">
      <c r="A51" s="17" t="s">
        <v>13</v>
      </c>
      <c r="B51" s="17" t="s">
        <v>21</v>
      </c>
      <c r="C51" s="18"/>
      <c r="D51" s="18"/>
      <c r="E51" s="1"/>
      <c r="F51" s="18"/>
    </row>
    <row r="52" customFormat="false" ht="16.8" hidden="false" customHeight="false" outlineLevel="0" collapsed="false">
      <c r="A52" s="33" t="s">
        <v>22</v>
      </c>
      <c r="B52" s="34" t="n">
        <v>1650</v>
      </c>
      <c r="C52" s="1"/>
      <c r="D52" s="1"/>
      <c r="E52" s="39"/>
      <c r="F52" s="1"/>
    </row>
    <row r="53" customFormat="false" ht="16.8" hidden="false" customHeight="false" outlineLevel="0" collapsed="false">
      <c r="A53" s="33" t="s">
        <v>17</v>
      </c>
      <c r="B53" s="34" t="n">
        <v>119960</v>
      </c>
      <c r="C53" s="1"/>
      <c r="D53" s="1"/>
      <c r="E53" s="26"/>
      <c r="F53" s="1"/>
    </row>
    <row r="54" customFormat="false" ht="16.8" hidden="false" customHeight="false" outlineLevel="0" collapsed="false">
      <c r="A54" s="33" t="s">
        <v>18</v>
      </c>
      <c r="B54" s="34" t="n">
        <v>14250</v>
      </c>
      <c r="C54" s="1"/>
      <c r="D54" s="1"/>
      <c r="E54" s="26"/>
      <c r="F54" s="1"/>
    </row>
    <row r="55" customFormat="false" ht="16.8" hidden="false" customHeight="false" outlineLevel="0" collapsed="false">
      <c r="A55" s="25" t="s">
        <v>11</v>
      </c>
      <c r="B55" s="35" t="n">
        <f aca="false">SUM(B52:B54)</f>
        <v>135860</v>
      </c>
      <c r="C55" s="1"/>
      <c r="D55" s="1"/>
      <c r="E55" s="26"/>
      <c r="F55" s="1"/>
    </row>
    <row r="56" customFormat="false" ht="13.2" hidden="false" customHeight="false" outlineLevel="0" collapsed="false">
      <c r="A56" s="1"/>
      <c r="B56" s="1"/>
      <c r="C56" s="1"/>
      <c r="D56" s="1"/>
      <c r="E56" s="26"/>
      <c r="F56" s="1"/>
    </row>
    <row r="57" customFormat="false" ht="13.2" hidden="false" customHeight="false" outlineLevel="0" collapsed="false">
      <c r="A57" s="39" t="s">
        <v>23</v>
      </c>
      <c r="B57" s="39" t="s">
        <v>24</v>
      </c>
      <c r="C57" s="39" t="s">
        <v>25</v>
      </c>
      <c r="D57" s="39" t="s">
        <v>26</v>
      </c>
      <c r="E57" s="41" t="s">
        <v>27</v>
      </c>
      <c r="F57" s="41"/>
    </row>
    <row r="58" customFormat="false" ht="13.2" hidden="false" customHeight="false" outlineLevel="0" collapsed="false">
      <c r="A58" s="26"/>
      <c r="B58" s="26"/>
      <c r="C58" s="26"/>
      <c r="D58" s="26"/>
      <c r="E58" s="26"/>
      <c r="F58" s="26"/>
    </row>
    <row r="59" customFormat="false" ht="13.2" hidden="false" customHeight="false" outlineLevel="0" collapsed="false">
      <c r="A59" s="26"/>
      <c r="B59" s="26"/>
      <c r="C59" s="26"/>
      <c r="D59" s="26"/>
      <c r="E59" s="26"/>
      <c r="F59" s="26"/>
    </row>
    <row r="60" customFormat="false" ht="13.2" hidden="false" customHeight="false" outlineLevel="0" collapsed="false">
      <c r="A60" s="26"/>
      <c r="B60" s="26"/>
      <c r="C60" s="26"/>
      <c r="D60" s="26"/>
      <c r="E60" s="26"/>
      <c r="F60" s="26"/>
    </row>
    <row r="61" customFormat="false" ht="13.2" hidden="false" customHeight="false" outlineLevel="0" collapsed="false">
      <c r="A61" s="26"/>
      <c r="B61" s="26"/>
      <c r="C61" s="26"/>
      <c r="D61" s="26"/>
      <c r="E61" s="26"/>
      <c r="F61" s="26"/>
    </row>
    <row r="62" customFormat="false" ht="13.2" hidden="false" customHeight="false" outlineLevel="0" collapsed="false">
      <c r="A62" s="39" t="s">
        <v>34</v>
      </c>
      <c r="B62" s="39"/>
      <c r="C62" s="39"/>
      <c r="D62" s="39"/>
      <c r="E62" s="41" t="s">
        <v>29</v>
      </c>
      <c r="F62" s="41"/>
    </row>
    <row r="67" customFormat="false" ht="13.8" hidden="false" customHeight="false" outlineLevel="0" collapsed="false">
      <c r="A67" s="62" t="s">
        <v>0</v>
      </c>
      <c r="B67" s="16"/>
      <c r="C67" s="16"/>
      <c r="D67" s="16"/>
      <c r="E67" s="16"/>
      <c r="F67" s="16"/>
    </row>
    <row r="68" customFormat="false" ht="18.6" hidden="false" customHeight="true" outlineLevel="0" collapsed="false">
      <c r="A68" s="42" t="s">
        <v>161</v>
      </c>
      <c r="B68" s="42"/>
      <c r="C68" s="42"/>
      <c r="D68" s="42"/>
      <c r="E68" s="42"/>
      <c r="F68" s="43"/>
    </row>
    <row r="69" customFormat="false" ht="13.8" hidden="false" customHeight="true" outlineLevel="0" collapsed="false">
      <c r="A69" s="10" t="s">
        <v>2</v>
      </c>
      <c r="B69" s="10"/>
      <c r="C69" s="10"/>
      <c r="D69" s="10"/>
      <c r="E69" s="10"/>
      <c r="F69" s="44"/>
    </row>
    <row r="70" customFormat="false" ht="16.8" hidden="false" customHeight="false" outlineLevel="0" collapsed="false">
      <c r="A70" s="13" t="s">
        <v>3</v>
      </c>
      <c r="B70" s="14"/>
      <c r="C70" s="14"/>
      <c r="D70" s="46"/>
      <c r="E70" s="46" t="s">
        <v>4</v>
      </c>
      <c r="F70" s="66"/>
    </row>
    <row r="71" customFormat="false" ht="33.6" hidden="false" customHeight="false" outlineLevel="0" collapsed="false">
      <c r="A71" s="17" t="s">
        <v>5</v>
      </c>
      <c r="B71" s="17" t="s">
        <v>5</v>
      </c>
      <c r="C71" s="17" t="s">
        <v>162</v>
      </c>
      <c r="D71" s="17" t="s">
        <v>7</v>
      </c>
      <c r="E71" s="17" t="s">
        <v>8</v>
      </c>
      <c r="F71" s="1"/>
    </row>
    <row r="72" customFormat="false" ht="16.8" hidden="false" customHeight="false" outlineLevel="0" collapsed="false">
      <c r="A72" s="19" t="s">
        <v>9</v>
      </c>
      <c r="B72" s="20" t="n">
        <f aca="false">E39</f>
        <v>120</v>
      </c>
      <c r="C72" s="20" t="n">
        <v>355</v>
      </c>
      <c r="D72" s="20" t="n">
        <v>475</v>
      </c>
      <c r="E72" s="47" t="n">
        <f aca="false">B72+C72-D72</f>
        <v>0</v>
      </c>
      <c r="F72" s="1"/>
    </row>
    <row r="73" customFormat="false" ht="33.6" hidden="false" customHeight="false" outlineLevel="0" collapsed="false">
      <c r="A73" s="97" t="s">
        <v>159</v>
      </c>
      <c r="B73" s="20" t="n">
        <f aca="false">E40</f>
        <v>7675</v>
      </c>
      <c r="C73" s="20"/>
      <c r="D73" s="20" t="n">
        <v>7675</v>
      </c>
      <c r="E73" s="47" t="n">
        <f aca="false">B73+C73-D73</f>
        <v>0</v>
      </c>
      <c r="F73" s="1"/>
    </row>
    <row r="74" customFormat="false" ht="16.8" hidden="false" customHeight="false" outlineLevel="0" collapsed="false">
      <c r="A74" s="19" t="s">
        <v>10</v>
      </c>
      <c r="B74" s="20" t="n">
        <f aca="false">E41</f>
        <v>143656</v>
      </c>
      <c r="C74" s="20" t="n">
        <f aca="false">105626</f>
        <v>105626</v>
      </c>
      <c r="D74" s="20" t="n">
        <v>249282</v>
      </c>
      <c r="E74" s="47" t="n">
        <f aca="false">B74+C74-D74</f>
        <v>0</v>
      </c>
      <c r="F74" s="45"/>
    </row>
    <row r="75" customFormat="false" ht="16.8" hidden="false" customHeight="false" outlineLevel="0" collapsed="false">
      <c r="A75" s="21" t="s">
        <v>11</v>
      </c>
      <c r="B75" s="22" t="n">
        <f aca="false">SUM(B72:B74)</f>
        <v>151451</v>
      </c>
      <c r="C75" s="22" t="n">
        <f aca="false">SUM(C72:C74)</f>
        <v>105981</v>
      </c>
      <c r="D75" s="22" t="n">
        <f aca="false">SUM(D72:D74)</f>
        <v>257432</v>
      </c>
      <c r="E75" s="22" t="n">
        <f aca="false">SUM(E72:E74)</f>
        <v>0</v>
      </c>
      <c r="F75" s="45"/>
    </row>
    <row r="76" customFormat="false" ht="16.8" hidden="false" customHeight="false" outlineLevel="0" collapsed="false">
      <c r="A76" s="64" t="s">
        <v>163</v>
      </c>
      <c r="B76" s="64"/>
      <c r="C76" s="64"/>
      <c r="D76" s="64"/>
      <c r="E76" s="64"/>
      <c r="F76" s="91"/>
    </row>
    <row r="77" customFormat="false" ht="16.8" hidden="false" customHeight="false" outlineLevel="0" collapsed="false">
      <c r="A77" s="13" t="s">
        <v>12</v>
      </c>
      <c r="B77" s="13"/>
      <c r="C77" s="13"/>
      <c r="D77" s="13"/>
      <c r="E77" s="24"/>
      <c r="F77" s="24"/>
    </row>
    <row r="78" customFormat="false" ht="16.8" hidden="false" customHeight="false" outlineLevel="0" collapsed="false">
      <c r="A78" s="13"/>
      <c r="B78" s="13"/>
      <c r="C78" s="13"/>
      <c r="D78" s="13"/>
      <c r="E78" s="24"/>
      <c r="F78" s="24"/>
    </row>
    <row r="79" customFormat="false" ht="67.2" hidden="false" customHeight="false" outlineLevel="0" collapsed="false">
      <c r="A79" s="25" t="s">
        <v>13</v>
      </c>
      <c r="B79" s="17" t="s">
        <v>160</v>
      </c>
      <c r="C79" s="17" t="s">
        <v>164</v>
      </c>
      <c r="D79" s="93" t="s">
        <v>138</v>
      </c>
      <c r="E79" s="73" t="s">
        <v>16</v>
      </c>
      <c r="F79" s="1"/>
    </row>
    <row r="80" customFormat="false" ht="33.6" hidden="false" customHeight="false" outlineLevel="0" collapsed="false">
      <c r="A80" s="49" t="s">
        <v>49</v>
      </c>
      <c r="B80" s="50" t="n">
        <v>1650</v>
      </c>
      <c r="C80" s="20"/>
      <c r="D80" s="20"/>
      <c r="E80" s="29" t="n">
        <f aca="false">4880/B80</f>
        <v>2.95757575757576</v>
      </c>
      <c r="F80" s="1"/>
      <c r="G80" s="98" t="n">
        <v>4880</v>
      </c>
    </row>
    <row r="81" customFormat="false" ht="16.8" hidden="false" customHeight="false" outlineLevel="0" collapsed="false">
      <c r="A81" s="49" t="s">
        <v>53</v>
      </c>
      <c r="B81" s="19" t="n">
        <v>35350</v>
      </c>
      <c r="C81" s="19" t="n">
        <v>38590</v>
      </c>
      <c r="D81" s="19"/>
      <c r="E81" s="51" t="n">
        <f aca="false">G81/(B81+C81)</f>
        <v>3.41563429807952</v>
      </c>
      <c r="F81" s="52"/>
      <c r="G81" s="98" t="n">
        <v>252552</v>
      </c>
    </row>
    <row r="82" customFormat="false" ht="16.8" hidden="false" customHeight="false" outlineLevel="0" collapsed="false">
      <c r="A82" s="53" t="s">
        <v>18</v>
      </c>
      <c r="B82" s="20"/>
      <c r="C82" s="20"/>
      <c r="D82" s="20"/>
      <c r="E82" s="20"/>
      <c r="F82" s="1"/>
      <c r="G82" s="99" t="n">
        <f aca="false">SUM(G80:G81)</f>
        <v>257432</v>
      </c>
    </row>
    <row r="83" customFormat="false" ht="16.8" hidden="false" customHeight="false" outlineLevel="0" collapsed="false">
      <c r="A83" s="30" t="s">
        <v>11</v>
      </c>
      <c r="B83" s="22" t="n">
        <f aca="false">SUM(B80:B82)</f>
        <v>37000</v>
      </c>
      <c r="C83" s="94" t="n">
        <f aca="false">SUM(C80:C82)</f>
        <v>38590</v>
      </c>
      <c r="D83" s="94"/>
      <c r="E83" s="89" t="n">
        <f aca="false">D75/(B83+C83)</f>
        <v>3.4056356660934</v>
      </c>
      <c r="F83" s="91" t="n">
        <f aca="false">E75/(B83+C83)</f>
        <v>0</v>
      </c>
    </row>
    <row r="84" customFormat="false" ht="16.8" hidden="false" customHeight="false" outlineLevel="0" collapsed="false">
      <c r="A84" s="55"/>
      <c r="B84" s="56"/>
      <c r="C84" s="56"/>
      <c r="D84" s="56"/>
      <c r="E84" s="100"/>
      <c r="F84" s="91"/>
    </row>
    <row r="85" customFormat="false" ht="16.8" hidden="false" customHeight="false" outlineLevel="0" collapsed="false">
      <c r="A85" s="13" t="s">
        <v>20</v>
      </c>
      <c r="B85" s="1"/>
      <c r="C85" s="1"/>
      <c r="D85" s="1"/>
      <c r="E85" s="1"/>
      <c r="F85" s="1"/>
    </row>
    <row r="86" customFormat="false" ht="16.8" hidden="false" customHeight="false" outlineLevel="0" collapsed="false">
      <c r="A86" s="17" t="s">
        <v>13</v>
      </c>
      <c r="B86" s="17" t="s">
        <v>21</v>
      </c>
      <c r="C86" s="18"/>
      <c r="D86" s="18"/>
      <c r="E86" s="1"/>
      <c r="F86" s="18"/>
    </row>
    <row r="87" customFormat="false" ht="16.8" hidden="false" customHeight="false" outlineLevel="0" collapsed="false">
      <c r="A87" s="33" t="s">
        <v>22</v>
      </c>
      <c r="B87" s="34"/>
      <c r="C87" s="1"/>
      <c r="D87" s="1"/>
      <c r="E87" s="39"/>
      <c r="F87" s="1"/>
    </row>
    <row r="88" customFormat="false" ht="16.8" hidden="false" customHeight="false" outlineLevel="0" collapsed="false">
      <c r="A88" s="33" t="s">
        <v>17</v>
      </c>
      <c r="B88" s="34" t="n">
        <v>122750</v>
      </c>
      <c r="C88" s="1"/>
      <c r="D88" s="1"/>
      <c r="E88" s="26"/>
      <c r="F88" s="1"/>
    </row>
    <row r="89" customFormat="false" ht="16.8" hidden="false" customHeight="false" outlineLevel="0" collapsed="false">
      <c r="A89" s="33" t="s">
        <v>18</v>
      </c>
      <c r="B89" s="34" t="n">
        <v>14250</v>
      </c>
      <c r="C89" s="1"/>
      <c r="D89" s="1"/>
      <c r="E89" s="26"/>
      <c r="F89" s="1"/>
    </row>
    <row r="90" customFormat="false" ht="16.8" hidden="false" customHeight="false" outlineLevel="0" collapsed="false">
      <c r="A90" s="25" t="s">
        <v>11</v>
      </c>
      <c r="B90" s="35" t="n">
        <f aca="false">SUM(B87:B89)</f>
        <v>137000</v>
      </c>
      <c r="C90" s="1"/>
      <c r="D90" s="1"/>
      <c r="E90" s="26"/>
      <c r="F90" s="1"/>
    </row>
    <row r="91" customFormat="false" ht="13.2" hidden="false" customHeight="false" outlineLevel="0" collapsed="false">
      <c r="A91" s="1"/>
      <c r="B91" s="1"/>
      <c r="C91" s="1"/>
      <c r="D91" s="1"/>
      <c r="E91" s="26"/>
      <c r="F91" s="1"/>
    </row>
    <row r="92" customFormat="false" ht="13.2" hidden="false" customHeight="false" outlineLevel="0" collapsed="false">
      <c r="A92" s="39" t="s">
        <v>23</v>
      </c>
      <c r="B92" s="39" t="s">
        <v>24</v>
      </c>
      <c r="C92" s="39" t="s">
        <v>25</v>
      </c>
      <c r="D92" s="39" t="s">
        <v>26</v>
      </c>
      <c r="E92" s="41" t="s">
        <v>27</v>
      </c>
      <c r="F92" s="41"/>
    </row>
    <row r="93" customFormat="false" ht="13.2" hidden="false" customHeight="false" outlineLevel="0" collapsed="false">
      <c r="A93" s="26"/>
      <c r="B93" s="26"/>
      <c r="C93" s="26"/>
      <c r="D93" s="26"/>
      <c r="E93" s="26"/>
      <c r="F93" s="26"/>
    </row>
    <row r="94" customFormat="false" ht="13.2" hidden="false" customHeight="false" outlineLevel="0" collapsed="false">
      <c r="A94" s="26"/>
      <c r="B94" s="26"/>
      <c r="C94" s="26"/>
      <c r="D94" s="26"/>
      <c r="E94" s="26"/>
      <c r="F94" s="26"/>
    </row>
    <row r="95" customFormat="false" ht="13.2" hidden="false" customHeight="false" outlineLevel="0" collapsed="false">
      <c r="A95" s="26"/>
      <c r="B95" s="26"/>
      <c r="C95" s="26"/>
      <c r="D95" s="26"/>
      <c r="E95" s="26"/>
      <c r="F95" s="26"/>
    </row>
    <row r="96" customFormat="false" ht="13.2" hidden="false" customHeight="false" outlineLevel="0" collapsed="false">
      <c r="A96" s="26"/>
      <c r="B96" s="26"/>
      <c r="C96" s="26"/>
      <c r="D96" s="26"/>
      <c r="E96" s="26"/>
      <c r="F96" s="26"/>
    </row>
    <row r="97" customFormat="false" ht="13.2" hidden="false" customHeight="false" outlineLevel="0" collapsed="false">
      <c r="A97" s="39" t="s">
        <v>34</v>
      </c>
      <c r="B97" s="39"/>
      <c r="C97" s="39"/>
      <c r="D97" s="39"/>
      <c r="E97" s="41" t="s">
        <v>29</v>
      </c>
      <c r="F97" s="41"/>
    </row>
    <row r="101" customFormat="false" ht="13.8" hidden="false" customHeight="false" outlineLevel="0" collapsed="false">
      <c r="A101" s="92" t="s">
        <v>0</v>
      </c>
      <c r="B101" s="16"/>
      <c r="C101" s="16"/>
      <c r="D101" s="16"/>
      <c r="E101" s="16"/>
      <c r="F101" s="16"/>
    </row>
    <row r="102" customFormat="false" ht="18.6" hidden="false" customHeight="true" outlineLevel="0" collapsed="false">
      <c r="A102" s="42" t="s">
        <v>165</v>
      </c>
      <c r="B102" s="42"/>
      <c r="C102" s="42"/>
      <c r="D102" s="42"/>
      <c r="E102" s="42"/>
      <c r="F102" s="43"/>
    </row>
    <row r="103" customFormat="false" ht="13.8" hidden="false" customHeight="true" outlineLevel="0" collapsed="false">
      <c r="A103" s="10" t="s">
        <v>2</v>
      </c>
      <c r="B103" s="10"/>
      <c r="C103" s="10"/>
      <c r="D103" s="10"/>
      <c r="E103" s="10"/>
      <c r="F103" s="44"/>
    </row>
    <row r="104" customFormat="false" ht="16.8" hidden="false" customHeight="false" outlineLevel="0" collapsed="false">
      <c r="A104" s="13" t="s">
        <v>3</v>
      </c>
      <c r="B104" s="14"/>
      <c r="C104" s="14"/>
      <c r="D104" s="46"/>
      <c r="E104" s="46" t="s">
        <v>4</v>
      </c>
      <c r="F104" s="66"/>
    </row>
    <row r="105" customFormat="false" ht="33.6" hidden="false" customHeight="false" outlineLevel="0" collapsed="false">
      <c r="A105" s="17" t="s">
        <v>5</v>
      </c>
      <c r="B105" s="17" t="s">
        <v>5</v>
      </c>
      <c r="C105" s="17" t="s">
        <v>166</v>
      </c>
      <c r="D105" s="17" t="s">
        <v>7</v>
      </c>
      <c r="E105" s="17" t="s">
        <v>8</v>
      </c>
      <c r="F105" s="1"/>
    </row>
    <row r="106" customFormat="false" ht="16.8" hidden="false" customHeight="false" outlineLevel="0" collapsed="false">
      <c r="A106" s="19" t="s">
        <v>9</v>
      </c>
      <c r="B106" s="20" t="n">
        <f aca="false">E73</f>
        <v>0</v>
      </c>
      <c r="C106" s="20" t="n">
        <v>345</v>
      </c>
      <c r="D106" s="20" t="n">
        <v>345</v>
      </c>
      <c r="E106" s="47" t="n">
        <f aca="false">B106+C106-D106</f>
        <v>0</v>
      </c>
      <c r="F106" s="1"/>
    </row>
    <row r="107" customFormat="false" ht="33.6" hidden="false" customHeight="false" outlineLevel="0" collapsed="false">
      <c r="A107" s="97" t="s">
        <v>159</v>
      </c>
      <c r="B107" s="20" t="n">
        <f aca="false">E74</f>
        <v>0</v>
      </c>
      <c r="C107" s="20"/>
      <c r="D107" s="20"/>
      <c r="E107" s="47" t="n">
        <f aca="false">B107+C107-D107</f>
        <v>0</v>
      </c>
      <c r="F107" s="1"/>
    </row>
    <row r="108" customFormat="false" ht="16.8" hidden="false" customHeight="false" outlineLevel="0" collapsed="false">
      <c r="A108" s="19" t="s">
        <v>10</v>
      </c>
      <c r="B108" s="20" t="n">
        <f aca="false">E75</f>
        <v>0</v>
      </c>
      <c r="C108" s="20" t="n">
        <f aca="false">83659-C106</f>
        <v>83314</v>
      </c>
      <c r="D108" s="20" t="n">
        <v>83314</v>
      </c>
      <c r="E108" s="47" t="n">
        <f aca="false">B108+C108-D108</f>
        <v>0</v>
      </c>
      <c r="F108" s="45"/>
    </row>
    <row r="109" customFormat="false" ht="16.8" hidden="false" customHeight="false" outlineLevel="0" collapsed="false">
      <c r="A109" s="21" t="s">
        <v>11</v>
      </c>
      <c r="B109" s="22" t="n">
        <f aca="false">SUM(B106:B108)</f>
        <v>0</v>
      </c>
      <c r="C109" s="22" t="n">
        <f aca="false">SUM(C106:C108)</f>
        <v>83659</v>
      </c>
      <c r="D109" s="22" t="n">
        <f aca="false">SUM(D106:D108)</f>
        <v>83659</v>
      </c>
      <c r="E109" s="22" t="n">
        <f aca="false">SUM(E106:E108)</f>
        <v>0</v>
      </c>
      <c r="F109" s="45"/>
    </row>
    <row r="110" customFormat="false" ht="16.8" hidden="false" customHeight="false" outlineLevel="0" collapsed="false">
      <c r="A110" s="64" t="s">
        <v>163</v>
      </c>
      <c r="B110" s="64"/>
      <c r="C110" s="64"/>
      <c r="D110" s="64"/>
      <c r="E110" s="64"/>
      <c r="F110" s="91"/>
    </row>
    <row r="111" customFormat="false" ht="16.8" hidden="false" customHeight="false" outlineLevel="0" collapsed="false">
      <c r="A111" s="13" t="s">
        <v>12</v>
      </c>
      <c r="B111" s="13"/>
      <c r="C111" s="13"/>
      <c r="D111" s="13"/>
      <c r="E111" s="24"/>
      <c r="F111" s="24"/>
    </row>
    <row r="112" customFormat="false" ht="16.8" hidden="false" customHeight="false" outlineLevel="0" collapsed="false">
      <c r="A112" s="13"/>
      <c r="B112" s="13"/>
      <c r="C112" s="13"/>
      <c r="D112" s="13"/>
      <c r="E112" s="24"/>
      <c r="F112" s="24"/>
    </row>
    <row r="113" customFormat="false" ht="67.2" hidden="false" customHeight="false" outlineLevel="0" collapsed="false">
      <c r="A113" s="25" t="s">
        <v>13</v>
      </c>
      <c r="B113" s="17" t="s">
        <v>167</v>
      </c>
      <c r="C113" s="93" t="s">
        <v>138</v>
      </c>
      <c r="D113" s="73" t="s">
        <v>16</v>
      </c>
      <c r="E113" s="1"/>
    </row>
    <row r="114" customFormat="false" ht="33.6" hidden="false" customHeight="false" outlineLevel="0" collapsed="false">
      <c r="A114" s="49" t="s">
        <v>49</v>
      </c>
      <c r="B114" s="50"/>
      <c r="C114" s="20"/>
      <c r="D114" s="29"/>
      <c r="E114" s="1"/>
    </row>
    <row r="115" customFormat="false" ht="16.8" hidden="false" customHeight="false" outlineLevel="0" collapsed="false">
      <c r="A115" s="49" t="s">
        <v>53</v>
      </c>
      <c r="B115" s="19" t="n">
        <v>25200</v>
      </c>
      <c r="C115" s="51" t="n">
        <v>63.99</v>
      </c>
      <c r="D115" s="51" t="n">
        <f aca="false">D109/B115</f>
        <v>3.31980158730159</v>
      </c>
      <c r="E115" s="52"/>
    </row>
    <row r="116" customFormat="false" ht="16.8" hidden="false" customHeight="false" outlineLevel="0" collapsed="false">
      <c r="A116" s="53" t="s">
        <v>18</v>
      </c>
      <c r="B116" s="20"/>
      <c r="C116" s="20"/>
      <c r="D116" s="20"/>
      <c r="E116" s="1"/>
    </row>
    <row r="117" customFormat="false" ht="16.8" hidden="false" customHeight="false" outlineLevel="0" collapsed="false">
      <c r="A117" s="30" t="s">
        <v>11</v>
      </c>
      <c r="B117" s="22" t="n">
        <f aca="false">SUM(B114:B116)</f>
        <v>25200</v>
      </c>
      <c r="C117" s="94"/>
      <c r="D117" s="89" t="n">
        <f aca="false">D109/B117</f>
        <v>3.31980158730159</v>
      </c>
      <c r="E117" s="91"/>
    </row>
    <row r="118" customFormat="false" ht="16.8" hidden="false" customHeight="false" outlineLevel="0" collapsed="false">
      <c r="A118" s="55"/>
      <c r="B118" s="56"/>
      <c r="C118" s="56"/>
      <c r="D118" s="56"/>
      <c r="E118" s="100"/>
      <c r="F118" s="91"/>
    </row>
    <row r="119" customFormat="false" ht="16.8" hidden="false" customHeight="false" outlineLevel="0" collapsed="false">
      <c r="A119" s="13" t="s">
        <v>20</v>
      </c>
      <c r="B119" s="1"/>
      <c r="C119" s="1"/>
      <c r="D119" s="1"/>
      <c r="E119" s="1"/>
      <c r="F119" s="1"/>
    </row>
    <row r="120" customFormat="false" ht="16.8" hidden="false" customHeight="false" outlineLevel="0" collapsed="false">
      <c r="A120" s="17" t="s">
        <v>13</v>
      </c>
      <c r="B120" s="17" t="s">
        <v>21</v>
      </c>
      <c r="C120" s="18"/>
      <c r="D120" s="18"/>
      <c r="E120" s="1"/>
      <c r="F120" s="18"/>
    </row>
    <row r="121" customFormat="false" ht="16.8" hidden="false" customHeight="false" outlineLevel="0" collapsed="false">
      <c r="A121" s="33" t="s">
        <v>22</v>
      </c>
      <c r="B121" s="34"/>
      <c r="C121" s="1"/>
      <c r="D121" s="1"/>
      <c r="E121" s="39"/>
      <c r="F121" s="1"/>
    </row>
    <row r="122" customFormat="false" ht="16.8" hidden="false" customHeight="false" outlineLevel="0" collapsed="false">
      <c r="A122" s="33" t="s">
        <v>17</v>
      </c>
      <c r="B122" s="34" t="n">
        <v>147950</v>
      </c>
      <c r="C122" s="1"/>
      <c r="D122" s="1"/>
      <c r="E122" s="26"/>
      <c r="F122" s="1"/>
    </row>
    <row r="123" customFormat="false" ht="16.8" hidden="false" customHeight="false" outlineLevel="0" collapsed="false">
      <c r="A123" s="33" t="s">
        <v>18</v>
      </c>
      <c r="B123" s="34" t="n">
        <v>14250</v>
      </c>
      <c r="C123" s="1"/>
      <c r="D123" s="1"/>
      <c r="E123" s="26"/>
      <c r="F123" s="1"/>
    </row>
    <row r="124" customFormat="false" ht="16.8" hidden="false" customHeight="false" outlineLevel="0" collapsed="false">
      <c r="A124" s="25" t="s">
        <v>11</v>
      </c>
      <c r="B124" s="35" t="n">
        <f aca="false">SUM(B121:B123)</f>
        <v>162200</v>
      </c>
      <c r="C124" s="1"/>
      <c r="D124" s="1"/>
      <c r="E124" s="26"/>
      <c r="F124" s="1"/>
    </row>
    <row r="125" customFormat="false" ht="13.2" hidden="false" customHeight="false" outlineLevel="0" collapsed="false">
      <c r="A125" s="1"/>
      <c r="B125" s="1"/>
      <c r="C125" s="1"/>
      <c r="D125" s="1"/>
      <c r="E125" s="26"/>
      <c r="F125" s="1"/>
    </row>
    <row r="126" customFormat="false" ht="13.2" hidden="false" customHeight="false" outlineLevel="0" collapsed="false">
      <c r="A126" s="39" t="s">
        <v>23</v>
      </c>
      <c r="B126" s="39" t="s">
        <v>24</v>
      </c>
      <c r="C126" s="39" t="s">
        <v>25</v>
      </c>
      <c r="D126" s="39" t="s">
        <v>26</v>
      </c>
      <c r="E126" s="41" t="s">
        <v>27</v>
      </c>
      <c r="F126" s="41"/>
    </row>
    <row r="127" customFormat="false" ht="13.2" hidden="false" customHeight="false" outlineLevel="0" collapsed="false">
      <c r="A127" s="26"/>
      <c r="B127" s="26"/>
      <c r="C127" s="26"/>
      <c r="D127" s="26"/>
      <c r="E127" s="26"/>
      <c r="F127" s="26"/>
    </row>
    <row r="128" customFormat="false" ht="13.2" hidden="false" customHeight="false" outlineLevel="0" collapsed="false">
      <c r="A128" s="26"/>
      <c r="B128" s="26"/>
      <c r="C128" s="26"/>
      <c r="D128" s="26"/>
      <c r="E128" s="26"/>
      <c r="F128" s="26"/>
    </row>
    <row r="129" customFormat="false" ht="13.2" hidden="false" customHeight="false" outlineLevel="0" collapsed="false">
      <c r="A129" s="26"/>
      <c r="B129" s="26"/>
      <c r="C129" s="26"/>
      <c r="D129" s="26"/>
      <c r="E129" s="26"/>
      <c r="F129" s="26"/>
    </row>
    <row r="130" customFormat="false" ht="13.2" hidden="false" customHeight="false" outlineLevel="0" collapsed="false">
      <c r="A130" s="26"/>
      <c r="B130" s="26"/>
      <c r="C130" s="26"/>
      <c r="D130" s="26"/>
      <c r="E130" s="26"/>
      <c r="F130" s="26"/>
    </row>
    <row r="131" customFormat="false" ht="13.2" hidden="false" customHeight="false" outlineLevel="0" collapsed="false">
      <c r="A131" s="39" t="s">
        <v>34</v>
      </c>
      <c r="B131" s="39"/>
      <c r="C131" s="39"/>
      <c r="D131" s="39"/>
      <c r="E131" s="41" t="s">
        <v>29</v>
      </c>
      <c r="F131" s="41"/>
    </row>
    <row r="134" customFormat="false" ht="13.8" hidden="false" customHeight="false" outlineLevel="0" collapsed="false">
      <c r="A134" s="62" t="s">
        <v>0</v>
      </c>
      <c r="B134" s="16"/>
      <c r="C134" s="16"/>
      <c r="D134" s="16"/>
      <c r="E134" s="16"/>
      <c r="F134" s="16"/>
    </row>
    <row r="135" customFormat="false" ht="18.6" hidden="false" customHeight="true" outlineLevel="0" collapsed="false">
      <c r="A135" s="42" t="s">
        <v>168</v>
      </c>
      <c r="B135" s="42"/>
      <c r="C135" s="42"/>
      <c r="D135" s="42"/>
      <c r="E135" s="42"/>
      <c r="F135" s="43"/>
    </row>
    <row r="136" customFormat="false" ht="13.8" hidden="false" customHeight="true" outlineLevel="0" collapsed="false">
      <c r="A136" s="10" t="s">
        <v>2</v>
      </c>
      <c r="B136" s="10"/>
      <c r="C136" s="10"/>
      <c r="D136" s="10"/>
      <c r="E136" s="10"/>
      <c r="F136" s="44"/>
    </row>
    <row r="137" customFormat="false" ht="16.8" hidden="false" customHeight="false" outlineLevel="0" collapsed="false">
      <c r="A137" s="13" t="s">
        <v>3</v>
      </c>
      <c r="B137" s="14"/>
      <c r="C137" s="14"/>
      <c r="D137" s="46"/>
      <c r="E137" s="46" t="s">
        <v>4</v>
      </c>
      <c r="F137" s="66"/>
    </row>
    <row r="138" customFormat="false" ht="33.6" hidden="false" customHeight="false" outlineLevel="0" collapsed="false">
      <c r="A138" s="17" t="s">
        <v>5</v>
      </c>
      <c r="B138" s="17" t="s">
        <v>5</v>
      </c>
      <c r="C138" s="17" t="s">
        <v>169</v>
      </c>
      <c r="D138" s="17" t="s">
        <v>7</v>
      </c>
      <c r="E138" s="17" t="s">
        <v>8</v>
      </c>
      <c r="F138" s="1"/>
    </row>
    <row r="139" customFormat="false" ht="16.8" hidden="false" customHeight="false" outlineLevel="0" collapsed="false">
      <c r="A139" s="19" t="s">
        <v>9</v>
      </c>
      <c r="B139" s="20" t="n">
        <f aca="false">E106</f>
        <v>0</v>
      </c>
      <c r="C139" s="20" t="n">
        <v>704</v>
      </c>
      <c r="D139" s="20"/>
      <c r="E139" s="47" t="n">
        <f aca="false">B139+C139-D139</f>
        <v>704</v>
      </c>
      <c r="F139" s="1"/>
    </row>
    <row r="140" customFormat="false" ht="33.6" hidden="false" customHeight="false" outlineLevel="0" collapsed="false">
      <c r="A140" s="97" t="s">
        <v>159</v>
      </c>
      <c r="B140" s="20" t="n">
        <f aca="false">E107</f>
        <v>0</v>
      </c>
      <c r="C140" s="20"/>
      <c r="D140" s="20"/>
      <c r="E140" s="47" t="n">
        <f aca="false">B140+C140-D140</f>
        <v>0</v>
      </c>
      <c r="F140" s="1"/>
    </row>
    <row r="141" customFormat="false" ht="16.8" hidden="false" customHeight="false" outlineLevel="0" collapsed="false">
      <c r="A141" s="19" t="s">
        <v>10</v>
      </c>
      <c r="B141" s="20" t="n">
        <f aca="false">E108</f>
        <v>0</v>
      </c>
      <c r="C141" s="20" t="n">
        <f aca="false">167698-C139</f>
        <v>166994</v>
      </c>
      <c r="D141" s="20"/>
      <c r="E141" s="47" t="n">
        <f aca="false">B141+C141-D141</f>
        <v>166994</v>
      </c>
      <c r="F141" s="45"/>
    </row>
    <row r="142" customFormat="false" ht="16.8" hidden="false" customHeight="false" outlineLevel="0" collapsed="false">
      <c r="A142" s="21" t="s">
        <v>11</v>
      </c>
      <c r="B142" s="22" t="n">
        <f aca="false">SUM(B139:B141)</f>
        <v>0</v>
      </c>
      <c r="C142" s="22" t="n">
        <f aca="false">SUM(C139:C141)</f>
        <v>167698</v>
      </c>
      <c r="D142" s="22" t="n">
        <f aca="false">SUM(D139:D141)</f>
        <v>0</v>
      </c>
      <c r="E142" s="22" t="n">
        <f aca="false">SUM(E139:E141)</f>
        <v>167698</v>
      </c>
      <c r="F142" s="45"/>
    </row>
    <row r="143" customFormat="false" ht="16.8" hidden="false" customHeight="false" outlineLevel="0" collapsed="false">
      <c r="A143" s="64" t="s">
        <v>87</v>
      </c>
      <c r="B143" s="64"/>
      <c r="C143" s="64"/>
      <c r="D143" s="64"/>
      <c r="E143" s="64"/>
      <c r="F143" s="91"/>
    </row>
    <row r="144" customFormat="false" ht="16.8" hidden="false" customHeight="false" outlineLevel="0" collapsed="false">
      <c r="A144" s="13" t="s">
        <v>12</v>
      </c>
      <c r="B144" s="13"/>
      <c r="C144" s="13"/>
      <c r="D144" s="13"/>
      <c r="E144" s="24"/>
      <c r="F144" s="24"/>
    </row>
    <row r="145" customFormat="false" ht="16.8" hidden="false" customHeight="false" outlineLevel="0" collapsed="false">
      <c r="A145" s="13"/>
      <c r="B145" s="13"/>
      <c r="C145" s="13"/>
      <c r="D145" s="13"/>
      <c r="E145" s="24"/>
      <c r="F145" s="24"/>
    </row>
    <row r="146" customFormat="false" ht="67.2" hidden="false" customHeight="false" outlineLevel="0" collapsed="false">
      <c r="A146" s="25" t="s">
        <v>13</v>
      </c>
      <c r="B146" s="17" t="s">
        <v>170</v>
      </c>
      <c r="C146" s="93" t="s">
        <v>138</v>
      </c>
      <c r="D146" s="73" t="s">
        <v>16</v>
      </c>
      <c r="E146" s="1"/>
    </row>
    <row r="147" customFormat="false" ht="33.6" hidden="false" customHeight="false" outlineLevel="0" collapsed="false">
      <c r="A147" s="49" t="s">
        <v>49</v>
      </c>
      <c r="B147" s="50"/>
      <c r="C147" s="20"/>
      <c r="D147" s="29"/>
      <c r="E147" s="1"/>
    </row>
    <row r="148" customFormat="false" ht="16.8" hidden="false" customHeight="false" outlineLevel="0" collapsed="false">
      <c r="A148" s="49" t="s">
        <v>53</v>
      </c>
      <c r="B148" s="19" t="n">
        <v>38950</v>
      </c>
      <c r="C148" s="19"/>
      <c r="D148" s="51" t="n">
        <f aca="false">D142/B148</f>
        <v>0</v>
      </c>
      <c r="E148" s="52"/>
    </row>
    <row r="149" customFormat="false" ht="16.8" hidden="false" customHeight="false" outlineLevel="0" collapsed="false">
      <c r="A149" s="53" t="s">
        <v>18</v>
      </c>
      <c r="B149" s="20"/>
      <c r="C149" s="20"/>
      <c r="D149" s="20"/>
      <c r="E149" s="1"/>
    </row>
    <row r="150" customFormat="false" ht="16.8" hidden="false" customHeight="false" outlineLevel="0" collapsed="false">
      <c r="A150" s="30" t="s">
        <v>11</v>
      </c>
      <c r="B150" s="22" t="n">
        <f aca="false">SUM(B147:B149)</f>
        <v>38950</v>
      </c>
      <c r="C150" s="94"/>
      <c r="D150" s="89" t="n">
        <f aca="false">D142/B150</f>
        <v>0</v>
      </c>
      <c r="E150" s="91"/>
    </row>
    <row r="151" customFormat="false" ht="16.8" hidden="false" customHeight="false" outlineLevel="0" collapsed="false">
      <c r="A151" s="55"/>
      <c r="B151" s="56"/>
      <c r="C151" s="56"/>
      <c r="D151" s="56"/>
      <c r="E151" s="100"/>
      <c r="F151" s="91"/>
    </row>
    <row r="152" customFormat="false" ht="16.8" hidden="false" customHeight="false" outlineLevel="0" collapsed="false">
      <c r="A152" s="13" t="s">
        <v>20</v>
      </c>
      <c r="B152" s="1"/>
      <c r="C152" s="1"/>
      <c r="D152" s="1"/>
      <c r="E152" s="1"/>
      <c r="F152" s="1"/>
    </row>
    <row r="153" customFormat="false" ht="16.8" hidden="false" customHeight="false" outlineLevel="0" collapsed="false">
      <c r="A153" s="17" t="s">
        <v>13</v>
      </c>
      <c r="B153" s="17" t="s">
        <v>21</v>
      </c>
      <c r="C153" s="18"/>
      <c r="D153" s="18"/>
      <c r="E153" s="1"/>
      <c r="F153" s="18"/>
    </row>
    <row r="154" customFormat="false" ht="16.8" hidden="false" customHeight="false" outlineLevel="0" collapsed="false">
      <c r="A154" s="33" t="s">
        <v>22</v>
      </c>
      <c r="B154" s="34"/>
      <c r="C154" s="1"/>
      <c r="D154" s="1"/>
      <c r="E154" s="39"/>
      <c r="F154" s="1"/>
    </row>
    <row r="155" customFormat="false" ht="16.8" hidden="false" customHeight="false" outlineLevel="0" collapsed="false">
      <c r="A155" s="33" t="s">
        <v>17</v>
      </c>
      <c r="B155" s="34" t="n">
        <f aca="false">109650-B156-350</f>
        <v>95050</v>
      </c>
      <c r="C155" s="1"/>
      <c r="D155" s="1"/>
      <c r="E155" s="26"/>
      <c r="F155" s="1"/>
    </row>
    <row r="156" customFormat="false" ht="16.8" hidden="false" customHeight="false" outlineLevel="0" collapsed="false">
      <c r="A156" s="33" t="s">
        <v>18</v>
      </c>
      <c r="B156" s="34" t="n">
        <v>14250</v>
      </c>
      <c r="C156" s="1"/>
      <c r="D156" s="1"/>
      <c r="E156" s="26"/>
      <c r="F156" s="1"/>
    </row>
    <row r="157" customFormat="false" ht="16.8" hidden="false" customHeight="false" outlineLevel="0" collapsed="false">
      <c r="A157" s="25" t="s">
        <v>11</v>
      </c>
      <c r="B157" s="35" t="n">
        <f aca="false">SUM(B154:B156)</f>
        <v>109300</v>
      </c>
      <c r="C157" s="1"/>
      <c r="D157" s="1"/>
      <c r="E157" s="26"/>
      <c r="F157" s="1"/>
    </row>
    <row r="158" customFormat="false" ht="13.2" hidden="false" customHeight="false" outlineLevel="0" collapsed="false">
      <c r="A158" s="1"/>
      <c r="B158" s="1"/>
      <c r="C158" s="1"/>
      <c r="D158" s="1"/>
      <c r="E158" s="26"/>
      <c r="F158" s="1"/>
    </row>
    <row r="159" customFormat="false" ht="13.2" hidden="false" customHeight="false" outlineLevel="0" collapsed="false">
      <c r="A159" s="39" t="s">
        <v>23</v>
      </c>
      <c r="B159" s="39" t="s">
        <v>24</v>
      </c>
      <c r="C159" s="39" t="s">
        <v>25</v>
      </c>
      <c r="D159" s="39" t="s">
        <v>26</v>
      </c>
      <c r="E159" s="41" t="s">
        <v>27</v>
      </c>
      <c r="F159" s="41"/>
    </row>
    <row r="160" customFormat="false" ht="13.2" hidden="false" customHeight="false" outlineLevel="0" collapsed="false">
      <c r="A160" s="26"/>
      <c r="B160" s="26"/>
      <c r="C160" s="26"/>
      <c r="D160" s="26"/>
      <c r="E160" s="26"/>
      <c r="F160" s="26"/>
    </row>
    <row r="161" customFormat="false" ht="13.2" hidden="false" customHeight="false" outlineLevel="0" collapsed="false">
      <c r="A161" s="26"/>
      <c r="B161" s="26"/>
      <c r="C161" s="26"/>
      <c r="D161" s="26"/>
      <c r="E161" s="26"/>
      <c r="F161" s="26"/>
    </row>
    <row r="162" customFormat="false" ht="13.2" hidden="false" customHeight="false" outlineLevel="0" collapsed="false">
      <c r="A162" s="26"/>
      <c r="B162" s="26"/>
      <c r="C162" s="26"/>
      <c r="D162" s="26"/>
      <c r="E162" s="26"/>
      <c r="F162" s="26"/>
    </row>
    <row r="163" customFormat="false" ht="13.2" hidden="false" customHeight="false" outlineLevel="0" collapsed="false">
      <c r="A163" s="26"/>
      <c r="B163" s="26"/>
      <c r="C163" s="26"/>
      <c r="D163" s="26"/>
      <c r="E163" s="26"/>
      <c r="F163" s="26"/>
    </row>
    <row r="164" customFormat="false" ht="13.2" hidden="false" customHeight="false" outlineLevel="0" collapsed="false">
      <c r="A164" s="39" t="s">
        <v>34</v>
      </c>
      <c r="B164" s="39"/>
      <c r="C164" s="39"/>
      <c r="D164" s="39"/>
      <c r="E164" s="41" t="s">
        <v>29</v>
      </c>
      <c r="F164" s="41"/>
    </row>
    <row r="167" customFormat="false" ht="13.8" hidden="false" customHeight="false" outlineLevel="0" collapsed="false">
      <c r="A167" s="62" t="s">
        <v>0</v>
      </c>
      <c r="B167" s="16"/>
      <c r="C167" s="16"/>
      <c r="D167" s="16"/>
      <c r="E167" s="16"/>
      <c r="F167" s="16"/>
    </row>
    <row r="168" customFormat="false" ht="18.6" hidden="false" customHeight="true" outlineLevel="0" collapsed="false">
      <c r="A168" s="42" t="s">
        <v>171</v>
      </c>
      <c r="B168" s="42"/>
      <c r="C168" s="42"/>
      <c r="D168" s="42"/>
      <c r="E168" s="42"/>
      <c r="F168" s="43"/>
    </row>
    <row r="169" customFormat="false" ht="13.8" hidden="false" customHeight="true" outlineLevel="0" collapsed="false">
      <c r="A169" s="10" t="s">
        <v>2</v>
      </c>
      <c r="B169" s="10"/>
      <c r="C169" s="10"/>
      <c r="D169" s="10"/>
      <c r="E169" s="10"/>
      <c r="F169" s="44"/>
    </row>
    <row r="170" customFormat="false" ht="16.8" hidden="false" customHeight="false" outlineLevel="0" collapsed="false">
      <c r="A170" s="13" t="s">
        <v>3</v>
      </c>
      <c r="B170" s="14"/>
      <c r="C170" s="14"/>
      <c r="D170" s="46"/>
      <c r="E170" s="46" t="s">
        <v>4</v>
      </c>
      <c r="F170" s="66"/>
    </row>
    <row r="171" customFormat="false" ht="33.6" hidden="false" customHeight="false" outlineLevel="0" collapsed="false">
      <c r="A171" s="17" t="s">
        <v>5</v>
      </c>
      <c r="B171" s="17" t="s">
        <v>5</v>
      </c>
      <c r="C171" s="17" t="s">
        <v>172</v>
      </c>
      <c r="D171" s="17" t="s">
        <v>7</v>
      </c>
      <c r="E171" s="17" t="s">
        <v>8</v>
      </c>
      <c r="F171" s="1"/>
    </row>
    <row r="172" customFormat="false" ht="16.8" hidden="false" customHeight="false" outlineLevel="0" collapsed="false">
      <c r="A172" s="19" t="s">
        <v>9</v>
      </c>
      <c r="B172" s="20" t="n">
        <f aca="false">E139</f>
        <v>704</v>
      </c>
      <c r="C172" s="20" t="n">
        <v>480</v>
      </c>
      <c r="D172" s="20" t="n">
        <f aca="false">704+480</f>
        <v>1184</v>
      </c>
      <c r="E172" s="47" t="n">
        <f aca="false">B172+C172-D172</f>
        <v>0</v>
      </c>
      <c r="F172" s="1"/>
    </row>
    <row r="173" customFormat="false" ht="33.6" hidden="false" customHeight="false" outlineLevel="0" collapsed="false">
      <c r="A173" s="97" t="s">
        <v>159</v>
      </c>
      <c r="B173" s="20" t="n">
        <f aca="false">E140</f>
        <v>0</v>
      </c>
      <c r="C173" s="20"/>
      <c r="D173" s="20"/>
      <c r="E173" s="47" t="n">
        <f aca="false">B173+C173-D173</f>
        <v>0</v>
      </c>
      <c r="F173" s="1"/>
    </row>
    <row r="174" customFormat="false" ht="16.8" hidden="false" customHeight="false" outlineLevel="0" collapsed="false">
      <c r="A174" s="19" t="s">
        <v>10</v>
      </c>
      <c r="B174" s="20" t="n">
        <f aca="false">E141</f>
        <v>166994</v>
      </c>
      <c r="C174" s="20" t="n">
        <f aca="false">101929</f>
        <v>101929</v>
      </c>
      <c r="D174" s="20" t="n">
        <f aca="false">166994+605+101804-480</f>
        <v>268923</v>
      </c>
      <c r="E174" s="47" t="n">
        <f aca="false">B174+C174-D174</f>
        <v>0</v>
      </c>
      <c r="F174" s="45"/>
    </row>
    <row r="175" customFormat="false" ht="16.8" hidden="false" customHeight="false" outlineLevel="0" collapsed="false">
      <c r="A175" s="21" t="s">
        <v>11</v>
      </c>
      <c r="B175" s="22" t="n">
        <f aca="false">SUM(B172:B174)</f>
        <v>167698</v>
      </c>
      <c r="C175" s="22" t="n">
        <f aca="false">SUM(C172:C174)</f>
        <v>102409</v>
      </c>
      <c r="D175" s="22" t="n">
        <f aca="false">SUM(D172:D174)</f>
        <v>270107</v>
      </c>
      <c r="E175" s="22" t="n">
        <f aca="false">SUM(E172:E174)</f>
        <v>0</v>
      </c>
      <c r="F175" s="45"/>
    </row>
    <row r="176" s="96" customFormat="true" ht="40.5" hidden="false" customHeight="true" outlineLevel="0" collapsed="false">
      <c r="A176" s="101" t="s">
        <v>173</v>
      </c>
      <c r="B176" s="101"/>
      <c r="C176" s="101"/>
      <c r="D176" s="101"/>
      <c r="E176" s="101"/>
      <c r="F176" s="102"/>
    </row>
    <row r="177" customFormat="false" ht="16.8" hidden="false" customHeight="false" outlineLevel="0" collapsed="false">
      <c r="A177" s="13" t="s">
        <v>12</v>
      </c>
      <c r="B177" s="13"/>
      <c r="C177" s="13"/>
      <c r="D177" s="13"/>
      <c r="E177" s="24"/>
      <c r="F177" s="24"/>
    </row>
    <row r="178" customFormat="false" ht="16.8" hidden="false" customHeight="false" outlineLevel="0" collapsed="false">
      <c r="A178" s="13" t="s">
        <v>174</v>
      </c>
      <c r="B178" s="13"/>
      <c r="C178" s="13"/>
      <c r="D178" s="13"/>
      <c r="E178" s="24"/>
      <c r="F178" s="24"/>
    </row>
    <row r="179" customFormat="false" ht="67.2" hidden="false" customHeight="false" outlineLevel="0" collapsed="false">
      <c r="A179" s="25" t="s">
        <v>13</v>
      </c>
      <c r="B179" s="17" t="s">
        <v>170</v>
      </c>
      <c r="C179" s="17" t="s">
        <v>175</v>
      </c>
      <c r="D179" s="93" t="s">
        <v>138</v>
      </c>
      <c r="E179" s="73" t="s">
        <v>16</v>
      </c>
    </row>
    <row r="180" customFormat="false" ht="20.25" hidden="false" customHeight="true" outlineLevel="0" collapsed="false">
      <c r="A180" s="49" t="s">
        <v>49</v>
      </c>
      <c r="B180" s="50"/>
      <c r="C180" s="20"/>
      <c r="D180" s="20"/>
      <c r="E180" s="29"/>
    </row>
    <row r="181" customFormat="false" ht="16.8" hidden="false" customHeight="false" outlineLevel="0" collapsed="false">
      <c r="A181" s="49" t="s">
        <v>53</v>
      </c>
      <c r="B181" s="19" t="n">
        <v>38950</v>
      </c>
      <c r="C181" s="19" t="n">
        <f aca="false">11550-300</f>
        <v>11250</v>
      </c>
      <c r="D181" s="19"/>
      <c r="E181" s="51" t="n">
        <f aca="false">168303/(B181+C181)</f>
        <v>3.35264940239044</v>
      </c>
    </row>
    <row r="182" customFormat="false" ht="16.8" hidden="false" customHeight="false" outlineLevel="0" collapsed="false">
      <c r="A182" s="53" t="s">
        <v>18</v>
      </c>
      <c r="B182" s="20"/>
      <c r="C182" s="20"/>
      <c r="D182" s="20"/>
      <c r="E182" s="20"/>
    </row>
    <row r="183" customFormat="false" ht="16.8" hidden="false" customHeight="false" outlineLevel="0" collapsed="false">
      <c r="A183" s="30" t="s">
        <v>11</v>
      </c>
      <c r="B183" s="22" t="n">
        <f aca="false">SUM(B180:B182)</f>
        <v>38950</v>
      </c>
      <c r="C183" s="94" t="n">
        <f aca="false">SUM(C180:C182)</f>
        <v>11250</v>
      </c>
      <c r="D183" s="94"/>
      <c r="E183" s="89" t="n">
        <f aca="false">E181</f>
        <v>3.35264940239044</v>
      </c>
    </row>
    <row r="184" customFormat="false" ht="10.5" hidden="false" customHeight="true" outlineLevel="0" collapsed="false">
      <c r="A184" s="55"/>
      <c r="B184" s="56"/>
      <c r="C184" s="56"/>
      <c r="D184" s="56"/>
      <c r="E184" s="100"/>
    </row>
    <row r="185" customFormat="false" ht="20.25" hidden="false" customHeight="true" outlineLevel="0" collapsed="false">
      <c r="A185" s="13" t="s">
        <v>176</v>
      </c>
      <c r="B185" s="103"/>
      <c r="C185" s="103"/>
      <c r="D185" s="103"/>
      <c r="E185" s="104"/>
    </row>
    <row r="186" customFormat="false" ht="67.2" hidden="false" customHeight="false" outlineLevel="0" collapsed="false">
      <c r="A186" s="25" t="s">
        <v>13</v>
      </c>
      <c r="B186" s="17" t="s">
        <v>175</v>
      </c>
      <c r="C186" s="93" t="s">
        <v>138</v>
      </c>
      <c r="D186" s="73" t="s">
        <v>16</v>
      </c>
    </row>
    <row r="187" customFormat="false" ht="33.6" hidden="false" customHeight="false" outlineLevel="0" collapsed="false">
      <c r="A187" s="49" t="s">
        <v>49</v>
      </c>
      <c r="B187" s="20"/>
      <c r="C187" s="20"/>
      <c r="D187" s="29"/>
    </row>
    <row r="188" customFormat="false" ht="16.8" hidden="false" customHeight="false" outlineLevel="0" collapsed="false">
      <c r="A188" s="49" t="s">
        <v>53</v>
      </c>
      <c r="B188" s="19" t="n">
        <v>30300</v>
      </c>
      <c r="C188" s="19"/>
      <c r="D188" s="51" t="n">
        <f aca="false">101804/B188</f>
        <v>3.35986798679868</v>
      </c>
    </row>
    <row r="189" customFormat="false" ht="16.8" hidden="false" customHeight="false" outlineLevel="0" collapsed="false">
      <c r="A189" s="53" t="s">
        <v>18</v>
      </c>
      <c r="B189" s="20"/>
      <c r="C189" s="20"/>
      <c r="D189" s="20"/>
    </row>
    <row r="190" customFormat="false" ht="16.8" hidden="false" customHeight="false" outlineLevel="0" collapsed="false">
      <c r="A190" s="30" t="s">
        <v>11</v>
      </c>
      <c r="B190" s="94" t="n">
        <f aca="false">SUM(B187:B189)</f>
        <v>30300</v>
      </c>
      <c r="C190" s="94"/>
      <c r="D190" s="89" t="n">
        <f aca="false">D188</f>
        <v>3.35986798679868</v>
      </c>
    </row>
    <row r="191" customFormat="false" ht="16.8" hidden="false" customHeight="false" outlineLevel="0" collapsed="false">
      <c r="A191" s="13" t="s">
        <v>20</v>
      </c>
      <c r="B191" s="1"/>
      <c r="C191" s="1"/>
      <c r="D191" s="1"/>
      <c r="E191" s="1"/>
      <c r="F191" s="1"/>
    </row>
    <row r="192" customFormat="false" ht="16.8" hidden="false" customHeight="false" outlineLevel="0" collapsed="false">
      <c r="A192" s="17" t="s">
        <v>13</v>
      </c>
      <c r="B192" s="17" t="s">
        <v>21</v>
      </c>
      <c r="C192" s="18"/>
      <c r="D192" s="18"/>
      <c r="E192" s="1"/>
      <c r="F192" s="18"/>
    </row>
    <row r="193" customFormat="false" ht="16.8" hidden="false" customHeight="false" outlineLevel="0" collapsed="false">
      <c r="A193" s="33" t="s">
        <v>22</v>
      </c>
      <c r="B193" s="34"/>
      <c r="C193" s="1"/>
      <c r="D193" s="1"/>
      <c r="E193" s="39"/>
      <c r="F193" s="1"/>
    </row>
    <row r="194" customFormat="false" ht="16.8" hidden="false" customHeight="false" outlineLevel="0" collapsed="false">
      <c r="A194" s="33" t="s">
        <v>17</v>
      </c>
      <c r="B194" s="34" t="n">
        <f aca="false">146530-B195</f>
        <v>132280</v>
      </c>
      <c r="C194" s="1"/>
      <c r="D194" s="1"/>
      <c r="E194" s="26"/>
      <c r="F194" s="1"/>
    </row>
    <row r="195" customFormat="false" ht="16.8" hidden="false" customHeight="false" outlineLevel="0" collapsed="false">
      <c r="A195" s="33" t="s">
        <v>18</v>
      </c>
      <c r="B195" s="34" t="n">
        <v>14250</v>
      </c>
      <c r="C195" s="1"/>
      <c r="D195" s="1"/>
      <c r="E195" s="26"/>
      <c r="F195" s="1"/>
    </row>
    <row r="196" customFormat="false" ht="16.8" hidden="false" customHeight="false" outlineLevel="0" collapsed="false">
      <c r="A196" s="25" t="s">
        <v>11</v>
      </c>
      <c r="B196" s="35" t="n">
        <f aca="false">SUM(B193:B195)</f>
        <v>146530</v>
      </c>
      <c r="C196" s="1"/>
      <c r="D196" s="1"/>
      <c r="E196" s="26"/>
      <c r="F196" s="1"/>
    </row>
    <row r="197" customFormat="false" ht="13.2" hidden="false" customHeight="false" outlineLevel="0" collapsed="false">
      <c r="A197" s="1"/>
      <c r="B197" s="1"/>
      <c r="C197" s="1"/>
      <c r="D197" s="1"/>
      <c r="E197" s="26"/>
      <c r="F197" s="1"/>
    </row>
    <row r="198" customFormat="false" ht="13.2" hidden="false" customHeight="false" outlineLevel="0" collapsed="false">
      <c r="A198" s="39" t="s">
        <v>23</v>
      </c>
      <c r="B198" s="39" t="s">
        <v>24</v>
      </c>
      <c r="C198" s="39" t="s">
        <v>25</v>
      </c>
      <c r="D198" s="39" t="s">
        <v>26</v>
      </c>
      <c r="E198" s="41" t="s">
        <v>27</v>
      </c>
      <c r="F198" s="41"/>
    </row>
    <row r="199" customFormat="false" ht="13.2" hidden="false" customHeight="false" outlineLevel="0" collapsed="false">
      <c r="A199" s="26"/>
      <c r="B199" s="26"/>
      <c r="C199" s="26"/>
      <c r="D199" s="26"/>
      <c r="E199" s="26"/>
      <c r="F199" s="26"/>
    </row>
    <row r="200" customFormat="false" ht="13.2" hidden="false" customHeight="false" outlineLevel="0" collapsed="false">
      <c r="A200" s="26"/>
      <c r="B200" s="26"/>
      <c r="C200" s="26"/>
      <c r="D200" s="26"/>
      <c r="E200" s="26"/>
      <c r="F200" s="26"/>
    </row>
    <row r="201" customFormat="false" ht="13.2" hidden="false" customHeight="false" outlineLevel="0" collapsed="false">
      <c r="A201" s="26"/>
      <c r="B201" s="26"/>
      <c r="C201" s="26"/>
      <c r="D201" s="26"/>
      <c r="E201" s="26"/>
      <c r="F201" s="26"/>
    </row>
    <row r="202" customFormat="false" ht="13.2" hidden="false" customHeight="false" outlineLevel="0" collapsed="false">
      <c r="A202" s="26"/>
      <c r="B202" s="26"/>
      <c r="C202" s="26"/>
      <c r="D202" s="26"/>
      <c r="E202" s="26"/>
      <c r="F202" s="26"/>
    </row>
    <row r="203" customFormat="false" ht="13.2" hidden="false" customHeight="false" outlineLevel="0" collapsed="false">
      <c r="A203" s="39" t="s">
        <v>34</v>
      </c>
      <c r="B203" s="39"/>
      <c r="C203" s="39"/>
      <c r="D203" s="39"/>
      <c r="E203" s="41" t="s">
        <v>29</v>
      </c>
      <c r="F203" s="41"/>
    </row>
    <row r="206" customFormat="false" ht="13.2" hidden="false" customHeight="false" outlineLevel="0" collapsed="false">
      <c r="A206" s="105"/>
    </row>
    <row r="207" customFormat="false" ht="13.8" hidden="false" customHeight="false" outlineLevel="0" collapsed="false">
      <c r="A207" s="62" t="s">
        <v>0</v>
      </c>
      <c r="B207" s="16"/>
      <c r="C207" s="16"/>
      <c r="D207" s="16"/>
      <c r="E207" s="16"/>
      <c r="F207" s="16"/>
    </row>
    <row r="208" customFormat="false" ht="18.6" hidden="false" customHeight="true" outlineLevel="0" collapsed="false">
      <c r="A208" s="42" t="s">
        <v>177</v>
      </c>
      <c r="B208" s="42"/>
      <c r="C208" s="42"/>
      <c r="D208" s="42"/>
      <c r="E208" s="42"/>
      <c r="F208" s="43"/>
    </row>
    <row r="209" customFormat="false" ht="13.8" hidden="false" customHeight="true" outlineLevel="0" collapsed="false">
      <c r="A209" s="10" t="s">
        <v>2</v>
      </c>
      <c r="B209" s="10"/>
      <c r="C209" s="10"/>
      <c r="D209" s="10"/>
      <c r="E209" s="10"/>
      <c r="F209" s="44"/>
    </row>
    <row r="210" customFormat="false" ht="16.8" hidden="false" customHeight="false" outlineLevel="0" collapsed="false">
      <c r="A210" s="13" t="s">
        <v>3</v>
      </c>
      <c r="B210" s="14"/>
      <c r="C210" s="14"/>
      <c r="D210" s="46"/>
      <c r="E210" s="46" t="s">
        <v>4</v>
      </c>
      <c r="F210" s="66"/>
    </row>
    <row r="211" customFormat="false" ht="33.6" hidden="false" customHeight="false" outlineLevel="0" collapsed="false">
      <c r="A211" s="17" t="s">
        <v>5</v>
      </c>
      <c r="B211" s="17" t="s">
        <v>5</v>
      </c>
      <c r="C211" s="17" t="s">
        <v>178</v>
      </c>
      <c r="D211" s="17" t="s">
        <v>7</v>
      </c>
      <c r="E211" s="17" t="s">
        <v>8</v>
      </c>
      <c r="F211" s="1"/>
    </row>
    <row r="212" customFormat="false" ht="16.8" hidden="false" customHeight="false" outlineLevel="0" collapsed="false">
      <c r="A212" s="19" t="s">
        <v>9</v>
      </c>
      <c r="B212" s="20"/>
      <c r="C212" s="20"/>
      <c r="D212" s="20"/>
      <c r="E212" s="47" t="n">
        <f aca="false">B212+C212-D212</f>
        <v>0</v>
      </c>
      <c r="F212" s="1"/>
    </row>
    <row r="213" customFormat="false" ht="33.6" hidden="false" customHeight="false" outlineLevel="0" collapsed="false">
      <c r="A213" s="97" t="s">
        <v>159</v>
      </c>
      <c r="B213" s="20"/>
      <c r="C213" s="20" t="n">
        <v>11235</v>
      </c>
      <c r="D213" s="20" t="n">
        <v>11235</v>
      </c>
      <c r="E213" s="47" t="n">
        <f aca="false">B213+C213-D213</f>
        <v>0</v>
      </c>
      <c r="F213" s="1"/>
    </row>
    <row r="214" customFormat="false" ht="16.8" hidden="false" customHeight="false" outlineLevel="0" collapsed="false">
      <c r="A214" s="19" t="s">
        <v>10</v>
      </c>
      <c r="B214" s="20"/>
      <c r="C214" s="20" t="n">
        <v>108881</v>
      </c>
      <c r="D214" s="20" t="n">
        <v>108881</v>
      </c>
      <c r="E214" s="47" t="n">
        <f aca="false">B214+C214-D214</f>
        <v>0</v>
      </c>
      <c r="F214" s="45"/>
    </row>
    <row r="215" customFormat="false" ht="16.8" hidden="false" customHeight="false" outlineLevel="0" collapsed="false">
      <c r="A215" s="21" t="s">
        <v>11</v>
      </c>
      <c r="B215" s="22" t="n">
        <f aca="false">SUM(B212:B214)</f>
        <v>0</v>
      </c>
      <c r="C215" s="22" t="n">
        <f aca="false">SUM(C212:C214)</f>
        <v>120116</v>
      </c>
      <c r="D215" s="22" t="n">
        <f aca="false">SUM(D212:D214)</f>
        <v>120116</v>
      </c>
      <c r="E215" s="22" t="n">
        <f aca="false">SUM(E212:E214)</f>
        <v>0</v>
      </c>
      <c r="F215" s="45"/>
      <c r="G215" s="106" t="n">
        <f aca="false">D215+D357</f>
        <v>497957</v>
      </c>
      <c r="H215" s="106"/>
    </row>
    <row r="216" customFormat="false" ht="25.5" hidden="false" customHeight="true" outlineLevel="0" collapsed="false">
      <c r="A216" s="13" t="s">
        <v>12</v>
      </c>
      <c r="B216" s="13"/>
      <c r="C216" s="13"/>
      <c r="D216" s="13"/>
      <c r="E216" s="24"/>
      <c r="F216" s="24"/>
      <c r="G216" s="106" t="n">
        <f aca="false">B221+B366+C366</f>
        <v>151000</v>
      </c>
      <c r="H216" s="107" t="n">
        <f aca="false">G215/G216</f>
        <v>3.29772847682119</v>
      </c>
    </row>
    <row r="217" customFormat="false" ht="67.2" hidden="false" customHeight="false" outlineLevel="0" collapsed="false">
      <c r="A217" s="25" t="s">
        <v>13</v>
      </c>
      <c r="B217" s="17" t="s">
        <v>179</v>
      </c>
      <c r="C217" s="93" t="s">
        <v>138</v>
      </c>
      <c r="D217" s="73" t="s">
        <v>16</v>
      </c>
    </row>
    <row r="218" customFormat="false" ht="33.6" hidden="false" customHeight="false" outlineLevel="0" collapsed="false">
      <c r="A218" s="49" t="s">
        <v>49</v>
      </c>
      <c r="B218" s="50" t="n">
        <v>2250</v>
      </c>
      <c r="C218" s="20"/>
      <c r="D218" s="29"/>
    </row>
    <row r="219" customFormat="false" ht="16.8" hidden="false" customHeight="false" outlineLevel="0" collapsed="false">
      <c r="A219" s="49" t="s">
        <v>53</v>
      </c>
      <c r="B219" s="19" t="n">
        <v>33550</v>
      </c>
      <c r="C219" s="19"/>
      <c r="D219" s="51"/>
    </row>
    <row r="220" customFormat="false" ht="16.8" hidden="false" customHeight="false" outlineLevel="0" collapsed="false">
      <c r="A220" s="53" t="s">
        <v>18</v>
      </c>
      <c r="B220" s="20"/>
      <c r="C220" s="20"/>
      <c r="D220" s="20"/>
    </row>
    <row r="221" customFormat="false" ht="16.8" hidden="false" customHeight="false" outlineLevel="0" collapsed="false">
      <c r="A221" s="30" t="s">
        <v>11</v>
      </c>
      <c r="B221" s="22" t="n">
        <f aca="false">SUM(B218:B220)</f>
        <v>35800</v>
      </c>
      <c r="C221" s="89"/>
      <c r="D221" s="89" t="n">
        <f aca="false">D215/B221</f>
        <v>3.35519553072626</v>
      </c>
    </row>
    <row r="222" customFormat="false" ht="16.8" hidden="false" customHeight="false" outlineLevel="0" collapsed="false">
      <c r="A222" s="55"/>
      <c r="B222" s="56"/>
      <c r="C222" s="56"/>
      <c r="D222" s="56"/>
      <c r="E222" s="100"/>
    </row>
    <row r="223" customFormat="false" ht="16.8" hidden="false" customHeight="false" outlineLevel="0" collapsed="false">
      <c r="A223" s="13" t="s">
        <v>20</v>
      </c>
      <c r="B223" s="1"/>
      <c r="C223" s="1"/>
      <c r="D223" s="1"/>
      <c r="E223" s="1"/>
      <c r="F223" s="1"/>
    </row>
    <row r="224" customFormat="false" ht="16.8" hidden="false" customHeight="false" outlineLevel="0" collapsed="false">
      <c r="A224" s="17" t="s">
        <v>13</v>
      </c>
      <c r="B224" s="17" t="s">
        <v>21</v>
      </c>
      <c r="C224" s="18"/>
      <c r="D224" s="18"/>
      <c r="E224" s="1"/>
      <c r="F224" s="18"/>
    </row>
    <row r="225" customFormat="false" ht="16.8" hidden="false" customHeight="false" outlineLevel="0" collapsed="false">
      <c r="A225" s="33" t="s">
        <v>22</v>
      </c>
      <c r="B225" s="34" t="n">
        <v>2250</v>
      </c>
      <c r="C225" s="1"/>
      <c r="D225" s="1"/>
      <c r="E225" s="39"/>
      <c r="F225" s="1"/>
    </row>
    <row r="226" customFormat="false" ht="16.8" hidden="false" customHeight="false" outlineLevel="0" collapsed="false">
      <c r="A226" s="33" t="s">
        <v>17</v>
      </c>
      <c r="B226" s="34" t="n">
        <f aca="false">102330-B225-B227</f>
        <v>85830</v>
      </c>
      <c r="C226" s="1"/>
      <c r="D226" s="1"/>
      <c r="E226" s="26"/>
      <c r="F226" s="1"/>
    </row>
    <row r="227" customFormat="false" ht="16.8" hidden="false" customHeight="false" outlineLevel="0" collapsed="false">
      <c r="A227" s="33" t="s">
        <v>18</v>
      </c>
      <c r="B227" s="34" t="n">
        <v>14250</v>
      </c>
      <c r="C227" s="1"/>
      <c r="D227" s="1"/>
      <c r="E227" s="26"/>
      <c r="F227" s="1"/>
    </row>
    <row r="228" customFormat="false" ht="16.8" hidden="false" customHeight="false" outlineLevel="0" collapsed="false">
      <c r="A228" s="25" t="s">
        <v>11</v>
      </c>
      <c r="B228" s="35" t="n">
        <f aca="false">SUM(B225:B227)</f>
        <v>102330</v>
      </c>
      <c r="C228" s="1"/>
      <c r="D228" s="1"/>
      <c r="E228" s="26"/>
      <c r="F228" s="1"/>
    </row>
    <row r="229" customFormat="false" ht="13.2" hidden="false" customHeight="false" outlineLevel="0" collapsed="false">
      <c r="A229" s="1"/>
      <c r="B229" s="1"/>
      <c r="C229" s="1"/>
      <c r="D229" s="1"/>
      <c r="E229" s="26"/>
      <c r="F229" s="1"/>
    </row>
    <row r="230" customFormat="false" ht="13.2" hidden="false" customHeight="false" outlineLevel="0" collapsed="false">
      <c r="A230" s="39" t="s">
        <v>23</v>
      </c>
      <c r="B230" s="39" t="s">
        <v>24</v>
      </c>
      <c r="C230" s="39" t="s">
        <v>25</v>
      </c>
      <c r="D230" s="39" t="s">
        <v>26</v>
      </c>
      <c r="E230" s="41" t="s">
        <v>27</v>
      </c>
      <c r="F230" s="41"/>
    </row>
    <row r="231" customFormat="false" ht="13.2" hidden="false" customHeight="false" outlineLevel="0" collapsed="false">
      <c r="A231" s="26"/>
      <c r="B231" s="26"/>
      <c r="C231" s="26"/>
      <c r="D231" s="26"/>
      <c r="E231" s="26"/>
      <c r="F231" s="26"/>
    </row>
    <row r="232" customFormat="false" ht="13.2" hidden="false" customHeight="false" outlineLevel="0" collapsed="false">
      <c r="A232" s="26"/>
      <c r="B232" s="26"/>
      <c r="C232" s="26"/>
      <c r="D232" s="26"/>
      <c r="E232" s="26"/>
      <c r="F232" s="26"/>
    </row>
    <row r="233" customFormat="false" ht="13.2" hidden="false" customHeight="false" outlineLevel="0" collapsed="false">
      <c r="A233" s="26"/>
      <c r="B233" s="26"/>
      <c r="C233" s="26"/>
      <c r="D233" s="26"/>
      <c r="E233" s="26"/>
      <c r="F233" s="26"/>
    </row>
    <row r="234" customFormat="false" ht="13.2" hidden="false" customHeight="false" outlineLevel="0" collapsed="false">
      <c r="A234" s="26"/>
      <c r="B234" s="26"/>
      <c r="C234" s="26"/>
      <c r="D234" s="26"/>
      <c r="E234" s="26"/>
      <c r="F234" s="26"/>
    </row>
    <row r="235" customFormat="false" ht="13.2" hidden="false" customHeight="false" outlineLevel="0" collapsed="false">
      <c r="A235" s="39" t="s">
        <v>34</v>
      </c>
      <c r="B235" s="39"/>
      <c r="C235" s="39"/>
      <c r="D235" s="39"/>
      <c r="E235" s="41" t="s">
        <v>29</v>
      </c>
      <c r="F235" s="41"/>
    </row>
    <row r="239" customFormat="false" ht="13.8" hidden="false" customHeight="false" outlineLevel="0" collapsed="false">
      <c r="A239" s="62" t="s">
        <v>0</v>
      </c>
      <c r="B239" s="16"/>
      <c r="C239" s="16"/>
      <c r="D239" s="16"/>
      <c r="E239" s="16"/>
      <c r="F239" s="16"/>
    </row>
    <row r="240" customFormat="false" ht="18.6" hidden="false" customHeight="true" outlineLevel="0" collapsed="false">
      <c r="A240" s="42" t="s">
        <v>180</v>
      </c>
      <c r="B240" s="42"/>
      <c r="C240" s="42"/>
      <c r="D240" s="42"/>
      <c r="E240" s="42"/>
      <c r="F240" s="43"/>
    </row>
    <row r="241" customFormat="false" ht="13.8" hidden="false" customHeight="true" outlineLevel="0" collapsed="false">
      <c r="A241" s="10" t="s">
        <v>2</v>
      </c>
      <c r="B241" s="10"/>
      <c r="C241" s="10"/>
      <c r="D241" s="10"/>
      <c r="E241" s="10"/>
      <c r="F241" s="44"/>
    </row>
    <row r="242" customFormat="false" ht="16.8" hidden="false" customHeight="false" outlineLevel="0" collapsed="false">
      <c r="A242" s="13" t="s">
        <v>3</v>
      </c>
      <c r="B242" s="14"/>
      <c r="C242" s="14"/>
      <c r="D242" s="46"/>
      <c r="E242" s="46" t="s">
        <v>4</v>
      </c>
      <c r="F242" s="66"/>
    </row>
    <row r="243" customFormat="false" ht="33.6" hidden="false" customHeight="false" outlineLevel="0" collapsed="false">
      <c r="A243" s="17" t="s">
        <v>5</v>
      </c>
      <c r="B243" s="17" t="s">
        <v>5</v>
      </c>
      <c r="C243" s="17" t="s">
        <v>181</v>
      </c>
      <c r="D243" s="17" t="s">
        <v>7</v>
      </c>
      <c r="E243" s="17" t="s">
        <v>8</v>
      </c>
      <c r="F243" s="1"/>
    </row>
    <row r="244" customFormat="false" ht="16.8" hidden="false" customHeight="false" outlineLevel="0" collapsed="false">
      <c r="A244" s="19" t="s">
        <v>9</v>
      </c>
      <c r="B244" s="20"/>
      <c r="C244" s="20" t="n">
        <v>5</v>
      </c>
      <c r="D244" s="20"/>
      <c r="E244" s="47" t="n">
        <f aca="false">B244+C244-D244</f>
        <v>5</v>
      </c>
      <c r="F244" s="1"/>
    </row>
    <row r="245" customFormat="false" ht="33.6" hidden="false" customHeight="false" outlineLevel="0" collapsed="false">
      <c r="A245" s="97" t="s">
        <v>159</v>
      </c>
      <c r="B245" s="20"/>
      <c r="C245" s="20"/>
      <c r="D245" s="20"/>
      <c r="E245" s="47" t="n">
        <f aca="false">B245+C245-D245</f>
        <v>0</v>
      </c>
      <c r="F245" s="1"/>
    </row>
    <row r="246" customFormat="false" ht="16.8" hidden="false" customHeight="false" outlineLevel="0" collapsed="false">
      <c r="A246" s="19" t="s">
        <v>10</v>
      </c>
      <c r="B246" s="20"/>
      <c r="C246" s="20" t="n">
        <f aca="false">166516-C244</f>
        <v>166511</v>
      </c>
      <c r="D246" s="20"/>
      <c r="E246" s="47" t="n">
        <f aca="false">B246+C246-D246</f>
        <v>166511</v>
      </c>
      <c r="F246" s="45"/>
    </row>
    <row r="247" customFormat="false" ht="16.8" hidden="false" customHeight="false" outlineLevel="0" collapsed="false">
      <c r="A247" s="21" t="s">
        <v>11</v>
      </c>
      <c r="B247" s="22" t="n">
        <f aca="false">SUM(B244:B246)</f>
        <v>0</v>
      </c>
      <c r="C247" s="22" t="n">
        <f aca="false">SUM(C244:C246)</f>
        <v>166516</v>
      </c>
      <c r="D247" s="22" t="n">
        <f aca="false">SUM(D244:D246)</f>
        <v>0</v>
      </c>
      <c r="E247" s="22" t="n">
        <f aca="false">SUM(E244:E246)</f>
        <v>166516</v>
      </c>
      <c r="F247" s="45"/>
    </row>
    <row r="248" customFormat="false" ht="16.8" hidden="false" customHeight="false" outlineLevel="0" collapsed="false">
      <c r="A248" s="64" t="s">
        <v>87</v>
      </c>
      <c r="B248" s="64"/>
      <c r="C248" s="64"/>
      <c r="D248" s="64"/>
      <c r="E248" s="64"/>
      <c r="F248" s="45"/>
    </row>
    <row r="249" customFormat="false" ht="16.8" hidden="false" customHeight="false" outlineLevel="0" collapsed="false">
      <c r="A249" s="13" t="s">
        <v>12</v>
      </c>
      <c r="B249" s="13"/>
      <c r="C249" s="13"/>
      <c r="D249" s="13"/>
      <c r="E249" s="24"/>
      <c r="F249" s="24"/>
    </row>
    <row r="250" customFormat="false" ht="67.2" hidden="false" customHeight="false" outlineLevel="0" collapsed="false">
      <c r="A250" s="25" t="s">
        <v>13</v>
      </c>
      <c r="B250" s="17" t="s">
        <v>182</v>
      </c>
      <c r="C250" s="93" t="s">
        <v>138</v>
      </c>
      <c r="D250" s="73" t="s">
        <v>16</v>
      </c>
    </row>
    <row r="251" customFormat="false" ht="21" hidden="false" customHeight="true" outlineLevel="0" collapsed="false">
      <c r="A251" s="49" t="s">
        <v>49</v>
      </c>
      <c r="B251" s="50" t="n">
        <v>1800</v>
      </c>
      <c r="C251" s="20"/>
      <c r="D251" s="29"/>
    </row>
    <row r="252" customFormat="false" ht="16.8" hidden="false" customHeight="false" outlineLevel="0" collapsed="false">
      <c r="A252" s="49" t="s">
        <v>53</v>
      </c>
      <c r="B252" s="19" t="n">
        <f aca="false">34700+1200</f>
        <v>35900</v>
      </c>
      <c r="C252" s="19"/>
      <c r="D252" s="51"/>
    </row>
    <row r="253" customFormat="false" ht="16.8" hidden="false" customHeight="false" outlineLevel="0" collapsed="false">
      <c r="A253" s="53" t="s">
        <v>18</v>
      </c>
      <c r="B253" s="20"/>
      <c r="C253" s="20"/>
      <c r="D253" s="20"/>
    </row>
    <row r="254" customFormat="false" ht="16.8" hidden="false" customHeight="false" outlineLevel="0" collapsed="false">
      <c r="A254" s="30" t="s">
        <v>11</v>
      </c>
      <c r="B254" s="22" t="n">
        <f aca="false">SUM(B251:B253)</f>
        <v>37700</v>
      </c>
      <c r="C254" s="89"/>
      <c r="D254" s="89" t="n">
        <f aca="false">D247/B254</f>
        <v>0</v>
      </c>
    </row>
    <row r="255" customFormat="false" ht="16.8" hidden="false" customHeight="false" outlineLevel="0" collapsed="false">
      <c r="A255" s="55"/>
      <c r="B255" s="56"/>
      <c r="C255" s="56"/>
      <c r="D255" s="56"/>
      <c r="E255" s="100"/>
    </row>
    <row r="256" customFormat="false" ht="16.8" hidden="false" customHeight="false" outlineLevel="0" collapsed="false">
      <c r="A256" s="13" t="s">
        <v>20</v>
      </c>
      <c r="B256" s="1"/>
      <c r="C256" s="1"/>
      <c r="D256" s="1"/>
      <c r="E256" s="1"/>
      <c r="F256" s="1"/>
    </row>
    <row r="257" customFormat="false" ht="16.8" hidden="false" customHeight="false" outlineLevel="0" collapsed="false">
      <c r="A257" s="17" t="s">
        <v>13</v>
      </c>
      <c r="B257" s="17" t="s">
        <v>21</v>
      </c>
      <c r="C257" s="18"/>
      <c r="D257" s="18"/>
      <c r="E257" s="1"/>
      <c r="F257" s="18"/>
    </row>
    <row r="258" customFormat="false" ht="16.8" hidden="false" customHeight="false" outlineLevel="0" collapsed="false">
      <c r="A258" s="33" t="s">
        <v>22</v>
      </c>
      <c r="B258" s="34" t="n">
        <v>4050</v>
      </c>
      <c r="C258" s="1"/>
      <c r="D258" s="1"/>
      <c r="E258" s="39"/>
      <c r="F258" s="1"/>
    </row>
    <row r="259" customFormat="false" ht="16.8" hidden="false" customHeight="false" outlineLevel="0" collapsed="false">
      <c r="A259" s="33" t="s">
        <v>17</v>
      </c>
      <c r="B259" s="34" t="n">
        <f aca="false">72830+1200</f>
        <v>74030</v>
      </c>
      <c r="C259" s="1"/>
      <c r="D259" s="1"/>
      <c r="E259" s="26"/>
      <c r="F259" s="1"/>
    </row>
    <row r="260" customFormat="false" ht="16.8" hidden="false" customHeight="false" outlineLevel="0" collapsed="false">
      <c r="A260" s="33" t="s">
        <v>18</v>
      </c>
      <c r="B260" s="34" t="n">
        <v>14250</v>
      </c>
      <c r="C260" s="1"/>
      <c r="D260" s="1"/>
      <c r="E260" s="26"/>
      <c r="F260" s="1"/>
    </row>
    <row r="261" customFormat="false" ht="16.8" hidden="false" customHeight="false" outlineLevel="0" collapsed="false">
      <c r="A261" s="25" t="s">
        <v>11</v>
      </c>
      <c r="B261" s="35" t="n">
        <f aca="false">SUM(B258:B260)</f>
        <v>92330</v>
      </c>
      <c r="C261" s="1"/>
      <c r="D261" s="1"/>
      <c r="E261" s="26"/>
      <c r="F261" s="1"/>
    </row>
    <row r="262" customFormat="false" ht="13.2" hidden="false" customHeight="false" outlineLevel="0" collapsed="false">
      <c r="A262" s="1"/>
      <c r="B262" s="1"/>
      <c r="C262" s="1"/>
      <c r="D262" s="1"/>
      <c r="E262" s="26"/>
      <c r="F262" s="1"/>
    </row>
    <row r="263" customFormat="false" ht="13.2" hidden="false" customHeight="false" outlineLevel="0" collapsed="false">
      <c r="A263" s="39" t="s">
        <v>23</v>
      </c>
      <c r="B263" s="39" t="s">
        <v>24</v>
      </c>
      <c r="C263" s="39" t="s">
        <v>25</v>
      </c>
      <c r="D263" s="39" t="s">
        <v>26</v>
      </c>
      <c r="E263" s="41" t="s">
        <v>27</v>
      </c>
      <c r="F263" s="41"/>
    </row>
    <row r="264" customFormat="false" ht="13.2" hidden="false" customHeight="false" outlineLevel="0" collapsed="false">
      <c r="A264" s="26"/>
      <c r="B264" s="26"/>
      <c r="C264" s="26"/>
      <c r="D264" s="26"/>
      <c r="E264" s="26"/>
      <c r="F264" s="26"/>
    </row>
    <row r="265" customFormat="false" ht="13.2" hidden="false" customHeight="false" outlineLevel="0" collapsed="false">
      <c r="A265" s="26"/>
      <c r="B265" s="26"/>
      <c r="C265" s="26"/>
      <c r="D265" s="26"/>
      <c r="E265" s="26"/>
      <c r="F265" s="26"/>
    </row>
    <row r="266" customFormat="false" ht="13.2" hidden="false" customHeight="false" outlineLevel="0" collapsed="false">
      <c r="A266" s="26"/>
      <c r="B266" s="26"/>
      <c r="C266" s="26"/>
      <c r="D266" s="26"/>
      <c r="E266" s="26"/>
      <c r="F266" s="26"/>
    </row>
    <row r="267" customFormat="false" ht="13.2" hidden="false" customHeight="false" outlineLevel="0" collapsed="false">
      <c r="A267" s="26"/>
      <c r="B267" s="26"/>
      <c r="C267" s="26"/>
      <c r="D267" s="26"/>
      <c r="E267" s="26"/>
      <c r="F267" s="26"/>
    </row>
    <row r="268" customFormat="false" ht="13.2" hidden="false" customHeight="false" outlineLevel="0" collapsed="false">
      <c r="A268" s="39" t="s">
        <v>34</v>
      </c>
      <c r="B268" s="39"/>
      <c r="C268" s="39"/>
      <c r="D268" s="39"/>
      <c r="E268" s="41" t="s">
        <v>29</v>
      </c>
      <c r="F268" s="41"/>
    </row>
    <row r="273" customFormat="false" ht="13.8" hidden="false" customHeight="false" outlineLevel="0" collapsed="false">
      <c r="A273" s="62" t="s">
        <v>0</v>
      </c>
      <c r="B273" s="16"/>
      <c r="C273" s="16"/>
      <c r="D273" s="16"/>
      <c r="E273" s="16"/>
      <c r="F273" s="16"/>
    </row>
    <row r="274" customFormat="false" ht="18.6" hidden="false" customHeight="true" outlineLevel="0" collapsed="false">
      <c r="A274" s="42" t="s">
        <v>183</v>
      </c>
      <c r="B274" s="42"/>
      <c r="C274" s="42"/>
      <c r="D274" s="42"/>
      <c r="E274" s="42"/>
      <c r="F274" s="43"/>
    </row>
    <row r="275" customFormat="false" ht="13.8" hidden="false" customHeight="true" outlineLevel="0" collapsed="false">
      <c r="A275" s="10" t="s">
        <v>2</v>
      </c>
      <c r="B275" s="10"/>
      <c r="C275" s="10"/>
      <c r="D275" s="10"/>
      <c r="E275" s="10"/>
      <c r="F275" s="44"/>
    </row>
    <row r="276" customFormat="false" ht="16.8" hidden="false" customHeight="false" outlineLevel="0" collapsed="false">
      <c r="A276" s="13" t="s">
        <v>3</v>
      </c>
      <c r="B276" s="14"/>
      <c r="C276" s="14"/>
      <c r="D276" s="46"/>
      <c r="E276" s="46" t="s">
        <v>4</v>
      </c>
      <c r="F276" s="66"/>
    </row>
    <row r="277" customFormat="false" ht="33.6" hidden="false" customHeight="false" outlineLevel="0" collapsed="false">
      <c r="A277" s="17" t="s">
        <v>5</v>
      </c>
      <c r="B277" s="17" t="s">
        <v>5</v>
      </c>
      <c r="C277" s="17" t="s">
        <v>184</v>
      </c>
      <c r="D277" s="17" t="s">
        <v>7</v>
      </c>
      <c r="E277" s="17" t="s">
        <v>8</v>
      </c>
      <c r="F277" s="1"/>
    </row>
    <row r="278" customFormat="false" ht="16.8" hidden="false" customHeight="false" outlineLevel="0" collapsed="false">
      <c r="A278" s="19" t="s">
        <v>9</v>
      </c>
      <c r="B278" s="20" t="n">
        <f aca="false">E244</f>
        <v>5</v>
      </c>
      <c r="C278" s="20" t="n">
        <v>50</v>
      </c>
      <c r="D278" s="20" t="n">
        <v>5</v>
      </c>
      <c r="E278" s="47" t="n">
        <f aca="false">B278+C278-D278</f>
        <v>50</v>
      </c>
      <c r="F278" s="1"/>
    </row>
    <row r="279" customFormat="false" ht="33.6" hidden="false" customHeight="false" outlineLevel="0" collapsed="false">
      <c r="A279" s="97" t="s">
        <v>159</v>
      </c>
      <c r="B279" s="20" t="n">
        <f aca="false">E245</f>
        <v>0</v>
      </c>
      <c r="C279" s="20"/>
      <c r="D279" s="20"/>
      <c r="E279" s="47" t="n">
        <f aca="false">B279+C279-D279</f>
        <v>0</v>
      </c>
      <c r="F279" s="1"/>
    </row>
    <row r="280" customFormat="false" ht="16.8" hidden="false" customHeight="false" outlineLevel="0" collapsed="false">
      <c r="A280" s="19" t="s">
        <v>10</v>
      </c>
      <c r="B280" s="20" t="n">
        <f aca="false">E246</f>
        <v>166511</v>
      </c>
      <c r="C280" s="20" t="n">
        <f aca="false">181773-C278</f>
        <v>181723</v>
      </c>
      <c r="D280" s="20" t="n">
        <v>166511</v>
      </c>
      <c r="E280" s="47" t="n">
        <f aca="false">B280+C280-D280</f>
        <v>181723</v>
      </c>
      <c r="F280" s="45"/>
    </row>
    <row r="281" customFormat="false" ht="16.8" hidden="false" customHeight="false" outlineLevel="0" collapsed="false">
      <c r="A281" s="21" t="s">
        <v>11</v>
      </c>
      <c r="B281" s="22" t="n">
        <f aca="false">SUM(B278:B280)</f>
        <v>166516</v>
      </c>
      <c r="C281" s="22" t="n">
        <f aca="false">SUM(C278:C280)</f>
        <v>181773</v>
      </c>
      <c r="D281" s="22" t="n">
        <f aca="false">SUM(D278:D280)</f>
        <v>166516</v>
      </c>
      <c r="E281" s="22" t="n">
        <f aca="false">SUM(E278:E280)</f>
        <v>181773</v>
      </c>
      <c r="F281" s="45"/>
    </row>
    <row r="282" customFormat="false" ht="16.8" hidden="false" customHeight="false" outlineLevel="0" collapsed="false">
      <c r="A282" s="64" t="s">
        <v>185</v>
      </c>
      <c r="B282" s="64"/>
      <c r="C282" s="64"/>
      <c r="D282" s="64"/>
      <c r="E282" s="64"/>
      <c r="F282" s="45"/>
    </row>
    <row r="283" customFormat="false" ht="16.8" hidden="false" customHeight="false" outlineLevel="0" collapsed="false">
      <c r="A283" s="13" t="s">
        <v>12</v>
      </c>
      <c r="B283" s="13"/>
      <c r="C283" s="13"/>
      <c r="D283" s="13"/>
      <c r="E283" s="24"/>
      <c r="F283" s="24"/>
    </row>
    <row r="284" customFormat="false" ht="16.8" hidden="false" customHeight="false" outlineLevel="0" collapsed="false">
      <c r="A284" s="13" t="s">
        <v>186</v>
      </c>
      <c r="B284" s="13"/>
      <c r="C284" s="13"/>
      <c r="D284" s="13"/>
      <c r="E284" s="24"/>
      <c r="F284" s="24"/>
    </row>
    <row r="285" customFormat="false" ht="67.2" hidden="false" customHeight="false" outlineLevel="0" collapsed="false">
      <c r="A285" s="25" t="s">
        <v>13</v>
      </c>
      <c r="B285" s="17" t="s">
        <v>182</v>
      </c>
      <c r="C285" s="17" t="s">
        <v>187</v>
      </c>
      <c r="D285" s="93" t="s">
        <v>138</v>
      </c>
      <c r="E285" s="73" t="s">
        <v>16</v>
      </c>
    </row>
    <row r="286" customFormat="false" ht="33.6" hidden="false" customHeight="false" outlineLevel="0" collapsed="false">
      <c r="A286" s="49" t="s">
        <v>49</v>
      </c>
      <c r="B286" s="50" t="n">
        <v>1800</v>
      </c>
      <c r="C286" s="20"/>
      <c r="D286" s="20"/>
      <c r="E286" s="29"/>
    </row>
    <row r="287" customFormat="false" ht="16.8" hidden="false" customHeight="false" outlineLevel="0" collapsed="false">
      <c r="A287" s="49" t="s">
        <v>53</v>
      </c>
      <c r="B287" s="19" t="n">
        <f aca="false">34700+1200</f>
        <v>35900</v>
      </c>
      <c r="C287" s="19" t="n">
        <v>15500</v>
      </c>
      <c r="D287" s="19"/>
      <c r="E287" s="51"/>
    </row>
    <row r="288" customFormat="false" ht="16.8" hidden="false" customHeight="false" outlineLevel="0" collapsed="false">
      <c r="A288" s="53" t="s">
        <v>18</v>
      </c>
      <c r="B288" s="20"/>
      <c r="C288" s="20"/>
      <c r="D288" s="20"/>
      <c r="E288" s="20"/>
    </row>
    <row r="289" customFormat="false" ht="16.8" hidden="false" customHeight="false" outlineLevel="0" collapsed="false">
      <c r="A289" s="30" t="s">
        <v>11</v>
      </c>
      <c r="B289" s="22" t="n">
        <f aca="false">SUM(B286:B288)</f>
        <v>37700</v>
      </c>
      <c r="C289" s="94" t="n">
        <f aca="false">SUM(C286:C288)</f>
        <v>15500</v>
      </c>
      <c r="D289" s="89"/>
      <c r="E289" s="89" t="n">
        <f aca="false">D281/(B289+C289)</f>
        <v>3.13</v>
      </c>
    </row>
    <row r="290" customFormat="false" ht="16.8" hidden="false" customHeight="false" outlineLevel="0" collapsed="false">
      <c r="A290" s="108"/>
      <c r="B290" s="109"/>
      <c r="C290" s="110"/>
      <c r="D290" s="110"/>
    </row>
    <row r="291" customFormat="false" ht="16.8" hidden="false" customHeight="false" outlineLevel="0" collapsed="false">
      <c r="A291" s="13" t="s">
        <v>188</v>
      </c>
      <c r="B291" s="13"/>
      <c r="C291" s="13"/>
      <c r="D291" s="13"/>
    </row>
    <row r="292" customFormat="false" ht="67.2" hidden="false" customHeight="false" outlineLevel="0" collapsed="false">
      <c r="A292" s="25" t="s">
        <v>13</v>
      </c>
      <c r="B292" s="17" t="s">
        <v>187</v>
      </c>
      <c r="C292" s="93" t="s">
        <v>138</v>
      </c>
      <c r="D292" s="73" t="s">
        <v>16</v>
      </c>
    </row>
    <row r="293" customFormat="false" ht="33.6" hidden="false" customHeight="false" outlineLevel="0" collapsed="false">
      <c r="A293" s="49" t="s">
        <v>49</v>
      </c>
      <c r="B293" s="50"/>
      <c r="C293" s="20"/>
      <c r="D293" s="29"/>
    </row>
    <row r="294" customFormat="false" ht="16.8" hidden="false" customHeight="false" outlineLevel="0" collapsed="false">
      <c r="A294" s="49" t="s">
        <v>53</v>
      </c>
      <c r="B294" s="19" t="n">
        <v>38250</v>
      </c>
      <c r="C294" s="19"/>
      <c r="D294" s="51"/>
    </row>
    <row r="295" customFormat="false" ht="16.8" hidden="false" customHeight="false" outlineLevel="0" collapsed="false">
      <c r="A295" s="53" t="s">
        <v>18</v>
      </c>
      <c r="B295" s="20"/>
      <c r="C295" s="20"/>
      <c r="D295" s="20"/>
    </row>
    <row r="296" customFormat="false" ht="16.8" hidden="false" customHeight="false" outlineLevel="0" collapsed="false">
      <c r="A296" s="30" t="s">
        <v>11</v>
      </c>
      <c r="B296" s="22" t="n">
        <f aca="false">SUM(B293:B295)</f>
        <v>38250</v>
      </c>
      <c r="C296" s="89"/>
      <c r="D296" s="89" t="n">
        <f aca="false">D288/B296</f>
        <v>0</v>
      </c>
    </row>
    <row r="297" customFormat="false" ht="16.8" hidden="false" customHeight="false" outlineLevel="0" collapsed="false">
      <c r="A297" s="13" t="s">
        <v>20</v>
      </c>
      <c r="B297" s="1"/>
      <c r="C297" s="1"/>
      <c r="D297" s="1"/>
      <c r="E297" s="1"/>
      <c r="F297" s="1"/>
    </row>
    <row r="298" customFormat="false" ht="16.8" hidden="false" customHeight="false" outlineLevel="0" collapsed="false">
      <c r="A298" s="17" t="s">
        <v>13</v>
      </c>
      <c r="B298" s="17" t="s">
        <v>21</v>
      </c>
      <c r="C298" s="18"/>
      <c r="D298" s="18"/>
      <c r="E298" s="1"/>
      <c r="F298" s="18"/>
    </row>
    <row r="299" customFormat="false" ht="16.8" hidden="false" customHeight="false" outlineLevel="0" collapsed="false">
      <c r="A299" s="33" t="s">
        <v>22</v>
      </c>
      <c r="B299" s="34" t="n">
        <v>2550</v>
      </c>
      <c r="C299" s="1"/>
      <c r="D299" s="1"/>
      <c r="E299" s="39"/>
      <c r="F299" s="1"/>
    </row>
    <row r="300" customFormat="false" ht="16.8" hidden="false" customHeight="false" outlineLevel="0" collapsed="false">
      <c r="A300" s="33" t="s">
        <v>17</v>
      </c>
      <c r="B300" s="34" t="n">
        <v>127780</v>
      </c>
      <c r="C300" s="1"/>
      <c r="D300" s="1"/>
      <c r="E300" s="26"/>
      <c r="F300" s="1"/>
    </row>
    <row r="301" customFormat="false" ht="16.8" hidden="false" customHeight="false" outlineLevel="0" collapsed="false">
      <c r="A301" s="33" t="s">
        <v>18</v>
      </c>
      <c r="B301" s="34" t="n">
        <v>14250</v>
      </c>
      <c r="C301" s="1"/>
      <c r="D301" s="1"/>
      <c r="E301" s="26"/>
      <c r="F301" s="1"/>
    </row>
    <row r="302" customFormat="false" ht="16.8" hidden="false" customHeight="false" outlineLevel="0" collapsed="false">
      <c r="A302" s="25" t="s">
        <v>11</v>
      </c>
      <c r="B302" s="35" t="n">
        <f aca="false">SUM(B299:B301)</f>
        <v>144580</v>
      </c>
      <c r="C302" s="1"/>
      <c r="D302" s="1"/>
      <c r="E302" s="26"/>
      <c r="F302" s="1"/>
    </row>
    <row r="303" customFormat="false" ht="13.2" hidden="false" customHeight="false" outlineLevel="0" collapsed="false">
      <c r="A303" s="1"/>
      <c r="B303" s="1"/>
      <c r="C303" s="1"/>
      <c r="D303" s="1"/>
      <c r="E303" s="26"/>
      <c r="F303" s="1"/>
    </row>
    <row r="304" customFormat="false" ht="13.2" hidden="false" customHeight="false" outlineLevel="0" collapsed="false">
      <c r="A304" s="39" t="s">
        <v>23</v>
      </c>
      <c r="B304" s="39" t="s">
        <v>24</v>
      </c>
      <c r="C304" s="39" t="s">
        <v>25</v>
      </c>
      <c r="D304" s="39" t="s">
        <v>26</v>
      </c>
      <c r="E304" s="41" t="s">
        <v>27</v>
      </c>
      <c r="F304" s="41"/>
    </row>
    <row r="305" customFormat="false" ht="13.2" hidden="false" customHeight="false" outlineLevel="0" collapsed="false">
      <c r="A305" s="26"/>
      <c r="B305" s="26"/>
      <c r="C305" s="26"/>
      <c r="D305" s="26"/>
      <c r="E305" s="26"/>
      <c r="F305" s="26"/>
    </row>
    <row r="306" customFormat="false" ht="13.2" hidden="false" customHeight="false" outlineLevel="0" collapsed="false">
      <c r="A306" s="26"/>
      <c r="B306" s="26"/>
      <c r="C306" s="26"/>
      <c r="D306" s="26"/>
      <c r="E306" s="26"/>
      <c r="F306" s="26"/>
    </row>
    <row r="307" customFormat="false" ht="13.2" hidden="false" customHeight="false" outlineLevel="0" collapsed="false">
      <c r="A307" s="26"/>
      <c r="B307" s="26"/>
      <c r="C307" s="26"/>
      <c r="D307" s="26"/>
      <c r="E307" s="26"/>
      <c r="F307" s="26"/>
    </row>
    <row r="308" customFormat="false" ht="13.2" hidden="false" customHeight="false" outlineLevel="0" collapsed="false">
      <c r="A308" s="26"/>
      <c r="B308" s="26"/>
      <c r="C308" s="26"/>
      <c r="D308" s="26"/>
      <c r="E308" s="26"/>
      <c r="F308" s="26"/>
    </row>
    <row r="309" customFormat="false" ht="13.2" hidden="false" customHeight="false" outlineLevel="0" collapsed="false">
      <c r="A309" s="39" t="s">
        <v>34</v>
      </c>
      <c r="B309" s="39"/>
      <c r="C309" s="39"/>
      <c r="D309" s="39"/>
      <c r="E309" s="41" t="s">
        <v>29</v>
      </c>
      <c r="F309" s="41"/>
    </row>
    <row r="313" customFormat="false" ht="13.8" hidden="false" customHeight="false" outlineLevel="0" collapsed="false">
      <c r="A313" s="92" t="s">
        <v>0</v>
      </c>
      <c r="B313" s="111"/>
      <c r="C313" s="111"/>
      <c r="D313" s="111"/>
      <c r="E313" s="111"/>
      <c r="F313" s="16"/>
    </row>
    <row r="314" customFormat="false" ht="18.6" hidden="false" customHeight="true" outlineLevel="0" collapsed="false">
      <c r="A314" s="112" t="s">
        <v>189</v>
      </c>
      <c r="B314" s="112"/>
      <c r="C314" s="112"/>
      <c r="D314" s="112"/>
      <c r="E314" s="112"/>
      <c r="F314" s="43"/>
    </row>
    <row r="315" customFormat="false" ht="13.8" hidden="false" customHeight="true" outlineLevel="0" collapsed="false">
      <c r="A315" s="113" t="s">
        <v>2</v>
      </c>
      <c r="B315" s="113"/>
      <c r="C315" s="113"/>
      <c r="D315" s="113"/>
      <c r="E315" s="113"/>
      <c r="F315" s="44"/>
    </row>
    <row r="316" customFormat="false" ht="16.8" hidden="false" customHeight="false" outlineLevel="0" collapsed="false">
      <c r="A316" s="13" t="s">
        <v>3</v>
      </c>
      <c r="B316" s="14"/>
      <c r="C316" s="14"/>
      <c r="D316" s="46"/>
      <c r="E316" s="46" t="s">
        <v>4</v>
      </c>
      <c r="F316" s="66"/>
    </row>
    <row r="317" customFormat="false" ht="33.6" hidden="false" customHeight="false" outlineLevel="0" collapsed="false">
      <c r="A317" s="17" t="s">
        <v>5</v>
      </c>
      <c r="B317" s="17" t="s">
        <v>5</v>
      </c>
      <c r="C317" s="17" t="s">
        <v>190</v>
      </c>
      <c r="D317" s="17" t="s">
        <v>7</v>
      </c>
      <c r="E317" s="17" t="s">
        <v>8</v>
      </c>
      <c r="F317" s="1"/>
    </row>
    <row r="318" customFormat="false" ht="16.8" hidden="false" customHeight="false" outlineLevel="0" collapsed="false">
      <c r="A318" s="19" t="s">
        <v>9</v>
      </c>
      <c r="B318" s="20" t="n">
        <f aca="false">E278</f>
        <v>50</v>
      </c>
      <c r="C318" s="20" t="n">
        <v>40</v>
      </c>
      <c r="D318" s="20" t="n">
        <v>90</v>
      </c>
      <c r="E318" s="47" t="n">
        <f aca="false">B318+C318-D318</f>
        <v>0</v>
      </c>
      <c r="F318" s="1"/>
    </row>
    <row r="319" customFormat="false" ht="33.6" hidden="false" customHeight="false" outlineLevel="0" collapsed="false">
      <c r="A319" s="97" t="s">
        <v>159</v>
      </c>
      <c r="B319" s="20" t="n">
        <f aca="false">E279</f>
        <v>0</v>
      </c>
      <c r="C319" s="20"/>
      <c r="D319" s="20"/>
      <c r="E319" s="47" t="n">
        <f aca="false">B319+C319-D319</f>
        <v>0</v>
      </c>
      <c r="F319" s="1"/>
    </row>
    <row r="320" customFormat="false" ht="16.8" hidden="false" customHeight="false" outlineLevel="0" collapsed="false">
      <c r="A320" s="19" t="s">
        <v>10</v>
      </c>
      <c r="B320" s="20" t="n">
        <f aca="false">E280</f>
        <v>181723</v>
      </c>
      <c r="C320" s="20" t="n">
        <f aca="false">29552-C318</f>
        <v>29512</v>
      </c>
      <c r="D320" s="20" t="n">
        <v>211235</v>
      </c>
      <c r="E320" s="47" t="n">
        <f aca="false">B320+C320-D320</f>
        <v>0</v>
      </c>
      <c r="F320" s="45"/>
    </row>
    <row r="321" customFormat="false" ht="16.8" hidden="false" customHeight="false" outlineLevel="0" collapsed="false">
      <c r="A321" s="21" t="s">
        <v>11</v>
      </c>
      <c r="B321" s="22" t="n">
        <f aca="false">SUM(B318:B320)</f>
        <v>181773</v>
      </c>
      <c r="C321" s="22" t="n">
        <f aca="false">SUM(C318:C320)</f>
        <v>29552</v>
      </c>
      <c r="D321" s="22" t="n">
        <f aca="false">SUM(D318:D320)</f>
        <v>211325</v>
      </c>
      <c r="E321" s="22" t="n">
        <f aca="false">SUM(E318:E320)</f>
        <v>0</v>
      </c>
      <c r="F321" s="45"/>
    </row>
    <row r="322" customFormat="false" ht="16.8" hidden="false" customHeight="false" outlineLevel="0" collapsed="false">
      <c r="A322" s="64" t="s">
        <v>191</v>
      </c>
      <c r="B322" s="64"/>
      <c r="C322" s="64"/>
      <c r="D322" s="64"/>
      <c r="E322" s="64"/>
      <c r="F322" s="45"/>
    </row>
    <row r="323" customFormat="false" ht="16.8" hidden="false" customHeight="false" outlineLevel="0" collapsed="false">
      <c r="A323" s="77" t="s">
        <v>192</v>
      </c>
      <c r="B323" s="77"/>
      <c r="C323" s="77"/>
      <c r="D323" s="77"/>
      <c r="E323" s="77"/>
      <c r="F323" s="45"/>
    </row>
    <row r="324" customFormat="false" ht="16.8" hidden="false" customHeight="false" outlineLevel="0" collapsed="false">
      <c r="A324" s="13" t="s">
        <v>12</v>
      </c>
      <c r="B324" s="13"/>
      <c r="C324" s="13"/>
      <c r="D324" s="13"/>
      <c r="E324" s="24"/>
      <c r="F324" s="24"/>
    </row>
    <row r="325" customFormat="false" ht="16.8" hidden="false" customHeight="false" outlineLevel="0" collapsed="false">
      <c r="A325" s="13" t="s">
        <v>193</v>
      </c>
      <c r="B325" s="13"/>
      <c r="C325" s="13"/>
      <c r="D325" s="13"/>
      <c r="E325" s="24"/>
      <c r="F325" s="24"/>
    </row>
    <row r="326" customFormat="false" ht="67.2" hidden="false" customHeight="false" outlineLevel="0" collapsed="false">
      <c r="A326" s="25" t="s">
        <v>13</v>
      </c>
      <c r="B326" s="17" t="s">
        <v>187</v>
      </c>
      <c r="C326" s="17" t="s">
        <v>194</v>
      </c>
      <c r="D326" s="93" t="s">
        <v>138</v>
      </c>
      <c r="E326" s="73" t="s">
        <v>16</v>
      </c>
    </row>
    <row r="327" customFormat="false" ht="33.6" hidden="false" customHeight="false" outlineLevel="0" collapsed="false">
      <c r="A327" s="49" t="s">
        <v>49</v>
      </c>
      <c r="B327" s="50"/>
      <c r="C327" s="20"/>
      <c r="D327" s="20"/>
      <c r="E327" s="29"/>
    </row>
    <row r="328" customFormat="false" ht="16.8" hidden="false" customHeight="false" outlineLevel="0" collapsed="false">
      <c r="A328" s="49" t="s">
        <v>53</v>
      </c>
      <c r="B328" s="19" t="n">
        <v>38250</v>
      </c>
      <c r="C328" s="19" t="n">
        <v>23750</v>
      </c>
      <c r="D328" s="19"/>
      <c r="E328" s="51"/>
    </row>
    <row r="329" customFormat="false" ht="16.8" hidden="false" customHeight="false" outlineLevel="0" collapsed="false">
      <c r="A329" s="53" t="s">
        <v>18</v>
      </c>
      <c r="B329" s="20"/>
      <c r="C329" s="20"/>
      <c r="D329" s="20"/>
      <c r="E329" s="20"/>
    </row>
    <row r="330" customFormat="false" ht="16.8" hidden="false" customHeight="false" outlineLevel="0" collapsed="false">
      <c r="A330" s="30" t="s">
        <v>11</v>
      </c>
      <c r="B330" s="22" t="n">
        <f aca="false">SUM(B327:B329)</f>
        <v>38250</v>
      </c>
      <c r="C330" s="94" t="n">
        <f aca="false">SUM(C327:C329)</f>
        <v>23750</v>
      </c>
      <c r="D330" s="89"/>
      <c r="E330" s="89" t="n">
        <f aca="false">D321/(B330+C330)</f>
        <v>3.40846774193548</v>
      </c>
    </row>
    <row r="331" customFormat="false" ht="16.8" hidden="false" customHeight="false" outlineLevel="0" collapsed="false">
      <c r="A331" s="55"/>
      <c r="B331" s="56"/>
      <c r="C331" s="100"/>
      <c r="D331" s="100"/>
    </row>
    <row r="332" customFormat="false" ht="16.8" hidden="false" customHeight="false" outlineLevel="0" collapsed="false">
      <c r="A332" s="13" t="s">
        <v>20</v>
      </c>
      <c r="B332" s="1"/>
      <c r="C332" s="1"/>
      <c r="D332" s="1"/>
      <c r="E332" s="1"/>
      <c r="F332" s="1"/>
    </row>
    <row r="333" customFormat="false" ht="16.8" hidden="false" customHeight="false" outlineLevel="0" collapsed="false">
      <c r="A333" s="17" t="s">
        <v>13</v>
      </c>
      <c r="B333" s="17" t="s">
        <v>21</v>
      </c>
      <c r="C333" s="18"/>
      <c r="D333" s="18"/>
      <c r="E333" s="1"/>
      <c r="F333" s="18"/>
    </row>
    <row r="334" customFormat="false" ht="16.8" hidden="false" customHeight="false" outlineLevel="0" collapsed="false">
      <c r="A334" s="33" t="s">
        <v>22</v>
      </c>
      <c r="B334" s="34" t="n">
        <v>1050</v>
      </c>
      <c r="C334" s="1"/>
      <c r="D334" s="1"/>
      <c r="E334" s="39"/>
      <c r="F334" s="1"/>
    </row>
    <row r="335" customFormat="false" ht="16.8" hidden="false" customHeight="false" outlineLevel="0" collapsed="false">
      <c r="A335" s="33" t="s">
        <v>17</v>
      </c>
      <c r="B335" s="34" t="n">
        <v>119530</v>
      </c>
      <c r="C335" s="1"/>
      <c r="D335" s="1"/>
      <c r="E335" s="26"/>
      <c r="F335" s="1"/>
    </row>
    <row r="336" customFormat="false" ht="16.8" hidden="false" customHeight="false" outlineLevel="0" collapsed="false">
      <c r="A336" s="33" t="s">
        <v>18</v>
      </c>
      <c r="B336" s="34" t="n">
        <v>14250</v>
      </c>
      <c r="C336" s="1"/>
      <c r="D336" s="1"/>
      <c r="E336" s="26"/>
      <c r="F336" s="1"/>
    </row>
    <row r="337" customFormat="false" ht="16.8" hidden="false" customHeight="false" outlineLevel="0" collapsed="false">
      <c r="A337" s="25" t="s">
        <v>11</v>
      </c>
      <c r="B337" s="35" t="n">
        <f aca="false">SUM(B334:B336)</f>
        <v>134830</v>
      </c>
      <c r="C337" s="1"/>
      <c r="D337" s="1"/>
      <c r="E337" s="26"/>
      <c r="F337" s="1"/>
    </row>
    <row r="338" customFormat="false" ht="13.2" hidden="false" customHeight="false" outlineLevel="0" collapsed="false">
      <c r="A338" s="1"/>
      <c r="B338" s="1"/>
      <c r="C338" s="1"/>
      <c r="D338" s="1"/>
      <c r="E338" s="26"/>
      <c r="F338" s="1"/>
    </row>
    <row r="339" customFormat="false" ht="13.2" hidden="false" customHeight="false" outlineLevel="0" collapsed="false">
      <c r="A339" s="39" t="s">
        <v>23</v>
      </c>
      <c r="B339" s="39" t="s">
        <v>24</v>
      </c>
      <c r="C339" s="39" t="s">
        <v>25</v>
      </c>
      <c r="D339" s="39" t="s">
        <v>26</v>
      </c>
      <c r="E339" s="41" t="s">
        <v>27</v>
      </c>
      <c r="F339" s="41"/>
    </row>
    <row r="340" customFormat="false" ht="13.2" hidden="false" customHeight="false" outlineLevel="0" collapsed="false">
      <c r="A340" s="26"/>
      <c r="B340" s="26"/>
      <c r="C340" s="26"/>
      <c r="D340" s="26"/>
      <c r="E340" s="26"/>
      <c r="F340" s="26"/>
    </row>
    <row r="341" customFormat="false" ht="13.2" hidden="false" customHeight="false" outlineLevel="0" collapsed="false">
      <c r="A341" s="26"/>
      <c r="B341" s="26"/>
      <c r="C341" s="26"/>
      <c r="D341" s="26"/>
      <c r="E341" s="26"/>
      <c r="F341" s="26"/>
    </row>
    <row r="342" customFormat="false" ht="13.2" hidden="false" customHeight="false" outlineLevel="0" collapsed="false">
      <c r="A342" s="26"/>
      <c r="B342" s="26"/>
      <c r="C342" s="26"/>
      <c r="D342" s="26"/>
      <c r="E342" s="26"/>
      <c r="F342" s="26"/>
    </row>
    <row r="343" customFormat="false" ht="13.2" hidden="false" customHeight="false" outlineLevel="0" collapsed="false">
      <c r="A343" s="26"/>
      <c r="B343" s="26"/>
      <c r="C343" s="26"/>
      <c r="D343" s="26"/>
      <c r="E343" s="26"/>
      <c r="F343" s="26"/>
    </row>
    <row r="344" customFormat="false" ht="13.2" hidden="false" customHeight="false" outlineLevel="0" collapsed="false">
      <c r="A344" s="39" t="s">
        <v>34</v>
      </c>
      <c r="B344" s="39"/>
      <c r="C344" s="39"/>
      <c r="D344" s="39"/>
      <c r="E344" s="41" t="s">
        <v>29</v>
      </c>
      <c r="F344" s="41"/>
    </row>
    <row r="349" customFormat="false" ht="13.8" hidden="false" customHeight="false" outlineLevel="0" collapsed="false">
      <c r="A349" s="92" t="s">
        <v>0</v>
      </c>
      <c r="B349" s="16"/>
      <c r="C349" s="16"/>
      <c r="D349" s="16"/>
      <c r="E349" s="16"/>
      <c r="F349" s="16"/>
    </row>
    <row r="350" customFormat="false" ht="18.6" hidden="false" customHeight="true" outlineLevel="0" collapsed="false">
      <c r="A350" s="42" t="s">
        <v>195</v>
      </c>
      <c r="B350" s="42"/>
      <c r="C350" s="42"/>
      <c r="D350" s="42"/>
      <c r="E350" s="42"/>
      <c r="F350" s="114" t="s">
        <v>196</v>
      </c>
    </row>
    <row r="351" customFormat="false" ht="13.8" hidden="false" customHeight="true" outlineLevel="0" collapsed="false">
      <c r="A351" s="10" t="s">
        <v>2</v>
      </c>
      <c r="B351" s="10"/>
      <c r="C351" s="10"/>
      <c r="D351" s="10"/>
      <c r="E351" s="10"/>
      <c r="F351" s="44"/>
    </row>
    <row r="352" customFormat="false" ht="16.8" hidden="false" customHeight="false" outlineLevel="0" collapsed="false">
      <c r="A352" s="13" t="s">
        <v>3</v>
      </c>
      <c r="B352" s="14"/>
      <c r="C352" s="14"/>
      <c r="D352" s="46"/>
      <c r="E352" s="46" t="s">
        <v>4</v>
      </c>
      <c r="F352" s="66"/>
    </row>
    <row r="353" customFormat="false" ht="33.6" hidden="false" customHeight="false" outlineLevel="0" collapsed="false">
      <c r="A353" s="17" t="s">
        <v>5</v>
      </c>
      <c r="B353" s="17" t="s">
        <v>197</v>
      </c>
      <c r="C353" s="17" t="s">
        <v>190</v>
      </c>
      <c r="D353" s="17" t="s">
        <v>7</v>
      </c>
      <c r="E353" s="17" t="s">
        <v>8</v>
      </c>
      <c r="F353" s="1"/>
    </row>
    <row r="354" customFormat="false" ht="16.8" hidden="false" customHeight="false" outlineLevel="0" collapsed="false">
      <c r="A354" s="19" t="s">
        <v>9</v>
      </c>
      <c r="B354" s="20" t="n">
        <f aca="false">B278+C278</f>
        <v>55</v>
      </c>
      <c r="C354" s="20" t="n">
        <v>40</v>
      </c>
      <c r="D354" s="20" t="n">
        <v>95</v>
      </c>
      <c r="E354" s="47" t="n">
        <f aca="false">B354+C354-D354</f>
        <v>0</v>
      </c>
      <c r="F354" s="1"/>
    </row>
    <row r="355" customFormat="false" ht="33.6" hidden="false" customHeight="false" outlineLevel="0" collapsed="false">
      <c r="A355" s="97" t="s">
        <v>159</v>
      </c>
      <c r="B355" s="20" t="n">
        <f aca="false">B279+C279</f>
        <v>0</v>
      </c>
      <c r="C355" s="20"/>
      <c r="D355" s="20"/>
      <c r="E355" s="47" t="n">
        <f aca="false">B355+C355-D355</f>
        <v>0</v>
      </c>
      <c r="F355" s="1"/>
    </row>
    <row r="356" customFormat="false" ht="16.8" hidden="false" customHeight="false" outlineLevel="0" collapsed="false">
      <c r="A356" s="19" t="s">
        <v>10</v>
      </c>
      <c r="B356" s="20" t="n">
        <f aca="false">B280+C280</f>
        <v>348234</v>
      </c>
      <c r="C356" s="20" t="n">
        <f aca="false">29552-C354</f>
        <v>29512</v>
      </c>
      <c r="D356" s="20" t="n">
        <v>377746</v>
      </c>
      <c r="E356" s="47" t="n">
        <f aca="false">B356+C356-D356</f>
        <v>0</v>
      </c>
      <c r="F356" s="45"/>
    </row>
    <row r="357" customFormat="false" ht="16.8" hidden="false" customHeight="false" outlineLevel="0" collapsed="false">
      <c r="A357" s="21" t="s">
        <v>11</v>
      </c>
      <c r="B357" s="22" t="n">
        <f aca="false">SUM(B354:B356)</f>
        <v>348289</v>
      </c>
      <c r="C357" s="22" t="n">
        <f aca="false">SUM(C354:C356)</f>
        <v>29552</v>
      </c>
      <c r="D357" s="22" t="n">
        <f aca="false">SUM(D354:D356)</f>
        <v>377841</v>
      </c>
      <c r="E357" s="22" t="n">
        <f aca="false">SUM(E354:E356)</f>
        <v>0</v>
      </c>
      <c r="F357" s="45"/>
    </row>
    <row r="358" customFormat="false" ht="16.8" hidden="false" customHeight="false" outlineLevel="0" collapsed="false">
      <c r="A358" s="64" t="s">
        <v>191</v>
      </c>
      <c r="B358" s="64"/>
      <c r="C358" s="64"/>
      <c r="D358" s="64"/>
      <c r="E358" s="64"/>
      <c r="F358" s="45"/>
    </row>
    <row r="359" customFormat="false" ht="16.8" hidden="false" customHeight="false" outlineLevel="0" collapsed="false">
      <c r="A359" s="77"/>
      <c r="B359" s="77"/>
      <c r="C359" s="77"/>
      <c r="D359" s="77"/>
      <c r="E359" s="77"/>
      <c r="F359" s="45"/>
    </row>
    <row r="360" customFormat="false" ht="16.8" hidden="false" customHeight="false" outlineLevel="0" collapsed="false">
      <c r="A360" s="13" t="s">
        <v>12</v>
      </c>
      <c r="B360" s="13"/>
      <c r="C360" s="13"/>
      <c r="D360" s="13"/>
      <c r="E360" s="24"/>
      <c r="F360" s="24"/>
    </row>
    <row r="361" customFormat="false" ht="16.8" hidden="false" customHeight="false" outlineLevel="0" collapsed="false">
      <c r="A361" s="13" t="s">
        <v>198</v>
      </c>
      <c r="B361" s="13"/>
      <c r="C361" s="13"/>
      <c r="D361" s="13"/>
      <c r="E361" s="24"/>
      <c r="F361" s="24"/>
    </row>
    <row r="362" customFormat="false" ht="67.2" hidden="false" customHeight="false" outlineLevel="0" collapsed="false">
      <c r="A362" s="25" t="s">
        <v>13</v>
      </c>
      <c r="B362" s="17" t="s">
        <v>199</v>
      </c>
      <c r="C362" s="17" t="s">
        <v>194</v>
      </c>
      <c r="D362" s="93" t="s">
        <v>138</v>
      </c>
      <c r="E362" s="73" t="s">
        <v>16</v>
      </c>
    </row>
    <row r="363" customFormat="false" ht="33.6" hidden="false" customHeight="false" outlineLevel="0" collapsed="false">
      <c r="A363" s="49" t="s">
        <v>49</v>
      </c>
      <c r="B363" s="50" t="n">
        <f aca="false">B286</f>
        <v>1800</v>
      </c>
      <c r="C363" s="20"/>
      <c r="D363" s="20"/>
      <c r="E363" s="29"/>
    </row>
    <row r="364" customFormat="false" ht="16.8" hidden="false" customHeight="false" outlineLevel="0" collapsed="false">
      <c r="A364" s="49" t="s">
        <v>53</v>
      </c>
      <c r="B364" s="19" t="n">
        <f aca="false">B287+C287+B294</f>
        <v>89650</v>
      </c>
      <c r="C364" s="19" t="n">
        <v>23750</v>
      </c>
      <c r="D364" s="19"/>
      <c r="E364" s="51"/>
    </row>
    <row r="365" customFormat="false" ht="16.8" hidden="false" customHeight="false" outlineLevel="0" collapsed="false">
      <c r="A365" s="53" t="s">
        <v>18</v>
      </c>
      <c r="B365" s="20"/>
      <c r="C365" s="20"/>
      <c r="D365" s="20"/>
      <c r="E365" s="20"/>
    </row>
    <row r="366" customFormat="false" ht="16.8" hidden="false" customHeight="false" outlineLevel="0" collapsed="false">
      <c r="A366" s="30" t="s">
        <v>11</v>
      </c>
      <c r="B366" s="22" t="n">
        <f aca="false">SUM(B363:B365)</f>
        <v>91450</v>
      </c>
      <c r="C366" s="94" t="n">
        <f aca="false">SUM(C363:C365)</f>
        <v>23750</v>
      </c>
      <c r="D366" s="89"/>
      <c r="E366" s="89" t="n">
        <f aca="false">D357/(B366+C366)</f>
        <v>3.27986979166667</v>
      </c>
    </row>
    <row r="367" customFormat="false" ht="16.8" hidden="false" customHeight="false" outlineLevel="0" collapsed="false">
      <c r="A367" s="55"/>
      <c r="B367" s="56"/>
      <c r="C367" s="100"/>
      <c r="D367" s="100"/>
    </row>
    <row r="368" customFormat="false" ht="16.8" hidden="false" customHeight="false" outlineLevel="0" collapsed="false">
      <c r="A368" s="13" t="s">
        <v>20</v>
      </c>
      <c r="B368" s="1"/>
      <c r="C368" s="1"/>
      <c r="D368" s="1"/>
      <c r="E368" s="1"/>
      <c r="F368" s="1"/>
    </row>
    <row r="369" customFormat="false" ht="16.8" hidden="false" customHeight="false" outlineLevel="0" collapsed="false">
      <c r="A369" s="17" t="s">
        <v>13</v>
      </c>
      <c r="B369" s="17" t="s">
        <v>21</v>
      </c>
      <c r="C369" s="18"/>
      <c r="D369" s="18"/>
      <c r="E369" s="1"/>
      <c r="F369" s="18"/>
    </row>
    <row r="370" customFormat="false" ht="16.8" hidden="false" customHeight="false" outlineLevel="0" collapsed="false">
      <c r="A370" s="33" t="s">
        <v>22</v>
      </c>
      <c r="B370" s="34" t="n">
        <v>1050</v>
      </c>
      <c r="C370" s="1"/>
      <c r="D370" s="1"/>
      <c r="E370" s="39"/>
      <c r="F370" s="1"/>
    </row>
    <row r="371" customFormat="false" ht="16.8" hidden="false" customHeight="false" outlineLevel="0" collapsed="false">
      <c r="A371" s="33" t="s">
        <v>17</v>
      </c>
      <c r="B371" s="34" t="n">
        <v>119530</v>
      </c>
      <c r="C371" s="1"/>
      <c r="D371" s="1"/>
      <c r="E371" s="26"/>
      <c r="F371" s="1"/>
    </row>
    <row r="372" customFormat="false" ht="16.8" hidden="false" customHeight="false" outlineLevel="0" collapsed="false">
      <c r="A372" s="33" t="s">
        <v>18</v>
      </c>
      <c r="B372" s="34" t="n">
        <v>14250</v>
      </c>
      <c r="C372" s="1"/>
      <c r="D372" s="1"/>
      <c r="E372" s="26"/>
      <c r="F372" s="1"/>
    </row>
    <row r="373" customFormat="false" ht="16.8" hidden="false" customHeight="false" outlineLevel="0" collapsed="false">
      <c r="A373" s="25" t="s">
        <v>11</v>
      </c>
      <c r="B373" s="35" t="n">
        <f aca="false">SUM(B370:B372)</f>
        <v>134830</v>
      </c>
      <c r="C373" s="1"/>
      <c r="D373" s="1"/>
      <c r="E373" s="26"/>
      <c r="F373" s="1"/>
    </row>
    <row r="374" customFormat="false" ht="13.2" hidden="false" customHeight="false" outlineLevel="0" collapsed="false">
      <c r="A374" s="1"/>
      <c r="B374" s="1"/>
      <c r="C374" s="1"/>
      <c r="D374" s="1"/>
      <c r="E374" s="26"/>
      <c r="F374" s="1"/>
    </row>
    <row r="375" customFormat="false" ht="13.2" hidden="false" customHeight="false" outlineLevel="0" collapsed="false">
      <c r="A375" s="39" t="s">
        <v>23</v>
      </c>
      <c r="B375" s="39" t="s">
        <v>24</v>
      </c>
      <c r="C375" s="39" t="s">
        <v>25</v>
      </c>
      <c r="D375" s="39" t="s">
        <v>26</v>
      </c>
      <c r="E375" s="41" t="s">
        <v>27</v>
      </c>
      <c r="F375" s="41"/>
    </row>
    <row r="376" customFormat="false" ht="13.2" hidden="false" customHeight="false" outlineLevel="0" collapsed="false">
      <c r="A376" s="26"/>
      <c r="B376" s="26"/>
      <c r="C376" s="26"/>
      <c r="D376" s="26"/>
      <c r="E376" s="26"/>
      <c r="F376" s="26"/>
    </row>
    <row r="377" customFormat="false" ht="13.2" hidden="false" customHeight="false" outlineLevel="0" collapsed="false">
      <c r="A377" s="26"/>
      <c r="B377" s="26"/>
      <c r="C377" s="26"/>
      <c r="D377" s="26"/>
      <c r="E377" s="26"/>
      <c r="F377" s="26"/>
    </row>
    <row r="378" customFormat="false" ht="13.2" hidden="false" customHeight="false" outlineLevel="0" collapsed="false">
      <c r="A378" s="26"/>
      <c r="B378" s="26"/>
      <c r="C378" s="26"/>
      <c r="D378" s="26"/>
      <c r="E378" s="26"/>
      <c r="F378" s="26"/>
    </row>
    <row r="379" customFormat="false" ht="13.2" hidden="false" customHeight="false" outlineLevel="0" collapsed="false">
      <c r="A379" s="26"/>
      <c r="B379" s="26"/>
      <c r="C379" s="26"/>
      <c r="D379" s="26"/>
      <c r="E379" s="26"/>
      <c r="F379" s="26"/>
    </row>
    <row r="380" customFormat="false" ht="13.2" hidden="false" customHeight="false" outlineLevel="0" collapsed="false">
      <c r="A380" s="39" t="s">
        <v>34</v>
      </c>
      <c r="B380" s="39"/>
      <c r="C380" s="39"/>
      <c r="D380" s="39"/>
      <c r="E380" s="41" t="s">
        <v>29</v>
      </c>
      <c r="F380" s="41"/>
    </row>
    <row r="385" customFormat="false" ht="13.8" hidden="false" customHeight="false" outlineLevel="0" collapsed="false">
      <c r="A385" s="92" t="s">
        <v>0</v>
      </c>
      <c r="B385" s="111"/>
      <c r="C385" s="111"/>
      <c r="D385" s="111"/>
      <c r="E385" s="111"/>
      <c r="F385" s="16"/>
    </row>
    <row r="386" customFormat="false" ht="18.6" hidden="false" customHeight="true" outlineLevel="0" collapsed="false">
      <c r="A386" s="112" t="s">
        <v>200</v>
      </c>
      <c r="B386" s="112"/>
      <c r="C386" s="112"/>
      <c r="D386" s="112"/>
      <c r="E386" s="112"/>
      <c r="F386" s="43"/>
    </row>
    <row r="387" customFormat="false" ht="13.8" hidden="false" customHeight="true" outlineLevel="0" collapsed="false">
      <c r="A387" s="113" t="s">
        <v>2</v>
      </c>
      <c r="B387" s="113"/>
      <c r="C387" s="113"/>
      <c r="D387" s="113"/>
      <c r="E387" s="113"/>
      <c r="F387" s="44"/>
    </row>
    <row r="388" customFormat="false" ht="16.8" hidden="false" customHeight="false" outlineLevel="0" collapsed="false">
      <c r="A388" s="13" t="s">
        <v>3</v>
      </c>
      <c r="B388" s="14"/>
      <c r="C388" s="14"/>
      <c r="D388" s="46"/>
      <c r="E388" s="46" t="s">
        <v>4</v>
      </c>
      <c r="F388" s="66"/>
    </row>
    <row r="389" customFormat="false" ht="33.6" hidden="false" customHeight="false" outlineLevel="0" collapsed="false">
      <c r="A389" s="17" t="s">
        <v>5</v>
      </c>
      <c r="B389" s="17" t="s">
        <v>5</v>
      </c>
      <c r="C389" s="17" t="s">
        <v>201</v>
      </c>
      <c r="D389" s="17" t="s">
        <v>7</v>
      </c>
      <c r="E389" s="17" t="s">
        <v>8</v>
      </c>
      <c r="F389" s="1"/>
    </row>
    <row r="390" customFormat="false" ht="16.8" hidden="false" customHeight="false" outlineLevel="0" collapsed="false">
      <c r="A390" s="19" t="s">
        <v>9</v>
      </c>
      <c r="B390" s="20"/>
      <c r="C390" s="20" t="n">
        <v>140</v>
      </c>
      <c r="D390" s="20"/>
      <c r="E390" s="47" t="n">
        <f aca="false">B390+C390-D390</f>
        <v>140</v>
      </c>
      <c r="F390" s="1"/>
    </row>
    <row r="391" customFormat="false" ht="33.6" hidden="false" customHeight="false" outlineLevel="0" collapsed="false">
      <c r="A391" s="97" t="s">
        <v>159</v>
      </c>
      <c r="B391" s="20"/>
      <c r="C391" s="20" t="n">
        <v>8835</v>
      </c>
      <c r="D391" s="20"/>
      <c r="E391" s="47" t="n">
        <f aca="false">B391+C391-D391</f>
        <v>8835</v>
      </c>
      <c r="F391" s="1"/>
    </row>
    <row r="392" customFormat="false" ht="33.6" hidden="false" customHeight="false" outlineLevel="0" collapsed="false">
      <c r="A392" s="97" t="s">
        <v>202</v>
      </c>
      <c r="B392" s="20"/>
      <c r="C392" s="20" t="n">
        <v>905</v>
      </c>
      <c r="D392" s="20"/>
      <c r="E392" s="47" t="n">
        <f aca="false">B392+C392-D392</f>
        <v>905</v>
      </c>
      <c r="F392" s="1"/>
    </row>
    <row r="393" customFormat="false" ht="16.8" hidden="false" customHeight="false" outlineLevel="0" collapsed="false">
      <c r="A393" s="19" t="s">
        <v>10</v>
      </c>
      <c r="B393" s="20"/>
      <c r="C393" s="20" t="n">
        <f aca="false">221231-C390</f>
        <v>221091</v>
      </c>
      <c r="D393" s="20"/>
      <c r="E393" s="47" t="n">
        <f aca="false">B393+C393-D393</f>
        <v>221091</v>
      </c>
      <c r="F393" s="45"/>
    </row>
    <row r="394" customFormat="false" ht="16.8" hidden="false" customHeight="false" outlineLevel="0" collapsed="false">
      <c r="A394" s="21" t="s">
        <v>11</v>
      </c>
      <c r="B394" s="22" t="n">
        <f aca="false">SUM(B390:B393)</f>
        <v>0</v>
      </c>
      <c r="C394" s="22" t="n">
        <f aca="false">SUM(C390:C393)</f>
        <v>230971</v>
      </c>
      <c r="D394" s="22" t="n">
        <f aca="false">SUM(D390:D393)</f>
        <v>0</v>
      </c>
      <c r="E394" s="22" t="n">
        <f aca="false">SUM(E390:E393)</f>
        <v>230971</v>
      </c>
      <c r="F394" s="45"/>
    </row>
    <row r="395" customFormat="false" ht="16.8" hidden="false" customHeight="false" outlineLevel="0" collapsed="false">
      <c r="A395" s="77" t="s">
        <v>203</v>
      </c>
      <c r="B395" s="77"/>
      <c r="C395" s="77"/>
      <c r="D395" s="77"/>
      <c r="E395" s="77"/>
      <c r="F395" s="45"/>
    </row>
    <row r="396" customFormat="false" ht="16.8" hidden="false" customHeight="false" outlineLevel="0" collapsed="false">
      <c r="A396" s="13" t="s">
        <v>12</v>
      </c>
      <c r="B396" s="13"/>
      <c r="C396" s="13"/>
      <c r="D396" s="13"/>
      <c r="E396" s="24"/>
      <c r="F396" s="24"/>
    </row>
    <row r="397" customFormat="false" ht="67.2" hidden="false" customHeight="false" outlineLevel="0" collapsed="false">
      <c r="A397" s="25" t="s">
        <v>13</v>
      </c>
      <c r="B397" s="17" t="s">
        <v>204</v>
      </c>
      <c r="C397" s="93" t="s">
        <v>138</v>
      </c>
      <c r="D397" s="73" t="s">
        <v>16</v>
      </c>
    </row>
    <row r="398" customFormat="false" ht="33.6" hidden="false" customHeight="false" outlineLevel="0" collapsed="false">
      <c r="A398" s="49" t="s">
        <v>49</v>
      </c>
      <c r="B398" s="50" t="n">
        <f aca="false">700</f>
        <v>700</v>
      </c>
      <c r="C398" s="20"/>
      <c r="D398" s="29"/>
    </row>
    <row r="399" customFormat="false" ht="16.8" hidden="false" customHeight="false" outlineLevel="0" collapsed="false">
      <c r="A399" s="49" t="s">
        <v>53</v>
      </c>
      <c r="B399" s="19" t="n">
        <f aca="false">53300+1100</f>
        <v>54400</v>
      </c>
      <c r="C399" s="19"/>
      <c r="D399" s="51"/>
    </row>
    <row r="400" customFormat="false" ht="16.8" hidden="false" customHeight="false" outlineLevel="0" collapsed="false">
      <c r="A400" s="53" t="s">
        <v>18</v>
      </c>
      <c r="B400" s="20"/>
      <c r="C400" s="20"/>
      <c r="D400" s="20"/>
    </row>
    <row r="401" customFormat="false" ht="16.8" hidden="false" customHeight="false" outlineLevel="0" collapsed="false">
      <c r="A401" s="30" t="s">
        <v>11</v>
      </c>
      <c r="B401" s="22" t="n">
        <f aca="false">SUM(B398:B400)</f>
        <v>55100</v>
      </c>
      <c r="C401" s="89"/>
      <c r="D401" s="115"/>
    </row>
    <row r="402" customFormat="false" ht="16.8" hidden="false" customHeight="false" outlineLevel="0" collapsed="false">
      <c r="A402" s="55"/>
      <c r="B402" s="56"/>
      <c r="C402" s="100"/>
    </row>
    <row r="403" customFormat="false" ht="16.8" hidden="false" customHeight="false" outlineLevel="0" collapsed="false">
      <c r="A403" s="13" t="s">
        <v>20</v>
      </c>
      <c r="B403" s="1"/>
      <c r="C403" s="1"/>
      <c r="D403" s="1"/>
      <c r="E403" s="1"/>
      <c r="F403" s="1"/>
    </row>
    <row r="404" customFormat="false" ht="16.8" hidden="false" customHeight="false" outlineLevel="0" collapsed="false">
      <c r="A404" s="17" t="s">
        <v>13</v>
      </c>
      <c r="B404" s="17" t="s">
        <v>21</v>
      </c>
      <c r="C404" s="18"/>
      <c r="D404" s="18"/>
      <c r="E404" s="1"/>
      <c r="F404" s="18"/>
    </row>
    <row r="405" customFormat="false" ht="16.8" hidden="false" customHeight="false" outlineLevel="0" collapsed="false">
      <c r="A405" s="33" t="s">
        <v>22</v>
      </c>
      <c r="B405" s="34" t="n">
        <v>700</v>
      </c>
      <c r="C405" s="1"/>
      <c r="D405" s="1"/>
      <c r="E405" s="39"/>
      <c r="F405" s="1"/>
    </row>
    <row r="406" customFormat="false" ht="16.8" hidden="false" customHeight="false" outlineLevel="0" collapsed="false">
      <c r="A406" s="33" t="s">
        <v>17</v>
      </c>
      <c r="B406" s="34" t="n">
        <f aca="false">189930-B405-B407</f>
        <v>174980</v>
      </c>
      <c r="C406" s="1"/>
      <c r="D406" s="1"/>
      <c r="E406" s="26"/>
      <c r="F406" s="1"/>
    </row>
    <row r="407" customFormat="false" ht="16.8" hidden="false" customHeight="false" outlineLevel="0" collapsed="false">
      <c r="A407" s="33" t="s">
        <v>18</v>
      </c>
      <c r="B407" s="34" t="n">
        <v>14250</v>
      </c>
      <c r="C407" s="1"/>
      <c r="D407" s="1"/>
      <c r="E407" s="26"/>
      <c r="F407" s="1"/>
    </row>
    <row r="408" customFormat="false" ht="16.8" hidden="false" customHeight="false" outlineLevel="0" collapsed="false">
      <c r="A408" s="25" t="s">
        <v>11</v>
      </c>
      <c r="B408" s="35" t="n">
        <f aca="false">SUM(B405:B407)</f>
        <v>189930</v>
      </c>
      <c r="C408" s="1"/>
      <c r="D408" s="1"/>
      <c r="E408" s="26"/>
      <c r="F408" s="1"/>
    </row>
    <row r="409" customFormat="false" ht="13.2" hidden="false" customHeight="false" outlineLevel="0" collapsed="false">
      <c r="A409" s="1"/>
      <c r="B409" s="1"/>
      <c r="C409" s="1"/>
      <c r="D409" s="1"/>
      <c r="E409" s="26"/>
      <c r="F409" s="1"/>
    </row>
    <row r="410" customFormat="false" ht="13.2" hidden="false" customHeight="false" outlineLevel="0" collapsed="false">
      <c r="A410" s="39" t="s">
        <v>23</v>
      </c>
      <c r="B410" s="39" t="s">
        <v>24</v>
      </c>
      <c r="C410" s="39" t="s">
        <v>25</v>
      </c>
      <c r="D410" s="39" t="s">
        <v>26</v>
      </c>
      <c r="E410" s="41" t="s">
        <v>27</v>
      </c>
      <c r="F410" s="41"/>
    </row>
    <row r="411" customFormat="false" ht="13.2" hidden="false" customHeight="false" outlineLevel="0" collapsed="false">
      <c r="A411" s="26"/>
      <c r="B411" s="26"/>
      <c r="C411" s="26"/>
      <c r="D411" s="26"/>
      <c r="E411" s="26"/>
      <c r="F411" s="26"/>
    </row>
    <row r="412" customFormat="false" ht="13.2" hidden="false" customHeight="false" outlineLevel="0" collapsed="false">
      <c r="A412" s="26"/>
      <c r="B412" s="26"/>
      <c r="C412" s="26"/>
      <c r="D412" s="26"/>
      <c r="E412" s="26"/>
      <c r="F412" s="26"/>
    </row>
    <row r="413" customFormat="false" ht="13.2" hidden="false" customHeight="false" outlineLevel="0" collapsed="false">
      <c r="A413" s="26"/>
      <c r="B413" s="26"/>
      <c r="C413" s="26"/>
      <c r="D413" s="26"/>
      <c r="E413" s="26"/>
      <c r="F413" s="26"/>
    </row>
    <row r="414" customFormat="false" ht="13.2" hidden="false" customHeight="false" outlineLevel="0" collapsed="false">
      <c r="A414" s="26"/>
      <c r="B414" s="26"/>
      <c r="C414" s="26"/>
      <c r="D414" s="26"/>
      <c r="E414" s="26"/>
      <c r="F414" s="26"/>
    </row>
    <row r="415" customFormat="false" ht="13.2" hidden="false" customHeight="false" outlineLevel="0" collapsed="false">
      <c r="A415" s="39" t="s">
        <v>34</v>
      </c>
      <c r="B415" s="39"/>
      <c r="C415" s="39"/>
      <c r="D415" s="39"/>
      <c r="E415" s="41" t="s">
        <v>29</v>
      </c>
      <c r="F415" s="41"/>
    </row>
    <row r="420" customFormat="false" ht="13.8" hidden="false" customHeight="false" outlineLevel="0" collapsed="false">
      <c r="A420" s="92" t="s">
        <v>0</v>
      </c>
      <c r="B420" s="111"/>
      <c r="C420" s="111"/>
      <c r="D420" s="111"/>
      <c r="E420" s="111"/>
      <c r="F420" s="16"/>
    </row>
    <row r="421" customFormat="false" ht="18.6" hidden="false" customHeight="true" outlineLevel="0" collapsed="false">
      <c r="A421" s="112" t="s">
        <v>205</v>
      </c>
      <c r="B421" s="112"/>
      <c r="C421" s="112"/>
      <c r="D421" s="112"/>
      <c r="E421" s="112"/>
      <c r="F421" s="43"/>
    </row>
    <row r="422" customFormat="false" ht="13.8" hidden="false" customHeight="true" outlineLevel="0" collapsed="false">
      <c r="A422" s="113" t="s">
        <v>2</v>
      </c>
      <c r="B422" s="113"/>
      <c r="C422" s="113"/>
      <c r="D422" s="113"/>
      <c r="E422" s="113"/>
      <c r="F422" s="44"/>
    </row>
    <row r="423" customFormat="false" ht="16.8" hidden="false" customHeight="false" outlineLevel="0" collapsed="false">
      <c r="A423" s="13" t="s">
        <v>3</v>
      </c>
      <c r="B423" s="14"/>
      <c r="C423" s="14"/>
      <c r="D423" s="46"/>
      <c r="E423" s="46" t="s">
        <v>4</v>
      </c>
      <c r="F423" s="66"/>
    </row>
    <row r="424" customFormat="false" ht="33.6" hidden="false" customHeight="false" outlineLevel="0" collapsed="false">
      <c r="A424" s="17" t="s">
        <v>5</v>
      </c>
      <c r="B424" s="17" t="s">
        <v>5</v>
      </c>
      <c r="C424" s="17" t="s">
        <v>206</v>
      </c>
      <c r="D424" s="17" t="s">
        <v>7</v>
      </c>
      <c r="E424" s="17" t="s">
        <v>8</v>
      </c>
      <c r="F424" s="1"/>
    </row>
    <row r="425" customFormat="false" ht="16.8" hidden="false" customHeight="false" outlineLevel="0" collapsed="false">
      <c r="A425" s="19" t="s">
        <v>9</v>
      </c>
      <c r="B425" s="20" t="n">
        <f aca="false">E390</f>
        <v>140</v>
      </c>
      <c r="C425" s="20" t="n">
        <v>415</v>
      </c>
      <c r="D425" s="20" t="n">
        <v>555</v>
      </c>
      <c r="E425" s="47" t="n">
        <f aca="false">B425+C425-D425</f>
        <v>0</v>
      </c>
      <c r="F425" s="1"/>
    </row>
    <row r="426" customFormat="false" ht="33.6" hidden="false" customHeight="false" outlineLevel="0" collapsed="false">
      <c r="A426" s="97" t="s">
        <v>159</v>
      </c>
      <c r="B426" s="20" t="n">
        <f aca="false">E391</f>
        <v>8835</v>
      </c>
      <c r="C426" s="20"/>
      <c r="D426" s="20" t="n">
        <v>8835</v>
      </c>
      <c r="E426" s="47" t="n">
        <f aca="false">B426+C426-D426</f>
        <v>0</v>
      </c>
      <c r="F426" s="1"/>
    </row>
    <row r="427" customFormat="false" ht="33.6" hidden="false" customHeight="false" outlineLevel="0" collapsed="false">
      <c r="A427" s="97" t="s">
        <v>202</v>
      </c>
      <c r="B427" s="20" t="n">
        <f aca="false">E392</f>
        <v>905</v>
      </c>
      <c r="C427" s="20"/>
      <c r="D427" s="20" t="n">
        <v>905</v>
      </c>
      <c r="E427" s="47"/>
      <c r="F427" s="1"/>
    </row>
    <row r="428" customFormat="false" ht="16.8" hidden="false" customHeight="false" outlineLevel="0" collapsed="false">
      <c r="A428" s="19" t="s">
        <v>10</v>
      </c>
      <c r="B428" s="20" t="n">
        <f aca="false">E393</f>
        <v>221091</v>
      </c>
      <c r="C428" s="20" t="n">
        <f aca="false">139332-C425</f>
        <v>138917</v>
      </c>
      <c r="D428" s="20" t="n">
        <v>360008</v>
      </c>
      <c r="E428" s="47" t="n">
        <f aca="false">B428+C428-D428</f>
        <v>0</v>
      </c>
      <c r="F428" s="45"/>
    </row>
    <row r="429" customFormat="false" ht="16.8" hidden="false" customHeight="false" outlineLevel="0" collapsed="false">
      <c r="A429" s="21" t="s">
        <v>11</v>
      </c>
      <c r="B429" s="22" t="n">
        <f aca="false">SUM(B425:B428)</f>
        <v>230971</v>
      </c>
      <c r="C429" s="22" t="n">
        <f aca="false">SUM(C425:C428)</f>
        <v>139332</v>
      </c>
      <c r="D429" s="22" t="n">
        <f aca="false">SUM(D425:D428)</f>
        <v>370303</v>
      </c>
      <c r="E429" s="22" t="n">
        <f aca="false">SUM(E425:E428)</f>
        <v>0</v>
      </c>
      <c r="F429" s="45"/>
    </row>
    <row r="430" customFormat="false" ht="16.8" hidden="false" customHeight="false" outlineLevel="0" collapsed="false">
      <c r="A430" s="77" t="s">
        <v>163</v>
      </c>
      <c r="B430" s="77"/>
      <c r="C430" s="77"/>
      <c r="D430" s="77"/>
      <c r="E430" s="77"/>
      <c r="F430" s="45"/>
    </row>
    <row r="431" customFormat="false" ht="16.8" hidden="false" customHeight="false" outlineLevel="0" collapsed="false">
      <c r="A431" s="13" t="s">
        <v>12</v>
      </c>
      <c r="B431" s="13"/>
      <c r="C431" s="13"/>
      <c r="D431" s="13"/>
      <c r="E431" s="24"/>
      <c r="F431" s="24"/>
    </row>
    <row r="432" customFormat="false" ht="67.2" hidden="false" customHeight="false" outlineLevel="0" collapsed="false">
      <c r="A432" s="25" t="s">
        <v>13</v>
      </c>
      <c r="B432" s="17" t="s">
        <v>204</v>
      </c>
      <c r="C432" s="17" t="s">
        <v>207</v>
      </c>
      <c r="D432" s="93" t="s">
        <v>138</v>
      </c>
      <c r="E432" s="73" t="s">
        <v>16</v>
      </c>
    </row>
    <row r="433" customFormat="false" ht="33.6" hidden="false" customHeight="false" outlineLevel="0" collapsed="false">
      <c r="A433" s="49" t="s">
        <v>49</v>
      </c>
      <c r="B433" s="50" t="n">
        <f aca="false">B398</f>
        <v>700</v>
      </c>
      <c r="C433" s="20" t="n">
        <v>750</v>
      </c>
      <c r="D433" s="20"/>
      <c r="E433" s="29"/>
    </row>
    <row r="434" customFormat="false" ht="16.8" hidden="false" customHeight="false" outlineLevel="0" collapsed="false">
      <c r="A434" s="49" t="s">
        <v>53</v>
      </c>
      <c r="B434" s="50" t="n">
        <f aca="false">B399</f>
        <v>54400</v>
      </c>
      <c r="C434" s="19" t="n">
        <f aca="false">58220+1200</f>
        <v>59420</v>
      </c>
      <c r="D434" s="19"/>
      <c r="E434" s="51"/>
    </row>
    <row r="435" customFormat="false" ht="16.8" hidden="false" customHeight="false" outlineLevel="0" collapsed="false">
      <c r="A435" s="53" t="s">
        <v>18</v>
      </c>
      <c r="B435" s="50" t="n">
        <f aca="false">B400</f>
        <v>0</v>
      </c>
      <c r="C435" s="20"/>
      <c r="D435" s="20"/>
      <c r="E435" s="20"/>
    </row>
    <row r="436" customFormat="false" ht="16.8" hidden="false" customHeight="false" outlineLevel="0" collapsed="false">
      <c r="A436" s="30" t="s">
        <v>11</v>
      </c>
      <c r="B436" s="22" t="n">
        <f aca="false">SUM(B433:B435)</f>
        <v>55100</v>
      </c>
      <c r="C436" s="94" t="n">
        <f aca="false">SUM(C433:C435)</f>
        <v>60170</v>
      </c>
      <c r="D436" s="89"/>
      <c r="E436" s="89" t="n">
        <f aca="false">D429/(B436+C436)</f>
        <v>3.21248373384228</v>
      </c>
    </row>
    <row r="437" customFormat="false" ht="16.8" hidden="false" customHeight="false" outlineLevel="0" collapsed="false">
      <c r="A437" s="55"/>
      <c r="B437" s="56"/>
      <c r="C437" s="100"/>
    </row>
    <row r="438" customFormat="false" ht="16.8" hidden="false" customHeight="false" outlineLevel="0" collapsed="false">
      <c r="A438" s="13" t="s">
        <v>20</v>
      </c>
      <c r="B438" s="1"/>
      <c r="C438" s="1"/>
      <c r="D438" s="1"/>
      <c r="E438" s="1"/>
      <c r="F438" s="1"/>
    </row>
    <row r="439" customFormat="false" ht="16.8" hidden="false" customHeight="false" outlineLevel="0" collapsed="false">
      <c r="A439" s="17" t="s">
        <v>13</v>
      </c>
      <c r="B439" s="17" t="s">
        <v>21</v>
      </c>
      <c r="C439" s="18"/>
      <c r="D439" s="18"/>
      <c r="E439" s="1"/>
      <c r="F439" s="18"/>
    </row>
    <row r="440" customFormat="false" ht="16.8" hidden="false" customHeight="false" outlineLevel="0" collapsed="false">
      <c r="A440" s="33" t="s">
        <v>22</v>
      </c>
      <c r="B440" s="34" t="n">
        <v>1450</v>
      </c>
      <c r="C440" s="1"/>
      <c r="D440" s="1"/>
      <c r="E440" s="39"/>
      <c r="F440" s="1"/>
    </row>
    <row r="441" customFormat="false" ht="16.8" hidden="false" customHeight="false" outlineLevel="0" collapsed="false">
      <c r="A441" s="33" t="s">
        <v>17</v>
      </c>
      <c r="B441" s="34" t="n">
        <f aca="false">250100-B440-B442</f>
        <v>234400</v>
      </c>
      <c r="C441" s="1"/>
      <c r="D441" s="1"/>
      <c r="E441" s="26"/>
      <c r="F441" s="1"/>
    </row>
    <row r="442" customFormat="false" ht="16.8" hidden="false" customHeight="false" outlineLevel="0" collapsed="false">
      <c r="A442" s="33" t="s">
        <v>18</v>
      </c>
      <c r="B442" s="34" t="n">
        <v>14250</v>
      </c>
      <c r="C442" s="1"/>
      <c r="D442" s="1"/>
      <c r="E442" s="26"/>
      <c r="F442" s="1"/>
    </row>
    <row r="443" customFormat="false" ht="16.8" hidden="false" customHeight="false" outlineLevel="0" collapsed="false">
      <c r="A443" s="25" t="s">
        <v>11</v>
      </c>
      <c r="B443" s="35" t="n">
        <f aca="false">SUM(B440:B442)</f>
        <v>250100</v>
      </c>
      <c r="C443" s="1"/>
      <c r="D443" s="1"/>
      <c r="E443" s="26"/>
      <c r="F443" s="1"/>
    </row>
    <row r="444" customFormat="false" ht="13.2" hidden="false" customHeight="false" outlineLevel="0" collapsed="false">
      <c r="A444" s="1"/>
      <c r="B444" s="1"/>
      <c r="C444" s="1"/>
      <c r="D444" s="1"/>
      <c r="E444" s="26"/>
      <c r="F444" s="1"/>
    </row>
    <row r="445" customFormat="false" ht="13.2" hidden="false" customHeight="false" outlineLevel="0" collapsed="false">
      <c r="A445" s="39" t="s">
        <v>23</v>
      </c>
      <c r="B445" s="39" t="s">
        <v>24</v>
      </c>
      <c r="C445" s="39" t="s">
        <v>25</v>
      </c>
      <c r="D445" s="39" t="s">
        <v>26</v>
      </c>
      <c r="E445" s="41" t="s">
        <v>27</v>
      </c>
      <c r="F445" s="41"/>
    </row>
    <row r="446" customFormat="false" ht="13.2" hidden="false" customHeight="false" outlineLevel="0" collapsed="false">
      <c r="A446" s="26"/>
      <c r="B446" s="26"/>
      <c r="C446" s="26"/>
      <c r="D446" s="26"/>
      <c r="E446" s="26"/>
      <c r="F446" s="26"/>
    </row>
    <row r="447" customFormat="false" ht="13.2" hidden="false" customHeight="false" outlineLevel="0" collapsed="false">
      <c r="A447" s="26"/>
      <c r="B447" s="26"/>
      <c r="C447" s="26"/>
      <c r="D447" s="26"/>
      <c r="E447" s="26"/>
      <c r="F447" s="26"/>
    </row>
    <row r="448" customFormat="false" ht="13.2" hidden="false" customHeight="false" outlineLevel="0" collapsed="false">
      <c r="A448" s="26"/>
      <c r="B448" s="26"/>
      <c r="C448" s="26"/>
      <c r="D448" s="26"/>
      <c r="E448" s="26"/>
      <c r="F448" s="26"/>
    </row>
    <row r="449" customFormat="false" ht="13.2" hidden="false" customHeight="false" outlineLevel="0" collapsed="false">
      <c r="A449" s="26"/>
      <c r="B449" s="26"/>
      <c r="C449" s="26"/>
      <c r="D449" s="26"/>
      <c r="E449" s="26"/>
      <c r="F449" s="26"/>
    </row>
    <row r="450" customFormat="false" ht="13.2" hidden="false" customHeight="false" outlineLevel="0" collapsed="false">
      <c r="A450" s="39" t="s">
        <v>34</v>
      </c>
      <c r="B450" s="39"/>
      <c r="C450" s="39"/>
      <c r="D450" s="39"/>
      <c r="E450" s="41" t="s">
        <v>29</v>
      </c>
      <c r="F450" s="41"/>
    </row>
    <row r="453" customFormat="false" ht="13.8" hidden="false" customHeight="false" outlineLevel="0" collapsed="false">
      <c r="A453" s="116" t="s">
        <v>0</v>
      </c>
      <c r="B453" s="117"/>
      <c r="C453" s="117"/>
      <c r="D453" s="117"/>
      <c r="E453" s="117"/>
      <c r="F453" s="16"/>
    </row>
    <row r="454" customFormat="false" ht="18.6" hidden="false" customHeight="true" outlineLevel="0" collapsed="false">
      <c r="A454" s="118" t="s">
        <v>208</v>
      </c>
      <c r="B454" s="118"/>
      <c r="C454" s="118"/>
      <c r="D454" s="118"/>
      <c r="E454" s="118"/>
      <c r="F454" s="43"/>
    </row>
    <row r="455" customFormat="false" ht="13.8" hidden="false" customHeight="true" outlineLevel="0" collapsed="false">
      <c r="A455" s="119" t="s">
        <v>2</v>
      </c>
      <c r="B455" s="119"/>
      <c r="C455" s="119"/>
      <c r="D455" s="119"/>
      <c r="E455" s="119"/>
      <c r="F455" s="44"/>
    </row>
    <row r="456" customFormat="false" ht="16.8" hidden="false" customHeight="false" outlineLevel="0" collapsed="false">
      <c r="A456" s="13" t="s">
        <v>3</v>
      </c>
      <c r="B456" s="14"/>
      <c r="C456" s="14"/>
      <c r="D456" s="46"/>
      <c r="E456" s="46" t="s">
        <v>4</v>
      </c>
      <c r="F456" s="66"/>
    </row>
    <row r="457" customFormat="false" ht="33.6" hidden="false" customHeight="false" outlineLevel="0" collapsed="false">
      <c r="A457" s="17" t="s">
        <v>5</v>
      </c>
      <c r="B457" s="17" t="s">
        <v>5</v>
      </c>
      <c r="C457" s="17" t="s">
        <v>209</v>
      </c>
      <c r="D457" s="17" t="s">
        <v>7</v>
      </c>
      <c r="E457" s="17" t="s">
        <v>8</v>
      </c>
      <c r="F457" s="1"/>
    </row>
    <row r="458" customFormat="false" ht="16.8" hidden="false" customHeight="false" outlineLevel="0" collapsed="false">
      <c r="A458" s="19" t="s">
        <v>9</v>
      </c>
      <c r="B458" s="20"/>
      <c r="C458" s="20" t="n">
        <v>315</v>
      </c>
      <c r="D458" s="20" t="n">
        <v>315</v>
      </c>
      <c r="E458" s="47" t="n">
        <f aca="false">B458+C458-D458</f>
        <v>0</v>
      </c>
      <c r="F458" s="1"/>
    </row>
    <row r="459" customFormat="false" ht="33.6" hidden="false" customHeight="false" outlineLevel="0" collapsed="false">
      <c r="A459" s="97" t="s">
        <v>159</v>
      </c>
      <c r="B459" s="20"/>
      <c r="C459" s="20"/>
      <c r="D459" s="20"/>
      <c r="E459" s="47" t="n">
        <f aca="false">B459+C459-D459</f>
        <v>0</v>
      </c>
      <c r="F459" s="1"/>
    </row>
    <row r="460" customFormat="false" ht="33.6" hidden="false" customHeight="false" outlineLevel="0" collapsed="false">
      <c r="A460" s="97" t="s">
        <v>202</v>
      </c>
      <c r="B460" s="20"/>
      <c r="C460" s="20"/>
      <c r="D460" s="20"/>
      <c r="E460" s="47"/>
      <c r="F460" s="1"/>
    </row>
    <row r="461" customFormat="false" ht="16.8" hidden="false" customHeight="false" outlineLevel="0" collapsed="false">
      <c r="A461" s="19" t="s">
        <v>10</v>
      </c>
      <c r="B461" s="20"/>
      <c r="C461" s="20" t="n">
        <f aca="false">127453-C458</f>
        <v>127138</v>
      </c>
      <c r="D461" s="20" t="n">
        <v>127138</v>
      </c>
      <c r="E461" s="47" t="n">
        <f aca="false">B461+C461-D461</f>
        <v>0</v>
      </c>
      <c r="F461" s="45"/>
    </row>
    <row r="462" customFormat="false" ht="16.8" hidden="false" customHeight="false" outlineLevel="0" collapsed="false">
      <c r="A462" s="21" t="s">
        <v>11</v>
      </c>
      <c r="B462" s="22" t="n">
        <f aca="false">SUM(B458:B461)</f>
        <v>0</v>
      </c>
      <c r="C462" s="22" t="n">
        <f aca="false">SUM(C458:C461)</f>
        <v>127453</v>
      </c>
      <c r="D462" s="22" t="n">
        <f aca="false">SUM(D458:D461)</f>
        <v>127453</v>
      </c>
      <c r="E462" s="22" t="n">
        <f aca="false">SUM(E458:E461)</f>
        <v>0</v>
      </c>
      <c r="F462" s="45"/>
    </row>
    <row r="463" customFormat="false" ht="16.8" hidden="false" customHeight="false" outlineLevel="0" collapsed="false">
      <c r="A463" s="77" t="s">
        <v>163</v>
      </c>
      <c r="B463" s="77"/>
      <c r="C463" s="77"/>
      <c r="D463" s="77"/>
      <c r="E463" s="77"/>
      <c r="F463" s="45"/>
    </row>
    <row r="464" customFormat="false" ht="16.8" hidden="false" customHeight="false" outlineLevel="0" collapsed="false">
      <c r="A464" s="77" t="s">
        <v>210</v>
      </c>
      <c r="B464" s="77"/>
      <c r="C464" s="77"/>
      <c r="D464" s="77"/>
      <c r="E464" s="77"/>
      <c r="F464" s="45"/>
    </row>
    <row r="465" customFormat="false" ht="16.8" hidden="false" customHeight="false" outlineLevel="0" collapsed="false">
      <c r="A465" s="13" t="s">
        <v>12</v>
      </c>
      <c r="B465" s="13"/>
      <c r="C465" s="13"/>
      <c r="D465" s="13"/>
      <c r="E465" s="24"/>
      <c r="F465" s="24"/>
    </row>
    <row r="466" customFormat="false" ht="67.2" hidden="false" customHeight="false" outlineLevel="0" collapsed="false">
      <c r="A466" s="25" t="s">
        <v>13</v>
      </c>
      <c r="B466" s="17" t="s">
        <v>211</v>
      </c>
      <c r="C466" s="93" t="s">
        <v>138</v>
      </c>
      <c r="D466" s="73" t="s">
        <v>16</v>
      </c>
    </row>
    <row r="467" customFormat="false" ht="33.6" hidden="false" customHeight="false" outlineLevel="0" collapsed="false">
      <c r="A467" s="49" t="s">
        <v>49</v>
      </c>
      <c r="B467" s="50"/>
      <c r="C467" s="20"/>
      <c r="D467" s="29"/>
    </row>
    <row r="468" customFormat="false" ht="16.8" hidden="false" customHeight="false" outlineLevel="0" collapsed="false">
      <c r="A468" s="49" t="s">
        <v>53</v>
      </c>
      <c r="B468" s="50" t="n">
        <v>37090</v>
      </c>
      <c r="C468" s="19"/>
      <c r="D468" s="51"/>
    </row>
    <row r="469" customFormat="false" ht="16.8" hidden="false" customHeight="false" outlineLevel="0" collapsed="false">
      <c r="A469" s="53" t="s">
        <v>18</v>
      </c>
      <c r="B469" s="50"/>
      <c r="C469" s="20"/>
      <c r="D469" s="20"/>
    </row>
    <row r="470" customFormat="false" ht="16.8" hidden="false" customHeight="false" outlineLevel="0" collapsed="false">
      <c r="A470" s="30" t="s">
        <v>11</v>
      </c>
      <c r="B470" s="22" t="n">
        <f aca="false">SUM(B467:B469)</f>
        <v>37090</v>
      </c>
      <c r="C470" s="89"/>
      <c r="D470" s="89" t="n">
        <f aca="false">D462/B470</f>
        <v>3.43631706659477</v>
      </c>
    </row>
    <row r="471" customFormat="false" ht="16.8" hidden="false" customHeight="false" outlineLevel="0" collapsed="false">
      <c r="A471" s="55"/>
      <c r="B471" s="56"/>
      <c r="C471" s="100"/>
    </row>
    <row r="472" customFormat="false" ht="16.8" hidden="false" customHeight="false" outlineLevel="0" collapsed="false">
      <c r="A472" s="13" t="s">
        <v>20</v>
      </c>
      <c r="B472" s="1"/>
      <c r="C472" s="1"/>
      <c r="D472" s="1"/>
      <c r="E472" s="1"/>
      <c r="F472" s="1"/>
    </row>
    <row r="473" customFormat="false" ht="16.8" hidden="false" customHeight="false" outlineLevel="0" collapsed="false">
      <c r="A473" s="17" t="s">
        <v>13</v>
      </c>
      <c r="B473" s="17" t="s">
        <v>21</v>
      </c>
      <c r="C473" s="18"/>
      <c r="D473" s="18"/>
      <c r="E473" s="1"/>
      <c r="F473" s="18"/>
    </row>
    <row r="474" customFormat="false" ht="16.8" hidden="false" customHeight="false" outlineLevel="0" collapsed="false">
      <c r="A474" s="33" t="s">
        <v>22</v>
      </c>
      <c r="B474" s="34" t="n">
        <v>1450</v>
      </c>
      <c r="C474" s="1"/>
      <c r="D474" s="1"/>
      <c r="E474" s="39"/>
      <c r="F474" s="1"/>
    </row>
    <row r="475" customFormat="false" ht="16.8" hidden="false" customHeight="false" outlineLevel="0" collapsed="false">
      <c r="A475" s="33" t="s">
        <v>17</v>
      </c>
      <c r="B475" s="34" t="n">
        <f aca="false">127040-B474-B476</f>
        <v>111340</v>
      </c>
      <c r="C475" s="1"/>
      <c r="D475" s="1"/>
      <c r="E475" s="26"/>
      <c r="F475" s="1"/>
    </row>
    <row r="476" customFormat="false" ht="16.8" hidden="false" customHeight="false" outlineLevel="0" collapsed="false">
      <c r="A476" s="33" t="s">
        <v>18</v>
      </c>
      <c r="B476" s="34" t="n">
        <v>14250</v>
      </c>
      <c r="C476" s="1"/>
      <c r="D476" s="1"/>
      <c r="E476" s="26"/>
      <c r="F476" s="1"/>
    </row>
    <row r="477" customFormat="false" ht="16.8" hidden="false" customHeight="false" outlineLevel="0" collapsed="false">
      <c r="A477" s="25" t="s">
        <v>11</v>
      </c>
      <c r="B477" s="35" t="n">
        <f aca="false">SUM(B474:B476)</f>
        <v>127040</v>
      </c>
      <c r="C477" s="1"/>
      <c r="D477" s="1"/>
      <c r="E477" s="26"/>
      <c r="F477" s="1"/>
    </row>
    <row r="478" customFormat="false" ht="13.2" hidden="false" customHeight="false" outlineLevel="0" collapsed="false">
      <c r="A478" s="1"/>
      <c r="B478" s="1"/>
      <c r="C478" s="1"/>
      <c r="D478" s="1"/>
      <c r="E478" s="26"/>
      <c r="F478" s="1"/>
    </row>
    <row r="479" customFormat="false" ht="13.2" hidden="false" customHeight="false" outlineLevel="0" collapsed="false">
      <c r="A479" s="39" t="s">
        <v>23</v>
      </c>
      <c r="B479" s="39" t="s">
        <v>24</v>
      </c>
      <c r="C479" s="39" t="s">
        <v>25</v>
      </c>
      <c r="D479" s="39" t="s">
        <v>26</v>
      </c>
      <c r="E479" s="41" t="s">
        <v>27</v>
      </c>
      <c r="F479" s="41"/>
    </row>
    <row r="480" customFormat="false" ht="13.2" hidden="false" customHeight="false" outlineLevel="0" collapsed="false">
      <c r="A480" s="26"/>
      <c r="B480" s="26"/>
      <c r="C480" s="26"/>
      <c r="D480" s="26"/>
      <c r="E480" s="26"/>
      <c r="F480" s="26"/>
    </row>
    <row r="481" customFormat="false" ht="13.2" hidden="false" customHeight="false" outlineLevel="0" collapsed="false">
      <c r="A481" s="26"/>
      <c r="B481" s="26"/>
      <c r="C481" s="26"/>
      <c r="D481" s="26"/>
      <c r="E481" s="26"/>
      <c r="F481" s="26"/>
    </row>
    <row r="482" customFormat="false" ht="13.2" hidden="false" customHeight="false" outlineLevel="0" collapsed="false">
      <c r="A482" s="26"/>
      <c r="B482" s="26"/>
      <c r="C482" s="26"/>
      <c r="D482" s="26"/>
      <c r="E482" s="26"/>
      <c r="F482" s="26"/>
    </row>
    <row r="483" customFormat="false" ht="13.2" hidden="false" customHeight="false" outlineLevel="0" collapsed="false">
      <c r="A483" s="26"/>
      <c r="B483" s="26"/>
      <c r="C483" s="26"/>
      <c r="D483" s="26"/>
      <c r="E483" s="26"/>
      <c r="F483" s="26"/>
    </row>
    <row r="484" customFormat="false" ht="13.2" hidden="false" customHeight="false" outlineLevel="0" collapsed="false">
      <c r="A484" s="39" t="s">
        <v>34</v>
      </c>
      <c r="B484" s="39"/>
      <c r="C484" s="39"/>
      <c r="D484" s="39"/>
      <c r="E484" s="41" t="s">
        <v>29</v>
      </c>
      <c r="F484" s="41"/>
    </row>
    <row r="488" customFormat="false" ht="13.8" hidden="false" customHeight="false" outlineLevel="0" collapsed="false">
      <c r="A488" s="116" t="s">
        <v>0</v>
      </c>
      <c r="B488" s="117"/>
      <c r="C488" s="117"/>
      <c r="D488" s="117"/>
      <c r="E488" s="117"/>
      <c r="F488" s="16"/>
    </row>
    <row r="489" customFormat="false" ht="18.6" hidden="false" customHeight="true" outlineLevel="0" collapsed="false">
      <c r="A489" s="118" t="s">
        <v>212</v>
      </c>
      <c r="B489" s="118"/>
      <c r="C489" s="118"/>
      <c r="D489" s="118"/>
      <c r="E489" s="118"/>
      <c r="F489" s="43"/>
    </row>
    <row r="490" customFormat="false" ht="13.8" hidden="false" customHeight="true" outlineLevel="0" collapsed="false">
      <c r="A490" s="119" t="s">
        <v>2</v>
      </c>
      <c r="B490" s="119"/>
      <c r="C490" s="119"/>
      <c r="D490" s="119"/>
      <c r="E490" s="119"/>
      <c r="F490" s="44"/>
    </row>
    <row r="491" customFormat="false" ht="16.8" hidden="false" customHeight="false" outlineLevel="0" collapsed="false">
      <c r="A491" s="13" t="s">
        <v>3</v>
      </c>
      <c r="B491" s="14"/>
      <c r="C491" s="14"/>
      <c r="D491" s="46"/>
      <c r="E491" s="46" t="s">
        <v>4</v>
      </c>
      <c r="F491" s="66"/>
    </row>
    <row r="492" customFormat="false" ht="33.6" hidden="false" customHeight="false" outlineLevel="0" collapsed="false">
      <c r="A492" s="17" t="s">
        <v>5</v>
      </c>
      <c r="B492" s="17" t="s">
        <v>5</v>
      </c>
      <c r="C492" s="17" t="s">
        <v>213</v>
      </c>
      <c r="D492" s="17" t="s">
        <v>7</v>
      </c>
      <c r="E492" s="17" t="s">
        <v>8</v>
      </c>
      <c r="F492" s="1"/>
    </row>
    <row r="493" customFormat="false" ht="16.8" hidden="false" customHeight="false" outlineLevel="0" collapsed="false">
      <c r="A493" s="19" t="s">
        <v>9</v>
      </c>
      <c r="B493" s="20"/>
      <c r="C493" s="20"/>
      <c r="D493" s="20"/>
      <c r="E493" s="47" t="n">
        <f aca="false">B493+C493-D493</f>
        <v>0</v>
      </c>
      <c r="F493" s="1"/>
    </row>
    <row r="494" customFormat="false" ht="33.6" hidden="false" customHeight="false" outlineLevel="0" collapsed="false">
      <c r="A494" s="97" t="s">
        <v>159</v>
      </c>
      <c r="B494" s="20"/>
      <c r="C494" s="20"/>
      <c r="D494" s="20"/>
      <c r="E494" s="47" t="n">
        <f aca="false">B494+C494-D494</f>
        <v>0</v>
      </c>
      <c r="F494" s="1"/>
    </row>
    <row r="495" customFormat="false" ht="33.6" hidden="false" customHeight="false" outlineLevel="0" collapsed="false">
      <c r="A495" s="97" t="s">
        <v>202</v>
      </c>
      <c r="B495" s="20"/>
      <c r="C495" s="20"/>
      <c r="D495" s="20"/>
      <c r="E495" s="47"/>
      <c r="F495" s="1"/>
    </row>
    <row r="496" customFormat="false" ht="16.8" hidden="false" customHeight="false" outlineLevel="0" collapsed="false">
      <c r="A496" s="19" t="s">
        <v>10</v>
      </c>
      <c r="B496" s="20"/>
      <c r="C496" s="20" t="n">
        <v>162394</v>
      </c>
      <c r="D496" s="20"/>
      <c r="E496" s="47" t="n">
        <f aca="false">B496+C496-D496</f>
        <v>162394</v>
      </c>
      <c r="F496" s="45"/>
    </row>
    <row r="497" customFormat="false" ht="16.8" hidden="false" customHeight="false" outlineLevel="0" collapsed="false">
      <c r="A497" s="21" t="s">
        <v>11</v>
      </c>
      <c r="B497" s="22" t="n">
        <f aca="false">SUM(B493:B496)</f>
        <v>0</v>
      </c>
      <c r="C497" s="22" t="n">
        <f aca="false">SUM(C493:C496)</f>
        <v>162394</v>
      </c>
      <c r="D497" s="22" t="n">
        <f aca="false">SUM(D493:D496)</f>
        <v>0</v>
      </c>
      <c r="E497" s="22" t="n">
        <f aca="false">SUM(E493:E496)</f>
        <v>162394</v>
      </c>
      <c r="F497" s="45"/>
    </row>
    <row r="498" customFormat="false" ht="16.8" hidden="false" customHeight="false" outlineLevel="0" collapsed="false">
      <c r="A498" s="77" t="s">
        <v>203</v>
      </c>
      <c r="B498" s="77"/>
      <c r="C498" s="77"/>
      <c r="D498" s="77"/>
      <c r="E498" s="77"/>
      <c r="F498" s="45"/>
    </row>
    <row r="499" customFormat="false" ht="16.8" hidden="false" customHeight="false" outlineLevel="0" collapsed="false">
      <c r="A499" s="13" t="s">
        <v>12</v>
      </c>
      <c r="B499" s="13"/>
      <c r="C499" s="13"/>
      <c r="D499" s="13"/>
      <c r="E499" s="24"/>
      <c r="F499" s="24"/>
    </row>
    <row r="500" customFormat="false" ht="67.2" hidden="false" customHeight="false" outlineLevel="0" collapsed="false">
      <c r="A500" s="25" t="s">
        <v>13</v>
      </c>
      <c r="B500" s="17" t="s">
        <v>214</v>
      </c>
      <c r="C500" s="93" t="s">
        <v>138</v>
      </c>
      <c r="D500" s="73" t="s">
        <v>16</v>
      </c>
    </row>
    <row r="501" customFormat="false" ht="33.6" hidden="false" customHeight="false" outlineLevel="0" collapsed="false">
      <c r="A501" s="49" t="s">
        <v>49</v>
      </c>
      <c r="B501" s="50"/>
      <c r="C501" s="20"/>
      <c r="D501" s="29"/>
    </row>
    <row r="502" customFormat="false" ht="16.8" hidden="false" customHeight="false" outlineLevel="0" collapsed="false">
      <c r="A502" s="49" t="s">
        <v>53</v>
      </c>
      <c r="B502" s="50" t="n">
        <v>29760</v>
      </c>
      <c r="C502" s="19"/>
      <c r="D502" s="51"/>
    </row>
    <row r="503" customFormat="false" ht="16.8" hidden="false" customHeight="false" outlineLevel="0" collapsed="false">
      <c r="A503" s="53" t="s">
        <v>18</v>
      </c>
      <c r="B503" s="50"/>
      <c r="C503" s="20"/>
      <c r="D503" s="20"/>
    </row>
    <row r="504" customFormat="false" ht="16.8" hidden="false" customHeight="false" outlineLevel="0" collapsed="false">
      <c r="A504" s="30" t="s">
        <v>11</v>
      </c>
      <c r="B504" s="22" t="n">
        <f aca="false">SUM(B501:B503)</f>
        <v>29760</v>
      </c>
      <c r="C504" s="89"/>
      <c r="D504" s="89" t="n">
        <f aca="false">D497/B504</f>
        <v>0</v>
      </c>
    </row>
    <row r="505" customFormat="false" ht="16.8" hidden="false" customHeight="false" outlineLevel="0" collapsed="false">
      <c r="A505" s="55"/>
      <c r="B505" s="56"/>
      <c r="C505" s="100"/>
    </row>
    <row r="506" customFormat="false" ht="16.8" hidden="false" customHeight="false" outlineLevel="0" collapsed="false">
      <c r="A506" s="13" t="s">
        <v>20</v>
      </c>
      <c r="B506" s="1"/>
      <c r="C506" s="1"/>
      <c r="D506" s="1"/>
      <c r="E506" s="1"/>
      <c r="F506" s="1"/>
    </row>
    <row r="507" customFormat="false" ht="16.8" hidden="false" customHeight="false" outlineLevel="0" collapsed="false">
      <c r="A507" s="17" t="s">
        <v>13</v>
      </c>
      <c r="B507" s="17" t="s">
        <v>21</v>
      </c>
      <c r="C507" s="18"/>
      <c r="D507" s="18"/>
      <c r="E507" s="1"/>
      <c r="F507" s="18"/>
    </row>
    <row r="508" customFormat="false" ht="16.8" hidden="false" customHeight="false" outlineLevel="0" collapsed="false">
      <c r="A508" s="33" t="s">
        <v>22</v>
      </c>
      <c r="B508" s="34" t="n">
        <v>1450</v>
      </c>
      <c r="C508" s="1"/>
      <c r="D508" s="1"/>
      <c r="E508" s="39"/>
      <c r="F508" s="1"/>
    </row>
    <row r="509" customFormat="false" ht="16.8" hidden="false" customHeight="false" outlineLevel="0" collapsed="false">
      <c r="A509" s="33" t="s">
        <v>17</v>
      </c>
      <c r="B509" s="34" t="n">
        <v>107600</v>
      </c>
      <c r="C509" s="1"/>
      <c r="D509" s="1"/>
      <c r="E509" s="26"/>
      <c r="F509" s="1"/>
    </row>
    <row r="510" customFormat="false" ht="16.8" hidden="false" customHeight="false" outlineLevel="0" collapsed="false">
      <c r="A510" s="33" t="s">
        <v>18</v>
      </c>
      <c r="B510" s="34" t="n">
        <v>14250</v>
      </c>
      <c r="C510" s="1"/>
      <c r="D510" s="1"/>
      <c r="E510" s="26"/>
      <c r="F510" s="1"/>
    </row>
    <row r="511" customFormat="false" ht="16.8" hidden="false" customHeight="false" outlineLevel="0" collapsed="false">
      <c r="A511" s="25" t="s">
        <v>11</v>
      </c>
      <c r="B511" s="35" t="n">
        <f aca="false">SUM(B508:B510)</f>
        <v>123300</v>
      </c>
      <c r="C511" s="1" t="n">
        <v>82830</v>
      </c>
      <c r="D511" s="45" t="n">
        <f aca="false">C511+B511</f>
        <v>206130</v>
      </c>
      <c r="E511" s="26" t="n">
        <v>88500</v>
      </c>
      <c r="F511" s="45" t="n">
        <f aca="false">D511-E511</f>
        <v>117630</v>
      </c>
    </row>
    <row r="512" customFormat="false" ht="13.2" hidden="false" customHeight="false" outlineLevel="0" collapsed="false">
      <c r="A512" s="1"/>
      <c r="B512" s="1"/>
      <c r="C512" s="1"/>
      <c r="D512" s="1"/>
      <c r="E512" s="26"/>
      <c r="F512" s="1"/>
    </row>
    <row r="513" customFormat="false" ht="13.2" hidden="false" customHeight="false" outlineLevel="0" collapsed="false">
      <c r="A513" s="39" t="s">
        <v>23</v>
      </c>
      <c r="B513" s="39" t="s">
        <v>24</v>
      </c>
      <c r="C513" s="39" t="s">
        <v>25</v>
      </c>
      <c r="D513" s="39" t="s">
        <v>26</v>
      </c>
      <c r="E513" s="41" t="s">
        <v>27</v>
      </c>
      <c r="F513" s="41"/>
    </row>
    <row r="514" customFormat="false" ht="13.2" hidden="false" customHeight="false" outlineLevel="0" collapsed="false">
      <c r="A514" s="26"/>
      <c r="B514" s="26"/>
      <c r="C514" s="26"/>
      <c r="D514" s="26"/>
      <c r="E514" s="26"/>
      <c r="F514" s="26"/>
    </row>
    <row r="515" customFormat="false" ht="13.2" hidden="false" customHeight="false" outlineLevel="0" collapsed="false">
      <c r="A515" s="26"/>
      <c r="B515" s="26"/>
      <c r="C515" s="26"/>
      <c r="D515" s="26"/>
      <c r="E515" s="26"/>
      <c r="F515" s="26"/>
    </row>
    <row r="516" customFormat="false" ht="13.2" hidden="false" customHeight="false" outlineLevel="0" collapsed="false">
      <c r="A516" s="26"/>
      <c r="B516" s="26"/>
      <c r="C516" s="26"/>
      <c r="D516" s="26"/>
      <c r="E516" s="26"/>
      <c r="F516" s="26"/>
    </row>
    <row r="517" customFormat="false" ht="13.2" hidden="false" customHeight="false" outlineLevel="0" collapsed="false">
      <c r="A517" s="26"/>
      <c r="B517" s="26"/>
      <c r="C517" s="26"/>
      <c r="D517" s="26"/>
      <c r="E517" s="26"/>
      <c r="F517" s="26"/>
    </row>
    <row r="518" customFormat="false" ht="13.2" hidden="false" customHeight="false" outlineLevel="0" collapsed="false">
      <c r="A518" s="39" t="s">
        <v>34</v>
      </c>
      <c r="B518" s="39"/>
      <c r="C518" s="39"/>
      <c r="D518" s="39"/>
      <c r="E518" s="41" t="s">
        <v>29</v>
      </c>
      <c r="F518" s="41"/>
    </row>
    <row r="523" customFormat="false" ht="13.8" hidden="false" customHeight="false" outlineLevel="0" collapsed="false">
      <c r="A523" s="116" t="s">
        <v>0</v>
      </c>
      <c r="B523" s="117"/>
      <c r="C523" s="117"/>
      <c r="D523" s="117"/>
      <c r="E523" s="117"/>
      <c r="F523" s="16"/>
    </row>
    <row r="524" customFormat="false" ht="18.6" hidden="false" customHeight="true" outlineLevel="0" collapsed="false">
      <c r="A524" s="118" t="s">
        <v>215</v>
      </c>
      <c r="B524" s="118"/>
      <c r="C524" s="118"/>
      <c r="D524" s="118"/>
      <c r="E524" s="118"/>
      <c r="F524" s="43"/>
    </row>
    <row r="525" customFormat="false" ht="13.8" hidden="false" customHeight="true" outlineLevel="0" collapsed="false">
      <c r="A525" s="119" t="s">
        <v>2</v>
      </c>
      <c r="B525" s="119"/>
      <c r="C525" s="119"/>
      <c r="D525" s="119"/>
      <c r="E525" s="119"/>
      <c r="F525" s="44"/>
    </row>
    <row r="526" customFormat="false" ht="16.8" hidden="false" customHeight="false" outlineLevel="0" collapsed="false">
      <c r="A526" s="13" t="s">
        <v>3</v>
      </c>
      <c r="B526" s="14"/>
      <c r="C526" s="14"/>
      <c r="D526" s="46"/>
      <c r="E526" s="46" t="s">
        <v>4</v>
      </c>
      <c r="F526" s="66"/>
    </row>
    <row r="527" customFormat="false" ht="33.6" hidden="false" customHeight="false" outlineLevel="0" collapsed="false">
      <c r="A527" s="17" t="s">
        <v>5</v>
      </c>
      <c r="B527" s="17" t="s">
        <v>5</v>
      </c>
      <c r="C527" s="17" t="s">
        <v>216</v>
      </c>
      <c r="D527" s="17" t="s">
        <v>7</v>
      </c>
      <c r="E527" s="17" t="s">
        <v>8</v>
      </c>
      <c r="F527" s="1"/>
    </row>
    <row r="528" customFormat="false" ht="16.8" hidden="false" customHeight="false" outlineLevel="0" collapsed="false">
      <c r="A528" s="19" t="s">
        <v>9</v>
      </c>
      <c r="B528" s="20" t="n">
        <f aca="false">E493</f>
        <v>0</v>
      </c>
      <c r="C528" s="20"/>
      <c r="D528" s="20"/>
      <c r="E528" s="47" t="n">
        <f aca="false">B528+C528-D528</f>
        <v>0</v>
      </c>
      <c r="F528" s="1"/>
    </row>
    <row r="529" customFormat="false" ht="33.6" hidden="false" customHeight="false" outlineLevel="0" collapsed="false">
      <c r="A529" s="97" t="s">
        <v>159</v>
      </c>
      <c r="B529" s="20" t="n">
        <f aca="false">E494</f>
        <v>0</v>
      </c>
      <c r="C529" s="20"/>
      <c r="D529" s="20"/>
      <c r="E529" s="47" t="n">
        <f aca="false">B529+C529-D529</f>
        <v>0</v>
      </c>
      <c r="F529" s="1"/>
    </row>
    <row r="530" customFormat="false" ht="33.6" hidden="false" customHeight="false" outlineLevel="0" collapsed="false">
      <c r="A530" s="97" t="s">
        <v>202</v>
      </c>
      <c r="B530" s="20" t="n">
        <f aca="false">E495</f>
        <v>0</v>
      </c>
      <c r="C530" s="20"/>
      <c r="D530" s="20"/>
      <c r="E530" s="47"/>
      <c r="F530" s="1"/>
    </row>
    <row r="531" customFormat="false" ht="16.8" hidden="false" customHeight="false" outlineLevel="0" collapsed="false">
      <c r="A531" s="19" t="s">
        <v>10</v>
      </c>
      <c r="B531" s="20" t="n">
        <f aca="false">E496</f>
        <v>162394</v>
      </c>
      <c r="C531" s="20" t="n">
        <v>341275</v>
      </c>
      <c r="D531" s="20"/>
      <c r="E531" s="47" t="n">
        <f aca="false">B531+C531-D531</f>
        <v>503669</v>
      </c>
      <c r="F531" s="45"/>
    </row>
    <row r="532" customFormat="false" ht="16.8" hidden="false" customHeight="false" outlineLevel="0" collapsed="false">
      <c r="A532" s="21" t="s">
        <v>11</v>
      </c>
      <c r="B532" s="22" t="n">
        <f aca="false">SUM(B528:B531)</f>
        <v>162394</v>
      </c>
      <c r="C532" s="22" t="n">
        <f aca="false">SUM(C528:C531)</f>
        <v>341275</v>
      </c>
      <c r="D532" s="22" t="n">
        <f aca="false">SUM(D528:D531)</f>
        <v>0</v>
      </c>
      <c r="E532" s="22" t="n">
        <f aca="false">SUM(E528:E531)</f>
        <v>503669</v>
      </c>
      <c r="F532" s="45"/>
    </row>
    <row r="533" customFormat="false" ht="16.8" hidden="false" customHeight="false" outlineLevel="0" collapsed="false">
      <c r="A533" s="77" t="s">
        <v>203</v>
      </c>
      <c r="B533" s="77"/>
      <c r="C533" s="77"/>
      <c r="D533" s="77"/>
      <c r="E533" s="77"/>
      <c r="F533" s="45"/>
    </row>
    <row r="534" customFormat="false" ht="16.8" hidden="false" customHeight="false" outlineLevel="0" collapsed="false">
      <c r="A534" s="13" t="s">
        <v>12</v>
      </c>
      <c r="B534" s="13"/>
      <c r="C534" s="13"/>
      <c r="D534" s="13"/>
      <c r="E534" s="24"/>
      <c r="F534" s="24"/>
    </row>
    <row r="535" customFormat="false" ht="67.2" hidden="false" customHeight="false" outlineLevel="0" collapsed="false">
      <c r="A535" s="25" t="s">
        <v>13</v>
      </c>
      <c r="B535" s="17" t="s">
        <v>214</v>
      </c>
      <c r="C535" s="17" t="s">
        <v>217</v>
      </c>
      <c r="D535" s="93" t="s">
        <v>138</v>
      </c>
      <c r="E535" s="73" t="s">
        <v>16</v>
      </c>
    </row>
    <row r="536" customFormat="false" ht="33.6" hidden="false" customHeight="false" outlineLevel="0" collapsed="false">
      <c r="A536" s="49" t="s">
        <v>49</v>
      </c>
      <c r="B536" s="50"/>
      <c r="C536" s="20"/>
      <c r="D536" s="20"/>
      <c r="E536" s="29"/>
    </row>
    <row r="537" customFormat="false" ht="16.8" hidden="false" customHeight="false" outlineLevel="0" collapsed="false">
      <c r="A537" s="49" t="s">
        <v>53</v>
      </c>
      <c r="B537" s="50" t="n">
        <v>29760</v>
      </c>
      <c r="C537" s="19" t="n">
        <v>82830</v>
      </c>
      <c r="D537" s="19"/>
      <c r="E537" s="51"/>
    </row>
    <row r="538" customFormat="false" ht="16.8" hidden="false" customHeight="false" outlineLevel="0" collapsed="false">
      <c r="A538" s="53" t="s">
        <v>18</v>
      </c>
      <c r="B538" s="50"/>
      <c r="C538" s="20"/>
      <c r="D538" s="20"/>
      <c r="E538" s="20"/>
    </row>
    <row r="539" customFormat="false" ht="16.8" hidden="false" customHeight="false" outlineLevel="0" collapsed="false">
      <c r="A539" s="30" t="s">
        <v>11</v>
      </c>
      <c r="B539" s="22" t="n">
        <f aca="false">SUM(B536:B538)</f>
        <v>29760</v>
      </c>
      <c r="C539" s="94" t="n">
        <f aca="false">SUM(C536:C538)</f>
        <v>82830</v>
      </c>
      <c r="D539" s="89"/>
      <c r="E539" s="89"/>
    </row>
    <row r="540" customFormat="false" ht="16.8" hidden="false" customHeight="false" outlineLevel="0" collapsed="false">
      <c r="A540" s="55"/>
      <c r="B540" s="56"/>
      <c r="C540" s="100"/>
    </row>
    <row r="541" customFormat="false" ht="16.8" hidden="false" customHeight="false" outlineLevel="0" collapsed="false">
      <c r="A541" s="13" t="s">
        <v>20</v>
      </c>
      <c r="B541" s="1"/>
      <c r="C541" s="1"/>
      <c r="D541" s="1"/>
      <c r="E541" s="1"/>
      <c r="F541" s="1"/>
    </row>
    <row r="542" customFormat="false" ht="16.8" hidden="false" customHeight="false" outlineLevel="0" collapsed="false">
      <c r="A542" s="17" t="s">
        <v>13</v>
      </c>
      <c r="B542" s="17" t="s">
        <v>21</v>
      </c>
      <c r="C542" s="18"/>
      <c r="D542" s="18"/>
      <c r="E542" s="1"/>
      <c r="F542" s="18"/>
    </row>
    <row r="543" customFormat="false" ht="16.8" hidden="false" customHeight="false" outlineLevel="0" collapsed="false">
      <c r="A543" s="33" t="s">
        <v>22</v>
      </c>
      <c r="B543" s="34" t="n">
        <v>1450</v>
      </c>
      <c r="C543" s="1"/>
      <c r="D543" s="1"/>
      <c r="E543" s="39"/>
      <c r="F543" s="1"/>
    </row>
    <row r="544" customFormat="false" ht="16.8" hidden="false" customHeight="false" outlineLevel="0" collapsed="false">
      <c r="A544" s="33" t="s">
        <v>17</v>
      </c>
      <c r="B544" s="34" t="n">
        <v>101930</v>
      </c>
      <c r="C544" s="1"/>
      <c r="D544" s="1"/>
      <c r="E544" s="26"/>
      <c r="F544" s="1"/>
    </row>
    <row r="545" customFormat="false" ht="16.8" hidden="false" customHeight="false" outlineLevel="0" collapsed="false">
      <c r="A545" s="33" t="s">
        <v>18</v>
      </c>
      <c r="B545" s="34" t="n">
        <v>14250</v>
      </c>
      <c r="C545" s="1"/>
      <c r="D545" s="1"/>
      <c r="E545" s="26"/>
      <c r="F545" s="1"/>
    </row>
    <row r="546" customFormat="false" ht="16.8" hidden="false" customHeight="false" outlineLevel="0" collapsed="false">
      <c r="A546" s="25" t="s">
        <v>11</v>
      </c>
      <c r="B546" s="35" t="n">
        <f aca="false">SUM(B543:B545)</f>
        <v>117630</v>
      </c>
      <c r="C546" s="1"/>
      <c r="D546" s="1"/>
      <c r="E546" s="26"/>
      <c r="F546" s="1"/>
    </row>
    <row r="547" customFormat="false" ht="13.2" hidden="false" customHeight="false" outlineLevel="0" collapsed="false">
      <c r="A547" s="1"/>
      <c r="B547" s="1"/>
      <c r="C547" s="1"/>
      <c r="D547" s="1"/>
      <c r="E547" s="26"/>
      <c r="F547" s="1"/>
    </row>
    <row r="548" customFormat="false" ht="13.2" hidden="false" customHeight="false" outlineLevel="0" collapsed="false">
      <c r="A548" s="39" t="s">
        <v>23</v>
      </c>
      <c r="B548" s="39" t="s">
        <v>24</v>
      </c>
      <c r="C548" s="39" t="s">
        <v>25</v>
      </c>
      <c r="D548" s="39" t="s">
        <v>26</v>
      </c>
      <c r="E548" s="41" t="s">
        <v>27</v>
      </c>
      <c r="F548" s="41"/>
    </row>
    <row r="549" customFormat="false" ht="13.2" hidden="false" customHeight="false" outlineLevel="0" collapsed="false">
      <c r="A549" s="26"/>
      <c r="B549" s="26"/>
      <c r="C549" s="26"/>
      <c r="D549" s="26"/>
      <c r="E549" s="26"/>
      <c r="F549" s="26"/>
    </row>
    <row r="550" customFormat="false" ht="13.2" hidden="false" customHeight="false" outlineLevel="0" collapsed="false">
      <c r="A550" s="26"/>
      <c r="B550" s="26"/>
      <c r="C550" s="26"/>
      <c r="D550" s="26"/>
      <c r="E550" s="26"/>
      <c r="F550" s="26"/>
    </row>
    <row r="551" customFormat="false" ht="13.2" hidden="false" customHeight="false" outlineLevel="0" collapsed="false">
      <c r="A551" s="26"/>
      <c r="B551" s="26"/>
      <c r="C551" s="26"/>
      <c r="D551" s="26"/>
      <c r="E551" s="26"/>
      <c r="F551" s="26"/>
    </row>
    <row r="552" customFormat="false" ht="13.2" hidden="false" customHeight="false" outlineLevel="0" collapsed="false">
      <c r="A552" s="26"/>
      <c r="B552" s="26"/>
      <c r="C552" s="26"/>
      <c r="D552" s="26"/>
      <c r="E552" s="26"/>
      <c r="F552" s="26"/>
    </row>
    <row r="553" customFormat="false" ht="13.2" hidden="false" customHeight="false" outlineLevel="0" collapsed="false">
      <c r="A553" s="39" t="s">
        <v>34</v>
      </c>
      <c r="B553" s="39"/>
      <c r="C553" s="39"/>
      <c r="D553" s="39"/>
      <c r="E553" s="41" t="s">
        <v>29</v>
      </c>
      <c r="F553" s="41"/>
    </row>
    <row r="557" customFormat="false" ht="13.8" hidden="false" customHeight="false" outlineLevel="0" collapsed="false">
      <c r="A557" s="116" t="s">
        <v>0</v>
      </c>
      <c r="B557" s="117"/>
      <c r="C557" s="117"/>
      <c r="D557" s="117"/>
      <c r="E557" s="117"/>
      <c r="F557" s="16"/>
    </row>
    <row r="558" customFormat="false" ht="18.6" hidden="false" customHeight="true" outlineLevel="0" collapsed="false">
      <c r="A558" s="118" t="s">
        <v>218</v>
      </c>
      <c r="B558" s="118"/>
      <c r="C558" s="118"/>
      <c r="D558" s="118"/>
      <c r="E558" s="118"/>
      <c r="F558" s="43"/>
    </row>
    <row r="559" customFormat="false" ht="13.8" hidden="false" customHeight="true" outlineLevel="0" collapsed="false">
      <c r="A559" s="119" t="s">
        <v>2</v>
      </c>
      <c r="B559" s="119"/>
      <c r="C559" s="119"/>
      <c r="D559" s="119"/>
      <c r="E559" s="119"/>
      <c r="F559" s="44"/>
    </row>
    <row r="560" customFormat="false" ht="16.8" hidden="false" customHeight="false" outlineLevel="0" collapsed="false">
      <c r="A560" s="13" t="s">
        <v>3</v>
      </c>
      <c r="B560" s="14"/>
      <c r="C560" s="14"/>
      <c r="D560" s="46"/>
      <c r="E560" s="46" t="s">
        <v>4</v>
      </c>
      <c r="F560" s="66"/>
    </row>
    <row r="561" customFormat="false" ht="33.6" hidden="false" customHeight="false" outlineLevel="0" collapsed="false">
      <c r="A561" s="17" t="s">
        <v>5</v>
      </c>
      <c r="B561" s="17" t="s">
        <v>5</v>
      </c>
      <c r="C561" s="17" t="s">
        <v>219</v>
      </c>
      <c r="D561" s="17" t="s">
        <v>7</v>
      </c>
      <c r="E561" s="17" t="s">
        <v>8</v>
      </c>
      <c r="F561" s="1"/>
    </row>
    <row r="562" customFormat="false" ht="16.8" hidden="false" customHeight="false" outlineLevel="0" collapsed="false">
      <c r="A562" s="19" t="s">
        <v>9</v>
      </c>
      <c r="B562" s="20" t="n">
        <f aca="false">E528</f>
        <v>0</v>
      </c>
      <c r="C562" s="20" t="n">
        <v>110</v>
      </c>
      <c r="D562" s="20"/>
      <c r="E562" s="47" t="n">
        <f aca="false">B562+C562-D562</f>
        <v>110</v>
      </c>
      <c r="F562" s="1"/>
    </row>
    <row r="563" customFormat="false" ht="33.6" hidden="false" customHeight="false" outlineLevel="0" collapsed="false">
      <c r="A563" s="97" t="s">
        <v>159</v>
      </c>
      <c r="B563" s="20" t="n">
        <f aca="false">E529</f>
        <v>0</v>
      </c>
      <c r="C563" s="20" t="n">
        <v>3395</v>
      </c>
      <c r="D563" s="20"/>
      <c r="E563" s="47" t="n">
        <f aca="false">B563+C563-D563</f>
        <v>3395</v>
      </c>
      <c r="F563" s="1"/>
    </row>
    <row r="564" customFormat="false" ht="33.6" hidden="false" customHeight="false" outlineLevel="0" collapsed="false">
      <c r="A564" s="97" t="s">
        <v>202</v>
      </c>
      <c r="B564" s="20" t="n">
        <f aca="false">E530</f>
        <v>0</v>
      </c>
      <c r="C564" s="20"/>
      <c r="D564" s="20"/>
      <c r="E564" s="47"/>
      <c r="F564" s="1"/>
    </row>
    <row r="565" customFormat="false" ht="16.8" hidden="false" customHeight="false" outlineLevel="0" collapsed="false">
      <c r="A565" s="19" t="s">
        <v>10</v>
      </c>
      <c r="B565" s="20" t="n">
        <f aca="false">E531</f>
        <v>503669</v>
      </c>
      <c r="C565" s="20" t="n">
        <v>113964</v>
      </c>
      <c r="D565" s="20"/>
      <c r="E565" s="47" t="n">
        <f aca="false">B565+C565-D565</f>
        <v>617633</v>
      </c>
      <c r="F565" s="45" t="n">
        <f aca="false">C565+C562</f>
        <v>114074</v>
      </c>
    </row>
    <row r="566" customFormat="false" ht="16.8" hidden="false" customHeight="false" outlineLevel="0" collapsed="false">
      <c r="A566" s="21" t="s">
        <v>11</v>
      </c>
      <c r="B566" s="22" t="n">
        <f aca="false">SUM(B562:B565)</f>
        <v>503669</v>
      </c>
      <c r="C566" s="22" t="n">
        <f aca="false">SUM(C562:C565)</f>
        <v>117469</v>
      </c>
      <c r="D566" s="22" t="n">
        <f aca="false">SUM(D562:D565)</f>
        <v>0</v>
      </c>
      <c r="E566" s="22" t="n">
        <f aca="false">SUM(E562:E565)</f>
        <v>621138</v>
      </c>
      <c r="F566" s="45"/>
    </row>
    <row r="567" customFormat="false" ht="16.8" hidden="false" customHeight="false" outlineLevel="0" collapsed="false">
      <c r="A567" s="77" t="s">
        <v>203</v>
      </c>
      <c r="B567" s="77"/>
      <c r="C567" s="77"/>
      <c r="D567" s="77"/>
      <c r="E567" s="77"/>
      <c r="F567" s="45"/>
    </row>
    <row r="568" customFormat="false" ht="16.8" hidden="false" customHeight="false" outlineLevel="0" collapsed="false">
      <c r="A568" s="13" t="s">
        <v>12</v>
      </c>
      <c r="B568" s="13"/>
      <c r="C568" s="13"/>
      <c r="D568" s="13"/>
      <c r="E568" s="24"/>
      <c r="F568" s="24"/>
    </row>
    <row r="569" customFormat="false" ht="67.2" hidden="false" customHeight="false" outlineLevel="0" collapsed="false">
      <c r="A569" s="25" t="s">
        <v>13</v>
      </c>
      <c r="B569" s="17" t="s">
        <v>220</v>
      </c>
      <c r="C569" s="17" t="s">
        <v>221</v>
      </c>
      <c r="D569" s="93" t="s">
        <v>138</v>
      </c>
      <c r="E569" s="73" t="s">
        <v>16</v>
      </c>
    </row>
    <row r="570" customFormat="false" ht="33.6" hidden="false" customHeight="false" outlineLevel="0" collapsed="false">
      <c r="A570" s="49" t="s">
        <v>49</v>
      </c>
      <c r="B570" s="50"/>
      <c r="C570" s="20"/>
      <c r="D570" s="20"/>
      <c r="E570" s="29"/>
    </row>
    <row r="571" customFormat="false" ht="16.8" hidden="false" customHeight="false" outlineLevel="0" collapsed="false">
      <c r="A571" s="49" t="s">
        <v>53</v>
      </c>
      <c r="B571" s="50" t="n">
        <f aca="false">29760+82830</f>
        <v>112590</v>
      </c>
      <c r="C571" s="19" t="n">
        <v>50590</v>
      </c>
      <c r="D571" s="19"/>
      <c r="E571" s="51"/>
    </row>
    <row r="572" customFormat="false" ht="16.8" hidden="false" customHeight="false" outlineLevel="0" collapsed="false">
      <c r="A572" s="53" t="s">
        <v>18</v>
      </c>
      <c r="B572" s="50"/>
      <c r="C572" s="20"/>
      <c r="D572" s="20"/>
      <c r="E572" s="20"/>
    </row>
    <row r="573" customFormat="false" ht="16.8" hidden="false" customHeight="false" outlineLevel="0" collapsed="false">
      <c r="A573" s="30" t="s">
        <v>11</v>
      </c>
      <c r="B573" s="22" t="n">
        <f aca="false">SUM(B570:B572)</f>
        <v>112590</v>
      </c>
      <c r="C573" s="94" t="n">
        <f aca="false">SUM(C570:C572)</f>
        <v>50590</v>
      </c>
      <c r="D573" s="89"/>
      <c r="E573" s="89"/>
    </row>
    <row r="574" customFormat="false" ht="16.8" hidden="false" customHeight="false" outlineLevel="0" collapsed="false">
      <c r="A574" s="55"/>
      <c r="B574" s="56"/>
      <c r="C574" s="100"/>
    </row>
    <row r="575" customFormat="false" ht="16.8" hidden="false" customHeight="false" outlineLevel="0" collapsed="false">
      <c r="A575" s="13" t="s">
        <v>20</v>
      </c>
      <c r="B575" s="1"/>
      <c r="C575" s="1"/>
      <c r="D575" s="1"/>
      <c r="E575" s="1"/>
      <c r="F575" s="1"/>
    </row>
    <row r="576" customFormat="false" ht="16.8" hidden="false" customHeight="false" outlineLevel="0" collapsed="false">
      <c r="A576" s="17" t="s">
        <v>13</v>
      </c>
      <c r="B576" s="17" t="s">
        <v>21</v>
      </c>
      <c r="C576" s="18"/>
      <c r="D576" s="18"/>
      <c r="E576" s="1"/>
      <c r="F576" s="18"/>
    </row>
    <row r="577" customFormat="false" ht="16.8" hidden="false" customHeight="false" outlineLevel="0" collapsed="false">
      <c r="A577" s="33" t="s">
        <v>22</v>
      </c>
      <c r="B577" s="34" t="n">
        <v>1450</v>
      </c>
      <c r="C577" s="1"/>
      <c r="D577" s="1"/>
      <c r="E577" s="39"/>
      <c r="F577" s="1"/>
    </row>
    <row r="578" customFormat="false" ht="16.8" hidden="false" customHeight="false" outlineLevel="0" collapsed="false">
      <c r="A578" s="33" t="s">
        <v>17</v>
      </c>
      <c r="B578" s="34" t="n">
        <v>87720</v>
      </c>
      <c r="C578" s="1"/>
      <c r="D578" s="1"/>
      <c r="E578" s="26"/>
      <c r="F578" s="1"/>
    </row>
    <row r="579" customFormat="false" ht="16.8" hidden="false" customHeight="false" outlineLevel="0" collapsed="false">
      <c r="A579" s="33" t="s">
        <v>18</v>
      </c>
      <c r="B579" s="34" t="n">
        <v>14250</v>
      </c>
      <c r="C579" s="1"/>
      <c r="D579" s="1"/>
      <c r="E579" s="26"/>
      <c r="F579" s="1"/>
    </row>
    <row r="580" customFormat="false" ht="16.8" hidden="false" customHeight="false" outlineLevel="0" collapsed="false">
      <c r="A580" s="25" t="s">
        <v>11</v>
      </c>
      <c r="B580" s="35" t="n">
        <f aca="false">SUM(B577:B579)</f>
        <v>103420</v>
      </c>
      <c r="C580" s="1"/>
      <c r="D580" s="1"/>
      <c r="E580" s="26"/>
      <c r="F580" s="1"/>
    </row>
    <row r="581" customFormat="false" ht="13.2" hidden="false" customHeight="false" outlineLevel="0" collapsed="false">
      <c r="A581" s="1"/>
      <c r="B581" s="1"/>
      <c r="C581" s="1"/>
      <c r="D581" s="1"/>
      <c r="E581" s="26"/>
      <c r="F581" s="1"/>
    </row>
    <row r="582" customFormat="false" ht="13.2" hidden="false" customHeight="false" outlineLevel="0" collapsed="false">
      <c r="A582" s="39" t="s">
        <v>23</v>
      </c>
      <c r="B582" s="39" t="s">
        <v>24</v>
      </c>
      <c r="C582" s="39" t="s">
        <v>25</v>
      </c>
      <c r="D582" s="39" t="s">
        <v>26</v>
      </c>
      <c r="E582" s="41" t="s">
        <v>27</v>
      </c>
      <c r="F582" s="41"/>
    </row>
    <row r="583" customFormat="false" ht="13.2" hidden="false" customHeight="false" outlineLevel="0" collapsed="false">
      <c r="A583" s="26"/>
      <c r="B583" s="26"/>
      <c r="C583" s="26"/>
      <c r="D583" s="26"/>
      <c r="E583" s="26"/>
      <c r="F583" s="26"/>
    </row>
    <row r="584" customFormat="false" ht="13.2" hidden="false" customHeight="false" outlineLevel="0" collapsed="false">
      <c r="A584" s="26"/>
      <c r="B584" s="26"/>
      <c r="C584" s="26"/>
      <c r="D584" s="26"/>
      <c r="E584" s="26"/>
      <c r="F584" s="26"/>
    </row>
    <row r="585" customFormat="false" ht="13.2" hidden="false" customHeight="false" outlineLevel="0" collapsed="false">
      <c r="A585" s="26"/>
      <c r="B585" s="26"/>
      <c r="C585" s="26"/>
      <c r="D585" s="26"/>
      <c r="E585" s="26"/>
      <c r="F585" s="26"/>
    </row>
    <row r="586" customFormat="false" ht="13.2" hidden="false" customHeight="false" outlineLevel="0" collapsed="false">
      <c r="A586" s="26"/>
      <c r="B586" s="26"/>
      <c r="C586" s="26"/>
      <c r="D586" s="26"/>
      <c r="E586" s="26"/>
      <c r="F586" s="26"/>
    </row>
    <row r="587" customFormat="false" ht="13.2" hidden="false" customHeight="false" outlineLevel="0" collapsed="false">
      <c r="A587" s="39" t="s">
        <v>34</v>
      </c>
      <c r="B587" s="39"/>
      <c r="C587" s="39"/>
      <c r="D587" s="39"/>
      <c r="E587" s="41" t="s">
        <v>29</v>
      </c>
      <c r="F587" s="41"/>
    </row>
    <row r="592" customFormat="false" ht="13.8" hidden="false" customHeight="false" outlineLevel="0" collapsed="false">
      <c r="A592" s="116" t="s">
        <v>0</v>
      </c>
      <c r="B592" s="117"/>
      <c r="C592" s="117"/>
      <c r="D592" s="117"/>
      <c r="E592" s="117"/>
      <c r="F592" s="16"/>
    </row>
    <row r="593" customFormat="false" ht="18.6" hidden="false" customHeight="true" outlineLevel="0" collapsed="false">
      <c r="A593" s="118" t="s">
        <v>222</v>
      </c>
      <c r="B593" s="118"/>
      <c r="C593" s="118"/>
      <c r="D593" s="118"/>
      <c r="E593" s="118"/>
      <c r="F593" s="43"/>
    </row>
    <row r="594" customFormat="false" ht="13.8" hidden="false" customHeight="true" outlineLevel="0" collapsed="false">
      <c r="A594" s="119" t="s">
        <v>2</v>
      </c>
      <c r="B594" s="119"/>
      <c r="C594" s="119"/>
      <c r="D594" s="119"/>
      <c r="E594" s="119"/>
      <c r="F594" s="44"/>
    </row>
    <row r="595" customFormat="false" ht="16.8" hidden="false" customHeight="false" outlineLevel="0" collapsed="false">
      <c r="A595" s="13" t="s">
        <v>3</v>
      </c>
      <c r="B595" s="14"/>
      <c r="C595" s="14"/>
      <c r="D595" s="46"/>
      <c r="E595" s="46" t="s">
        <v>4</v>
      </c>
      <c r="F595" s="66"/>
    </row>
    <row r="596" customFormat="false" ht="33.6" hidden="false" customHeight="false" outlineLevel="0" collapsed="false">
      <c r="A596" s="17" t="s">
        <v>5</v>
      </c>
      <c r="B596" s="17" t="s">
        <v>5</v>
      </c>
      <c r="C596" s="17" t="s">
        <v>223</v>
      </c>
      <c r="D596" s="17" t="s">
        <v>7</v>
      </c>
      <c r="E596" s="17" t="s">
        <v>8</v>
      </c>
      <c r="F596" s="1"/>
    </row>
    <row r="597" customFormat="false" ht="16.8" hidden="false" customHeight="false" outlineLevel="0" collapsed="false">
      <c r="A597" s="19" t="s">
        <v>9</v>
      </c>
      <c r="B597" s="20" t="n">
        <f aca="false">E562</f>
        <v>110</v>
      </c>
      <c r="C597" s="20" t="n">
        <v>125</v>
      </c>
      <c r="D597" s="20" t="n">
        <v>235</v>
      </c>
      <c r="E597" s="47" t="n">
        <f aca="false">B597+C597-D597</f>
        <v>0</v>
      </c>
      <c r="F597" s="1"/>
    </row>
    <row r="598" customFormat="false" ht="33.6" hidden="false" customHeight="false" outlineLevel="0" collapsed="false">
      <c r="A598" s="97" t="s">
        <v>159</v>
      </c>
      <c r="B598" s="20" t="n">
        <f aca="false">E563</f>
        <v>3395</v>
      </c>
      <c r="C598" s="20"/>
      <c r="D598" s="20"/>
      <c r="E598" s="47" t="n">
        <f aca="false">B598+C598-D598</f>
        <v>3395</v>
      </c>
      <c r="F598" s="1"/>
    </row>
    <row r="599" customFormat="false" ht="33.6" hidden="false" customHeight="false" outlineLevel="0" collapsed="false">
      <c r="A599" s="97" t="s">
        <v>202</v>
      </c>
      <c r="B599" s="20" t="n">
        <f aca="false">E564</f>
        <v>0</v>
      </c>
      <c r="C599" s="20"/>
      <c r="D599" s="20"/>
      <c r="E599" s="47"/>
      <c r="F599" s="1"/>
    </row>
    <row r="600" customFormat="false" ht="16.8" hidden="false" customHeight="false" outlineLevel="0" collapsed="false">
      <c r="A600" s="19" t="s">
        <v>10</v>
      </c>
      <c r="B600" s="20" t="n">
        <f aca="false">E565</f>
        <v>617633</v>
      </c>
      <c r="C600" s="20" t="n">
        <v>96127</v>
      </c>
      <c r="D600" s="20" t="n">
        <v>713760</v>
      </c>
      <c r="E600" s="47" t="n">
        <f aca="false">B600+C600-D600</f>
        <v>0</v>
      </c>
      <c r="F600" s="45"/>
    </row>
    <row r="601" customFormat="false" ht="16.8" hidden="false" customHeight="false" outlineLevel="0" collapsed="false">
      <c r="A601" s="21" t="s">
        <v>11</v>
      </c>
      <c r="B601" s="22" t="n">
        <f aca="false">SUM(B597:B600)</f>
        <v>621138</v>
      </c>
      <c r="C601" s="22" t="s">
        <v>224</v>
      </c>
      <c r="D601" s="22" t="n">
        <f aca="false">SUM(D597:D600)</f>
        <v>713995</v>
      </c>
      <c r="E601" s="22" t="n">
        <f aca="false">SUM(E597:E600)</f>
        <v>3395</v>
      </c>
      <c r="F601" s="45"/>
    </row>
    <row r="602" customFormat="false" ht="16.8" hidden="false" customHeight="false" outlineLevel="0" collapsed="false">
      <c r="A602" s="13" t="s">
        <v>12</v>
      </c>
      <c r="B602" s="13"/>
      <c r="C602" s="13"/>
      <c r="D602" s="13"/>
      <c r="E602" s="24"/>
      <c r="F602" s="24"/>
    </row>
    <row r="603" customFormat="false" ht="67.2" hidden="false" customHeight="false" outlineLevel="0" collapsed="false">
      <c r="A603" s="25" t="s">
        <v>13</v>
      </c>
      <c r="B603" s="17" t="s">
        <v>225</v>
      </c>
      <c r="C603" s="17" t="s">
        <v>226</v>
      </c>
      <c r="D603" s="93" t="s">
        <v>138</v>
      </c>
      <c r="E603" s="73" t="s">
        <v>16</v>
      </c>
    </row>
    <row r="604" customFormat="false" ht="33.6" hidden="false" customHeight="false" outlineLevel="0" collapsed="false">
      <c r="A604" s="49" t="s">
        <v>49</v>
      </c>
      <c r="B604" s="50"/>
      <c r="C604" s="20"/>
      <c r="D604" s="20"/>
      <c r="E604" s="29"/>
    </row>
    <row r="605" customFormat="false" ht="16.8" hidden="false" customHeight="false" outlineLevel="0" collapsed="false">
      <c r="A605" s="49" t="s">
        <v>53</v>
      </c>
      <c r="B605" s="50" t="n">
        <f aca="false">29760+82830+50590</f>
        <v>163180</v>
      </c>
      <c r="C605" s="19" t="n">
        <v>44210</v>
      </c>
      <c r="D605" s="19"/>
      <c r="E605" s="51"/>
    </row>
    <row r="606" customFormat="false" ht="16.8" hidden="false" customHeight="false" outlineLevel="0" collapsed="false">
      <c r="A606" s="53" t="s">
        <v>18</v>
      </c>
      <c r="B606" s="50"/>
      <c r="C606" s="20"/>
      <c r="D606" s="20"/>
      <c r="E606" s="20"/>
    </row>
    <row r="607" customFormat="false" ht="16.8" hidden="false" customHeight="false" outlineLevel="0" collapsed="false">
      <c r="A607" s="30" t="s">
        <v>11</v>
      </c>
      <c r="B607" s="22" t="n">
        <f aca="false">SUM(B604:B606)</f>
        <v>163180</v>
      </c>
      <c r="C607" s="94" t="n">
        <f aca="false">SUM(C604:C606)</f>
        <v>44210</v>
      </c>
      <c r="D607" s="89"/>
      <c r="E607" s="89" t="n">
        <f aca="false">D601/(B607+C607)</f>
        <v>3.44276483919186</v>
      </c>
    </row>
    <row r="608" customFormat="false" ht="16.8" hidden="false" customHeight="false" outlineLevel="0" collapsed="false">
      <c r="A608" s="55"/>
      <c r="B608" s="56"/>
      <c r="C608" s="100"/>
    </row>
    <row r="609" customFormat="false" ht="16.8" hidden="false" customHeight="false" outlineLevel="0" collapsed="false">
      <c r="A609" s="13" t="s">
        <v>20</v>
      </c>
      <c r="B609" s="1"/>
      <c r="C609" s="1"/>
      <c r="D609" s="1"/>
      <c r="E609" s="1"/>
      <c r="F609" s="1"/>
    </row>
    <row r="610" customFormat="false" ht="16.8" hidden="false" customHeight="false" outlineLevel="0" collapsed="false">
      <c r="A610" s="17" t="s">
        <v>13</v>
      </c>
      <c r="B610" s="17" t="s">
        <v>21</v>
      </c>
      <c r="C610" s="18"/>
      <c r="D610" s="18"/>
      <c r="E610" s="1"/>
      <c r="F610" s="18"/>
    </row>
    <row r="611" customFormat="false" ht="16.8" hidden="false" customHeight="false" outlineLevel="0" collapsed="false">
      <c r="A611" s="33" t="s">
        <v>22</v>
      </c>
      <c r="B611" s="34" t="n">
        <v>1450</v>
      </c>
      <c r="C611" s="1"/>
      <c r="D611" s="1"/>
      <c r="E611" s="39"/>
      <c r="F611" s="1"/>
    </row>
    <row r="612" customFormat="false" ht="16.8" hidden="false" customHeight="false" outlineLevel="0" collapsed="false">
      <c r="A612" s="33" t="s">
        <v>17</v>
      </c>
      <c r="B612" s="34" t="n">
        <f aca="false">127030-B611-B613</f>
        <v>111330</v>
      </c>
      <c r="C612" s="1"/>
      <c r="D612" s="1"/>
      <c r="E612" s="26"/>
      <c r="F612" s="1"/>
    </row>
    <row r="613" customFormat="false" ht="16.8" hidden="false" customHeight="false" outlineLevel="0" collapsed="false">
      <c r="A613" s="33" t="s">
        <v>18</v>
      </c>
      <c r="B613" s="34" t="n">
        <v>14250</v>
      </c>
      <c r="C613" s="1"/>
      <c r="D613" s="1"/>
      <c r="E613" s="26"/>
      <c r="F613" s="1"/>
    </row>
    <row r="614" customFormat="false" ht="16.8" hidden="false" customHeight="false" outlineLevel="0" collapsed="false">
      <c r="A614" s="25" t="s">
        <v>11</v>
      </c>
      <c r="B614" s="35" t="n">
        <f aca="false">SUM(B611:B613)</f>
        <v>127030</v>
      </c>
      <c r="C614" s="1"/>
      <c r="D614" s="1"/>
      <c r="E614" s="26"/>
      <c r="F614" s="1"/>
    </row>
    <row r="615" customFormat="false" ht="13.2" hidden="false" customHeight="false" outlineLevel="0" collapsed="false">
      <c r="A615" s="1"/>
      <c r="B615" s="1"/>
      <c r="C615" s="1"/>
      <c r="D615" s="1"/>
      <c r="E615" s="26"/>
      <c r="F615" s="1"/>
    </row>
    <row r="616" customFormat="false" ht="13.2" hidden="false" customHeight="false" outlineLevel="0" collapsed="false">
      <c r="A616" s="39" t="s">
        <v>23</v>
      </c>
      <c r="B616" s="39" t="s">
        <v>24</v>
      </c>
      <c r="C616" s="39" t="s">
        <v>25</v>
      </c>
      <c r="D616" s="39" t="s">
        <v>26</v>
      </c>
      <c r="E616" s="41" t="s">
        <v>27</v>
      </c>
      <c r="F616" s="41"/>
    </row>
    <row r="617" customFormat="false" ht="13.2" hidden="false" customHeight="false" outlineLevel="0" collapsed="false">
      <c r="A617" s="26"/>
      <c r="B617" s="26"/>
      <c r="C617" s="26"/>
      <c r="D617" s="26"/>
      <c r="E617" s="26"/>
      <c r="F617" s="26"/>
    </row>
    <row r="618" customFormat="false" ht="13.2" hidden="false" customHeight="false" outlineLevel="0" collapsed="false">
      <c r="A618" s="26"/>
      <c r="B618" s="26"/>
      <c r="C618" s="26"/>
      <c r="D618" s="26"/>
      <c r="E618" s="26"/>
      <c r="F618" s="26"/>
    </row>
    <row r="619" customFormat="false" ht="13.2" hidden="false" customHeight="false" outlineLevel="0" collapsed="false">
      <c r="A619" s="26"/>
      <c r="B619" s="26"/>
      <c r="C619" s="26"/>
      <c r="D619" s="26"/>
      <c r="E619" s="26"/>
      <c r="F619" s="26"/>
    </row>
    <row r="620" customFormat="false" ht="13.2" hidden="false" customHeight="false" outlineLevel="0" collapsed="false">
      <c r="A620" s="26"/>
      <c r="B620" s="26"/>
      <c r="C620" s="26"/>
      <c r="D620" s="26"/>
      <c r="E620" s="26"/>
      <c r="F620" s="26"/>
    </row>
    <row r="621" customFormat="false" ht="13.2" hidden="false" customHeight="false" outlineLevel="0" collapsed="false">
      <c r="A621" s="39" t="s">
        <v>34</v>
      </c>
      <c r="B621" s="39"/>
      <c r="C621" s="39"/>
      <c r="D621" s="39"/>
      <c r="E621" s="41" t="s">
        <v>29</v>
      </c>
      <c r="F621" s="41"/>
    </row>
    <row r="624" customFormat="false" ht="13.8" hidden="false" customHeight="false" outlineLevel="0" collapsed="false">
      <c r="A624" s="116"/>
      <c r="B624" s="117"/>
      <c r="C624" s="117"/>
      <c r="D624" s="117"/>
      <c r="E624" s="117"/>
      <c r="F624" s="16"/>
    </row>
    <row r="625" customFormat="false" ht="18.6" hidden="false" customHeight="true" outlineLevel="0" collapsed="false">
      <c r="A625" s="118" t="s">
        <v>227</v>
      </c>
      <c r="B625" s="118"/>
      <c r="C625" s="118"/>
      <c r="D625" s="118"/>
      <c r="E625" s="118"/>
      <c r="F625" s="43"/>
    </row>
    <row r="626" customFormat="false" ht="13.8" hidden="false" customHeight="true" outlineLevel="0" collapsed="false">
      <c r="A626" s="119" t="s">
        <v>2</v>
      </c>
      <c r="B626" s="119"/>
      <c r="C626" s="119"/>
      <c r="D626" s="119"/>
      <c r="E626" s="119"/>
      <c r="F626" s="44"/>
    </row>
    <row r="627" customFormat="false" ht="16.8" hidden="false" customHeight="false" outlineLevel="0" collapsed="false">
      <c r="A627" s="13" t="s">
        <v>3</v>
      </c>
      <c r="B627" s="14"/>
      <c r="C627" s="14"/>
      <c r="D627" s="46"/>
      <c r="E627" s="46" t="s">
        <v>4</v>
      </c>
      <c r="F627" s="66"/>
    </row>
    <row r="628" customFormat="false" ht="33.6" hidden="false" customHeight="false" outlineLevel="0" collapsed="false">
      <c r="A628" s="17" t="s">
        <v>5</v>
      </c>
      <c r="B628" s="17" t="s">
        <v>5</v>
      </c>
      <c r="C628" s="17" t="s">
        <v>228</v>
      </c>
      <c r="D628" s="17" t="s">
        <v>7</v>
      </c>
      <c r="E628" s="17" t="s">
        <v>8</v>
      </c>
      <c r="F628" s="1"/>
    </row>
    <row r="629" customFormat="false" ht="16.8" hidden="false" customHeight="false" outlineLevel="0" collapsed="false">
      <c r="A629" s="19" t="s">
        <v>9</v>
      </c>
      <c r="B629" s="20" t="n">
        <f aca="false">E597</f>
        <v>0</v>
      </c>
      <c r="C629" s="20"/>
      <c r="D629" s="20"/>
      <c r="E629" s="47" t="n">
        <f aca="false">B629+C629-D629</f>
        <v>0</v>
      </c>
      <c r="F629" s="1"/>
    </row>
    <row r="630" customFormat="false" ht="33.6" hidden="false" customHeight="false" outlineLevel="0" collapsed="false">
      <c r="A630" s="97" t="s">
        <v>159</v>
      </c>
      <c r="B630" s="20" t="n">
        <f aca="false">E598</f>
        <v>3395</v>
      </c>
      <c r="C630" s="20"/>
      <c r="D630" s="20"/>
      <c r="E630" s="47" t="n">
        <f aca="false">B630+C630-D630</f>
        <v>3395</v>
      </c>
      <c r="F630" s="1"/>
    </row>
    <row r="631" customFormat="false" ht="33.6" hidden="false" customHeight="false" outlineLevel="0" collapsed="false">
      <c r="A631" s="97" t="s">
        <v>202</v>
      </c>
      <c r="B631" s="20" t="n">
        <f aca="false">E599</f>
        <v>0</v>
      </c>
      <c r="C631" s="20"/>
      <c r="D631" s="20"/>
      <c r="E631" s="47"/>
      <c r="F631" s="1"/>
    </row>
    <row r="632" customFormat="false" ht="16.8" hidden="false" customHeight="false" outlineLevel="0" collapsed="false">
      <c r="A632" s="19" t="s">
        <v>10</v>
      </c>
      <c r="B632" s="20" t="n">
        <f aca="false">E600</f>
        <v>0</v>
      </c>
      <c r="C632" s="20" t="n">
        <v>161531</v>
      </c>
      <c r="D632" s="20"/>
      <c r="E632" s="47" t="n">
        <f aca="false">B632+C632-D632</f>
        <v>161531</v>
      </c>
      <c r="F632" s="45"/>
    </row>
    <row r="633" customFormat="false" ht="15.75" hidden="false" customHeight="true" outlineLevel="0" collapsed="false">
      <c r="A633" s="21" t="s">
        <v>11</v>
      </c>
      <c r="B633" s="22" t="n">
        <f aca="false">SUM(B629:B632)</f>
        <v>3395</v>
      </c>
      <c r="C633" s="22" t="s">
        <v>224</v>
      </c>
      <c r="D633" s="22" t="n">
        <f aca="false">SUM(D629:D632)</f>
        <v>0</v>
      </c>
      <c r="E633" s="22" t="n">
        <f aca="false">SUM(E629:E632)</f>
        <v>164926</v>
      </c>
      <c r="F633" s="45"/>
    </row>
    <row r="634" customFormat="false" ht="16.8" hidden="false" customHeight="false" outlineLevel="0" collapsed="false">
      <c r="A634" s="77" t="s">
        <v>203</v>
      </c>
      <c r="B634" s="56"/>
      <c r="C634" s="56"/>
      <c r="D634" s="56"/>
      <c r="E634" s="56"/>
      <c r="F634" s="45"/>
    </row>
    <row r="635" customFormat="false" ht="16.8" hidden="false" customHeight="false" outlineLevel="0" collapsed="false">
      <c r="A635" s="13" t="s">
        <v>12</v>
      </c>
      <c r="B635" s="13"/>
      <c r="C635" s="13"/>
      <c r="D635" s="13"/>
      <c r="E635" s="24"/>
      <c r="F635" s="24"/>
    </row>
    <row r="636" customFormat="false" ht="67.2" hidden="false" customHeight="false" outlineLevel="0" collapsed="false">
      <c r="A636" s="25" t="s">
        <v>13</v>
      </c>
      <c r="B636" s="17" t="s">
        <v>229</v>
      </c>
      <c r="C636" s="93" t="s">
        <v>138</v>
      </c>
      <c r="D636" s="73" t="s">
        <v>16</v>
      </c>
    </row>
    <row r="637" customFormat="false" ht="33.6" hidden="false" customHeight="false" outlineLevel="0" collapsed="false">
      <c r="A637" s="49" t="s">
        <v>49</v>
      </c>
      <c r="B637" s="20"/>
      <c r="C637" s="20"/>
      <c r="D637" s="29"/>
    </row>
    <row r="638" customFormat="false" ht="16.8" hidden="false" customHeight="false" outlineLevel="0" collapsed="false">
      <c r="A638" s="49" t="s">
        <v>53</v>
      </c>
      <c r="B638" s="19" t="n">
        <v>27800</v>
      </c>
      <c r="C638" s="51" t="n">
        <v>60.011</v>
      </c>
      <c r="D638" s="51"/>
    </row>
    <row r="639" customFormat="false" ht="16.8" hidden="false" customHeight="false" outlineLevel="0" collapsed="false">
      <c r="A639" s="53" t="s">
        <v>18</v>
      </c>
      <c r="B639" s="20"/>
      <c r="C639" s="20"/>
      <c r="D639" s="20"/>
    </row>
    <row r="640" customFormat="false" ht="16.8" hidden="false" customHeight="false" outlineLevel="0" collapsed="false">
      <c r="A640" s="30" t="s">
        <v>11</v>
      </c>
      <c r="B640" s="94" t="n">
        <f aca="false">SUM(B637:B639)</f>
        <v>27800</v>
      </c>
      <c r="C640" s="89"/>
      <c r="D640" s="89"/>
    </row>
    <row r="641" customFormat="false" ht="16.8" hidden="false" customHeight="false" outlineLevel="0" collapsed="false">
      <c r="A641" s="55"/>
      <c r="B641" s="56"/>
      <c r="C641" s="100"/>
    </row>
    <row r="642" customFormat="false" ht="16.8" hidden="false" customHeight="false" outlineLevel="0" collapsed="false">
      <c r="A642" s="13" t="s">
        <v>20</v>
      </c>
      <c r="B642" s="1"/>
      <c r="C642" s="1"/>
      <c r="D642" s="1"/>
      <c r="E642" s="1"/>
      <c r="F642" s="1"/>
    </row>
    <row r="643" customFormat="false" ht="16.8" hidden="false" customHeight="false" outlineLevel="0" collapsed="false">
      <c r="A643" s="17" t="s">
        <v>13</v>
      </c>
      <c r="B643" s="17" t="s">
        <v>21</v>
      </c>
      <c r="C643" s="18"/>
      <c r="D643" s="18"/>
      <c r="E643" s="1"/>
      <c r="F643" s="18"/>
    </row>
    <row r="644" customFormat="false" ht="16.8" hidden="false" customHeight="false" outlineLevel="0" collapsed="false">
      <c r="A644" s="33" t="s">
        <v>22</v>
      </c>
      <c r="B644" s="34" t="n">
        <v>1450</v>
      </c>
      <c r="C644" s="1"/>
      <c r="D644" s="1"/>
      <c r="E644" s="39"/>
      <c r="F644" s="1"/>
    </row>
    <row r="645" customFormat="false" ht="16.8" hidden="false" customHeight="false" outlineLevel="0" collapsed="false">
      <c r="A645" s="33" t="s">
        <v>17</v>
      </c>
      <c r="B645" s="34" t="n">
        <f aca="false">154830-B644-B646</f>
        <v>139130</v>
      </c>
      <c r="C645" s="1"/>
      <c r="D645" s="1"/>
      <c r="E645" s="26"/>
      <c r="F645" s="1"/>
    </row>
    <row r="646" customFormat="false" ht="16.8" hidden="false" customHeight="false" outlineLevel="0" collapsed="false">
      <c r="A646" s="33" t="s">
        <v>18</v>
      </c>
      <c r="B646" s="34" t="n">
        <v>14250</v>
      </c>
      <c r="C646" s="1"/>
      <c r="D646" s="1"/>
      <c r="E646" s="26"/>
      <c r="F646" s="1"/>
    </row>
    <row r="647" customFormat="false" ht="16.8" hidden="false" customHeight="false" outlineLevel="0" collapsed="false">
      <c r="A647" s="25" t="s">
        <v>11</v>
      </c>
      <c r="B647" s="35" t="n">
        <f aca="false">SUM(B644:B646)</f>
        <v>154830</v>
      </c>
      <c r="C647" s="1"/>
      <c r="D647" s="1"/>
      <c r="E647" s="26"/>
      <c r="F647" s="1"/>
    </row>
    <row r="648" customFormat="false" ht="13.2" hidden="false" customHeight="false" outlineLevel="0" collapsed="false">
      <c r="A648" s="1"/>
      <c r="B648" s="1"/>
      <c r="C648" s="1"/>
      <c r="D648" s="1"/>
      <c r="E648" s="26"/>
      <c r="F648" s="1"/>
    </row>
    <row r="649" customFormat="false" ht="13.2" hidden="false" customHeight="false" outlineLevel="0" collapsed="false">
      <c r="A649" s="39" t="s">
        <v>23</v>
      </c>
      <c r="B649" s="39" t="s">
        <v>24</v>
      </c>
      <c r="C649" s="39" t="s">
        <v>25</v>
      </c>
      <c r="D649" s="39" t="s">
        <v>26</v>
      </c>
      <c r="E649" s="41" t="s">
        <v>27</v>
      </c>
      <c r="F649" s="41"/>
    </row>
    <row r="650" customFormat="false" ht="13.2" hidden="false" customHeight="false" outlineLevel="0" collapsed="false">
      <c r="A650" s="26"/>
      <c r="B650" s="26"/>
      <c r="C650" s="26"/>
      <c r="D650" s="26"/>
      <c r="E650" s="26"/>
      <c r="F650" s="26"/>
    </row>
    <row r="651" customFormat="false" ht="13.2" hidden="false" customHeight="false" outlineLevel="0" collapsed="false">
      <c r="A651" s="26"/>
      <c r="B651" s="26"/>
      <c r="C651" s="26"/>
      <c r="D651" s="26"/>
      <c r="E651" s="26"/>
      <c r="F651" s="26"/>
    </row>
    <row r="652" customFormat="false" ht="13.2" hidden="false" customHeight="false" outlineLevel="0" collapsed="false">
      <c r="A652" s="26"/>
      <c r="B652" s="26"/>
      <c r="C652" s="26"/>
      <c r="D652" s="26"/>
      <c r="E652" s="26"/>
      <c r="F652" s="26"/>
    </row>
    <row r="653" customFormat="false" ht="13.2" hidden="false" customHeight="false" outlineLevel="0" collapsed="false">
      <c r="A653" s="26"/>
      <c r="B653" s="26"/>
      <c r="C653" s="26"/>
      <c r="D653" s="26"/>
      <c r="E653" s="26"/>
      <c r="F653" s="26"/>
    </row>
    <row r="654" customFormat="false" ht="13.2" hidden="false" customHeight="false" outlineLevel="0" collapsed="false">
      <c r="A654" s="39" t="s">
        <v>34</v>
      </c>
      <c r="B654" s="39"/>
      <c r="C654" s="39"/>
      <c r="D654" s="39"/>
      <c r="E654" s="41" t="s">
        <v>29</v>
      </c>
      <c r="F654" s="41"/>
    </row>
    <row r="659" customFormat="false" ht="18.6" hidden="false" customHeight="true" outlineLevel="0" collapsed="false">
      <c r="A659" s="118" t="s">
        <v>230</v>
      </c>
      <c r="B659" s="118"/>
      <c r="C659" s="118"/>
      <c r="D659" s="118"/>
      <c r="E659" s="118"/>
      <c r="F659" s="43"/>
    </row>
    <row r="660" customFormat="false" ht="13.8" hidden="false" customHeight="true" outlineLevel="0" collapsed="false">
      <c r="A660" s="119" t="s">
        <v>2</v>
      </c>
      <c r="B660" s="119"/>
      <c r="C660" s="119"/>
      <c r="D660" s="119"/>
      <c r="E660" s="119"/>
      <c r="F660" s="44"/>
    </row>
    <row r="661" customFormat="false" ht="16.8" hidden="false" customHeight="false" outlineLevel="0" collapsed="false">
      <c r="A661" s="13" t="s">
        <v>3</v>
      </c>
      <c r="B661" s="14"/>
      <c r="C661" s="14"/>
      <c r="D661" s="46"/>
      <c r="E661" s="46" t="s">
        <v>4</v>
      </c>
      <c r="F661" s="66"/>
    </row>
    <row r="662" customFormat="false" ht="33.6" hidden="false" customHeight="false" outlineLevel="0" collapsed="false">
      <c r="A662" s="17" t="s">
        <v>5</v>
      </c>
      <c r="B662" s="17" t="s">
        <v>5</v>
      </c>
      <c r="C662" s="17" t="s">
        <v>231</v>
      </c>
      <c r="D662" s="17" t="s">
        <v>7</v>
      </c>
      <c r="E662" s="17" t="s">
        <v>8</v>
      </c>
      <c r="F662" s="1"/>
    </row>
    <row r="663" customFormat="false" ht="16.8" hidden="false" customHeight="false" outlineLevel="0" collapsed="false">
      <c r="A663" s="19" t="s">
        <v>9</v>
      </c>
      <c r="B663" s="20" t="n">
        <f aca="false">E629</f>
        <v>0</v>
      </c>
      <c r="C663" s="20" t="n">
        <v>15</v>
      </c>
      <c r="D663" s="20" t="n">
        <v>15</v>
      </c>
      <c r="E663" s="47" t="n">
        <f aca="false">B663+C663-D663</f>
        <v>0</v>
      </c>
      <c r="F663" s="1"/>
    </row>
    <row r="664" customFormat="false" ht="33.6" hidden="false" customHeight="false" outlineLevel="0" collapsed="false">
      <c r="A664" s="97" t="s">
        <v>159</v>
      </c>
      <c r="B664" s="20" t="n">
        <f aca="false">E630</f>
        <v>3395</v>
      </c>
      <c r="C664" s="20"/>
      <c r="D664" s="20"/>
      <c r="E664" s="47" t="n">
        <f aca="false">B664+C664-D664</f>
        <v>3395</v>
      </c>
      <c r="F664" s="1"/>
    </row>
    <row r="665" customFormat="false" ht="33.6" hidden="false" customHeight="false" outlineLevel="0" collapsed="false">
      <c r="A665" s="97" t="s">
        <v>202</v>
      </c>
      <c r="B665" s="20" t="n">
        <f aca="false">E631</f>
        <v>0</v>
      </c>
      <c r="C665" s="20"/>
      <c r="D665" s="20"/>
      <c r="E665" s="47"/>
      <c r="F665" s="1"/>
    </row>
    <row r="666" customFormat="false" ht="16.8" hidden="false" customHeight="false" outlineLevel="0" collapsed="false">
      <c r="A666" s="19" t="s">
        <v>10</v>
      </c>
      <c r="B666" s="20" t="n">
        <f aca="false">E632</f>
        <v>161531</v>
      </c>
      <c r="C666" s="20" t="n">
        <v>942</v>
      </c>
      <c r="D666" s="20" t="n">
        <v>162473</v>
      </c>
      <c r="E666" s="47" t="n">
        <f aca="false">B666+C666-D666</f>
        <v>0</v>
      </c>
      <c r="F666" s="45"/>
    </row>
    <row r="667" customFormat="false" ht="16.8" hidden="false" customHeight="false" outlineLevel="0" collapsed="false">
      <c r="A667" s="21" t="s">
        <v>11</v>
      </c>
      <c r="B667" s="22" t="n">
        <f aca="false">SUM(B663:B666)</f>
        <v>164926</v>
      </c>
      <c r="C667" s="22" t="n">
        <f aca="false">SUM(C663:C666)</f>
        <v>957</v>
      </c>
      <c r="D667" s="22" t="n">
        <f aca="false">SUM(D663:D666)</f>
        <v>162488</v>
      </c>
      <c r="E667" s="22" t="n">
        <f aca="false">SUM(E663:E666)</f>
        <v>3395</v>
      </c>
      <c r="F667" s="45"/>
    </row>
    <row r="668" customFormat="false" ht="16.8" hidden="false" customHeight="false" outlineLevel="0" collapsed="false">
      <c r="A668" s="13" t="s">
        <v>12</v>
      </c>
      <c r="B668" s="13"/>
      <c r="C668" s="13"/>
      <c r="D668" s="13"/>
      <c r="E668" s="24"/>
      <c r="F668" s="24"/>
    </row>
    <row r="669" customFormat="false" ht="67.2" hidden="false" customHeight="false" outlineLevel="0" collapsed="false">
      <c r="A669" s="25" t="s">
        <v>13</v>
      </c>
      <c r="B669" s="17" t="s">
        <v>229</v>
      </c>
      <c r="C669" s="17" t="s">
        <v>232</v>
      </c>
      <c r="D669" s="93" t="s">
        <v>138</v>
      </c>
      <c r="E669" s="73" t="s">
        <v>16</v>
      </c>
    </row>
    <row r="670" customFormat="false" ht="33.6" hidden="false" customHeight="false" outlineLevel="0" collapsed="false">
      <c r="A670" s="49" t="s">
        <v>49</v>
      </c>
      <c r="B670" s="20"/>
      <c r="C670" s="20"/>
      <c r="D670" s="20"/>
      <c r="E670" s="29"/>
    </row>
    <row r="671" customFormat="false" ht="16.8" hidden="false" customHeight="false" outlineLevel="0" collapsed="false">
      <c r="A671" s="49" t="s">
        <v>53</v>
      </c>
      <c r="B671" s="19" t="n">
        <v>27800</v>
      </c>
      <c r="C671" s="19" t="n">
        <v>20440</v>
      </c>
      <c r="D671" s="19"/>
      <c r="E671" s="51"/>
    </row>
    <row r="672" customFormat="false" ht="16.8" hidden="false" customHeight="false" outlineLevel="0" collapsed="false">
      <c r="A672" s="53" t="s">
        <v>18</v>
      </c>
      <c r="B672" s="20"/>
      <c r="C672" s="20"/>
      <c r="D672" s="20"/>
      <c r="E672" s="20"/>
    </row>
    <row r="673" customFormat="false" ht="16.8" hidden="false" customHeight="false" outlineLevel="0" collapsed="false">
      <c r="A673" s="30" t="s">
        <v>11</v>
      </c>
      <c r="B673" s="94" t="n">
        <f aca="false">SUM(B670:B672)</f>
        <v>27800</v>
      </c>
      <c r="C673" s="94" t="n">
        <f aca="false">SUM(C670:C672)</f>
        <v>20440</v>
      </c>
      <c r="D673" s="89"/>
      <c r="E673" s="89" t="n">
        <f aca="false">D667/(B673+C673)</f>
        <v>3.36832504145937</v>
      </c>
    </row>
    <row r="674" customFormat="false" ht="16.8" hidden="false" customHeight="false" outlineLevel="0" collapsed="false">
      <c r="A674" s="55"/>
      <c r="B674" s="56"/>
      <c r="C674" s="100"/>
    </row>
    <row r="675" customFormat="false" ht="16.8" hidden="false" customHeight="false" outlineLevel="0" collapsed="false">
      <c r="A675" s="13" t="s">
        <v>20</v>
      </c>
      <c r="B675" s="1"/>
      <c r="C675" s="1"/>
      <c r="D675" s="1"/>
      <c r="E675" s="1"/>
      <c r="F675" s="1"/>
    </row>
    <row r="676" customFormat="false" ht="16.8" hidden="false" customHeight="false" outlineLevel="0" collapsed="false">
      <c r="A676" s="17" t="s">
        <v>13</v>
      </c>
      <c r="B676" s="17" t="s">
        <v>21</v>
      </c>
      <c r="C676" s="18"/>
      <c r="D676" s="18"/>
      <c r="E676" s="1"/>
      <c r="F676" s="18"/>
    </row>
    <row r="677" customFormat="false" ht="16.8" hidden="false" customHeight="false" outlineLevel="0" collapsed="false">
      <c r="A677" s="33" t="s">
        <v>22</v>
      </c>
      <c r="B677" s="34" t="n">
        <v>1450</v>
      </c>
      <c r="C677" s="1"/>
      <c r="D677" s="1"/>
      <c r="E677" s="39"/>
      <c r="F677" s="1"/>
    </row>
    <row r="678" customFormat="false" ht="16.8" hidden="false" customHeight="false" outlineLevel="0" collapsed="false">
      <c r="A678" s="33" t="s">
        <v>17</v>
      </c>
      <c r="B678" s="34" t="n">
        <f aca="false">135270-B677-B679</f>
        <v>119570</v>
      </c>
      <c r="C678" s="1"/>
      <c r="D678" s="1"/>
      <c r="E678" s="26"/>
      <c r="F678" s="1"/>
    </row>
    <row r="679" customFormat="false" ht="16.8" hidden="false" customHeight="false" outlineLevel="0" collapsed="false">
      <c r="A679" s="33" t="s">
        <v>18</v>
      </c>
      <c r="B679" s="34" t="n">
        <v>14250</v>
      </c>
      <c r="C679" s="1"/>
      <c r="D679" s="1"/>
      <c r="E679" s="26"/>
      <c r="F679" s="1"/>
    </row>
    <row r="680" customFormat="false" ht="16.8" hidden="false" customHeight="false" outlineLevel="0" collapsed="false">
      <c r="A680" s="25" t="s">
        <v>11</v>
      </c>
      <c r="B680" s="35" t="n">
        <f aca="false">SUM(B677:B679)</f>
        <v>135270</v>
      </c>
      <c r="C680" s="1"/>
      <c r="D680" s="1"/>
      <c r="E680" s="26"/>
      <c r="F680" s="1"/>
    </row>
    <row r="681" customFormat="false" ht="13.2" hidden="false" customHeight="false" outlineLevel="0" collapsed="false">
      <c r="A681" s="1"/>
      <c r="B681" s="1"/>
      <c r="C681" s="1"/>
      <c r="D681" s="1"/>
      <c r="E681" s="26"/>
      <c r="F681" s="1"/>
    </row>
    <row r="682" customFormat="false" ht="13.2" hidden="false" customHeight="false" outlineLevel="0" collapsed="false">
      <c r="A682" s="39" t="s">
        <v>23</v>
      </c>
      <c r="B682" s="39" t="s">
        <v>24</v>
      </c>
      <c r="C682" s="39" t="s">
        <v>25</v>
      </c>
      <c r="D682" s="39" t="s">
        <v>26</v>
      </c>
      <c r="E682" s="41" t="s">
        <v>27</v>
      </c>
      <c r="F682" s="41"/>
    </row>
    <row r="683" customFormat="false" ht="13.2" hidden="false" customHeight="false" outlineLevel="0" collapsed="false">
      <c r="A683" s="26"/>
      <c r="B683" s="26"/>
      <c r="C683" s="26"/>
      <c r="D683" s="26"/>
      <c r="E683" s="26"/>
      <c r="F683" s="26"/>
    </row>
    <row r="684" customFormat="false" ht="13.2" hidden="false" customHeight="false" outlineLevel="0" collapsed="false">
      <c r="A684" s="26"/>
      <c r="B684" s="26"/>
      <c r="C684" s="26"/>
      <c r="D684" s="26"/>
      <c r="E684" s="26"/>
      <c r="F684" s="26"/>
    </row>
    <row r="685" customFormat="false" ht="13.2" hidden="false" customHeight="false" outlineLevel="0" collapsed="false">
      <c r="A685" s="26"/>
      <c r="B685" s="26"/>
      <c r="C685" s="26"/>
      <c r="D685" s="26"/>
      <c r="E685" s="26"/>
      <c r="F685" s="26"/>
    </row>
    <row r="686" customFormat="false" ht="13.2" hidden="false" customHeight="false" outlineLevel="0" collapsed="false">
      <c r="A686" s="26"/>
      <c r="B686" s="26"/>
      <c r="C686" s="26"/>
      <c r="D686" s="26"/>
      <c r="E686" s="26"/>
      <c r="F686" s="26"/>
    </row>
    <row r="687" customFormat="false" ht="13.2" hidden="false" customHeight="false" outlineLevel="0" collapsed="false">
      <c r="A687" s="39" t="s">
        <v>34</v>
      </c>
      <c r="B687" s="39"/>
      <c r="C687" s="39"/>
      <c r="D687" s="39"/>
      <c r="E687" s="41" t="s">
        <v>29</v>
      </c>
      <c r="F687" s="41"/>
    </row>
    <row r="691" customFormat="false" ht="18.6" hidden="false" customHeight="true" outlineLevel="0" collapsed="false">
      <c r="A691" s="118" t="s">
        <v>233</v>
      </c>
      <c r="B691" s="118"/>
      <c r="C691" s="118"/>
      <c r="D691" s="118"/>
      <c r="E691" s="118"/>
      <c r="F691" s="43"/>
    </row>
    <row r="692" customFormat="false" ht="13.8" hidden="false" customHeight="true" outlineLevel="0" collapsed="false">
      <c r="A692" s="119" t="s">
        <v>2</v>
      </c>
      <c r="B692" s="119"/>
      <c r="C692" s="119"/>
      <c r="D692" s="119"/>
      <c r="E692" s="119"/>
      <c r="F692" s="44"/>
    </row>
    <row r="693" customFormat="false" ht="16.8" hidden="false" customHeight="false" outlineLevel="0" collapsed="false">
      <c r="A693" s="13" t="s">
        <v>3</v>
      </c>
      <c r="B693" s="14"/>
      <c r="C693" s="14"/>
      <c r="D693" s="46"/>
      <c r="E693" s="46" t="s">
        <v>4</v>
      </c>
      <c r="F693" s="66"/>
    </row>
    <row r="694" customFormat="false" ht="33.6" hidden="false" customHeight="false" outlineLevel="0" collapsed="false">
      <c r="A694" s="17" t="s">
        <v>5</v>
      </c>
      <c r="B694" s="17" t="s">
        <v>5</v>
      </c>
      <c r="C694" s="17" t="s">
        <v>234</v>
      </c>
      <c r="D694" s="17" t="s">
        <v>7</v>
      </c>
      <c r="E694" s="17" t="s">
        <v>8</v>
      </c>
      <c r="F694" s="1"/>
    </row>
    <row r="695" customFormat="false" ht="16.8" hidden="false" customHeight="false" outlineLevel="0" collapsed="false">
      <c r="A695" s="19" t="s">
        <v>9</v>
      </c>
      <c r="B695" s="20" t="n">
        <f aca="false">E663</f>
        <v>0</v>
      </c>
      <c r="C695" s="20"/>
      <c r="D695" s="20"/>
      <c r="E695" s="47" t="n">
        <f aca="false">B695+C695-D695</f>
        <v>0</v>
      </c>
      <c r="F695" s="1"/>
    </row>
    <row r="696" customFormat="false" ht="33.6" hidden="false" customHeight="false" outlineLevel="0" collapsed="false">
      <c r="A696" s="97" t="s">
        <v>159</v>
      </c>
      <c r="B696" s="20" t="n">
        <f aca="false">E664</f>
        <v>3395</v>
      </c>
      <c r="C696" s="20"/>
      <c r="D696" s="20"/>
      <c r="E696" s="47" t="n">
        <f aca="false">B696+C696-D696</f>
        <v>3395</v>
      </c>
      <c r="F696" s="1"/>
    </row>
    <row r="697" customFormat="false" ht="33.6" hidden="false" customHeight="false" outlineLevel="0" collapsed="false">
      <c r="A697" s="97" t="s">
        <v>202</v>
      </c>
      <c r="B697" s="20" t="n">
        <f aca="false">E665</f>
        <v>0</v>
      </c>
      <c r="C697" s="20"/>
      <c r="D697" s="20"/>
      <c r="E697" s="47"/>
      <c r="F697" s="1"/>
    </row>
    <row r="698" customFormat="false" ht="16.8" hidden="false" customHeight="false" outlineLevel="0" collapsed="false">
      <c r="A698" s="19" t="s">
        <v>10</v>
      </c>
      <c r="B698" s="20" t="n">
        <f aca="false">E666</f>
        <v>0</v>
      </c>
      <c r="C698" s="20" t="n">
        <v>115584</v>
      </c>
      <c r="D698" s="20" t="n">
        <v>115584</v>
      </c>
      <c r="E698" s="47" t="n">
        <f aca="false">B698+C698-D698</f>
        <v>0</v>
      </c>
      <c r="F698" s="45"/>
    </row>
    <row r="699" customFormat="false" ht="16.8" hidden="false" customHeight="false" outlineLevel="0" collapsed="false">
      <c r="A699" s="21" t="s">
        <v>11</v>
      </c>
      <c r="B699" s="22" t="n">
        <f aca="false">SUM(B695:B698)</f>
        <v>3395</v>
      </c>
      <c r="C699" s="22" t="n">
        <f aca="false">SUM(C695:C698)</f>
        <v>115584</v>
      </c>
      <c r="D699" s="22" t="n">
        <f aca="false">SUM(D695:D698)</f>
        <v>115584</v>
      </c>
      <c r="E699" s="22" t="n">
        <f aca="false">SUM(E695:E698)</f>
        <v>3395</v>
      </c>
      <c r="F699" s="45"/>
    </row>
    <row r="700" customFormat="false" ht="16.8" hidden="false" customHeight="false" outlineLevel="0" collapsed="false">
      <c r="A700" s="13" t="s">
        <v>12</v>
      </c>
      <c r="B700" s="13"/>
      <c r="C700" s="13"/>
      <c r="D700" s="13"/>
      <c r="E700" s="24"/>
      <c r="F700" s="24"/>
    </row>
    <row r="701" customFormat="false" ht="67.2" hidden="false" customHeight="false" outlineLevel="0" collapsed="false">
      <c r="A701" s="25" t="s">
        <v>13</v>
      </c>
      <c r="B701" s="17" t="s">
        <v>235</v>
      </c>
      <c r="C701" s="93" t="s">
        <v>138</v>
      </c>
      <c r="D701" s="73" t="s">
        <v>16</v>
      </c>
      <c r="G701" s="99" t="n">
        <f aca="false">D667+D699</f>
        <v>278072</v>
      </c>
    </row>
    <row r="702" customFormat="false" ht="33.6" hidden="false" customHeight="false" outlineLevel="0" collapsed="false">
      <c r="A702" s="49" t="s">
        <v>49</v>
      </c>
      <c r="B702" s="20"/>
      <c r="C702" s="20"/>
      <c r="D702" s="29"/>
      <c r="G702" s="99" t="n">
        <f aca="false">B673+C673+B705</f>
        <v>85640</v>
      </c>
    </row>
    <row r="703" customFormat="false" ht="16.8" hidden="false" customHeight="false" outlineLevel="0" collapsed="false">
      <c r="A703" s="49" t="s">
        <v>53</v>
      </c>
      <c r="B703" s="19" t="n">
        <v>37400</v>
      </c>
      <c r="C703" s="19"/>
      <c r="D703" s="51"/>
      <c r="G703" s="0" t="n">
        <f aca="false">G701/G702</f>
        <v>3.24698738907053</v>
      </c>
    </row>
    <row r="704" customFormat="false" ht="16.8" hidden="false" customHeight="false" outlineLevel="0" collapsed="false">
      <c r="A704" s="53" t="s">
        <v>18</v>
      </c>
      <c r="B704" s="20"/>
      <c r="C704" s="20"/>
      <c r="D704" s="20"/>
    </row>
    <row r="705" customFormat="false" ht="16.8" hidden="false" customHeight="false" outlineLevel="0" collapsed="false">
      <c r="A705" s="30" t="s">
        <v>11</v>
      </c>
      <c r="B705" s="94" t="n">
        <f aca="false">SUM(B702:B704)</f>
        <v>37400</v>
      </c>
      <c r="C705" s="89"/>
      <c r="D705" s="89" t="n">
        <f aca="false">D699/B705</f>
        <v>3.09048128342246</v>
      </c>
    </row>
    <row r="706" customFormat="false" ht="16.8" hidden="false" customHeight="false" outlineLevel="0" collapsed="false">
      <c r="A706" s="55"/>
      <c r="B706" s="56"/>
      <c r="C706" s="100"/>
    </row>
    <row r="707" customFormat="false" ht="16.8" hidden="false" customHeight="false" outlineLevel="0" collapsed="false">
      <c r="A707" s="13" t="s">
        <v>20</v>
      </c>
      <c r="B707" s="1"/>
      <c r="C707" s="1"/>
      <c r="D707" s="1"/>
      <c r="E707" s="1"/>
      <c r="F707" s="1"/>
    </row>
    <row r="708" customFormat="false" ht="16.8" hidden="false" customHeight="false" outlineLevel="0" collapsed="false">
      <c r="A708" s="17" t="s">
        <v>13</v>
      </c>
      <c r="B708" s="17" t="s">
        <v>21</v>
      </c>
      <c r="C708" s="18"/>
      <c r="D708" s="18"/>
      <c r="E708" s="1"/>
      <c r="F708" s="18"/>
    </row>
    <row r="709" customFormat="false" ht="16.8" hidden="false" customHeight="false" outlineLevel="0" collapsed="false">
      <c r="A709" s="33" t="s">
        <v>22</v>
      </c>
      <c r="B709" s="34" t="n">
        <v>1450</v>
      </c>
      <c r="C709" s="1"/>
      <c r="D709" s="1"/>
      <c r="E709" s="39"/>
      <c r="F709" s="1"/>
    </row>
    <row r="710" customFormat="false" ht="16.8" hidden="false" customHeight="false" outlineLevel="0" collapsed="false">
      <c r="A710" s="33" t="s">
        <v>17</v>
      </c>
      <c r="B710" s="34" t="n">
        <v>45470</v>
      </c>
      <c r="C710" s="1"/>
      <c r="D710" s="1"/>
      <c r="E710" s="26"/>
      <c r="F710" s="1"/>
    </row>
    <row r="711" customFormat="false" ht="16.8" hidden="false" customHeight="false" outlineLevel="0" collapsed="false">
      <c r="A711" s="33" t="s">
        <v>18</v>
      </c>
      <c r="B711" s="34" t="n">
        <v>14250</v>
      </c>
      <c r="C711" s="1"/>
      <c r="D711" s="1"/>
      <c r="E711" s="26"/>
      <c r="F711" s="1"/>
    </row>
    <row r="712" customFormat="false" ht="16.8" hidden="false" customHeight="false" outlineLevel="0" collapsed="false">
      <c r="A712" s="25" t="s">
        <v>11</v>
      </c>
      <c r="B712" s="35" t="n">
        <f aca="false">SUM(B709:B711)</f>
        <v>61170</v>
      </c>
      <c r="C712" s="1"/>
      <c r="D712" s="1"/>
      <c r="E712" s="26"/>
      <c r="F712" s="1"/>
    </row>
    <row r="713" customFormat="false" ht="13.2" hidden="false" customHeight="false" outlineLevel="0" collapsed="false">
      <c r="A713" s="1"/>
      <c r="B713" s="1"/>
      <c r="C713" s="1"/>
      <c r="D713" s="1"/>
      <c r="E713" s="26"/>
      <c r="F713" s="1"/>
    </row>
    <row r="714" customFormat="false" ht="13.2" hidden="false" customHeight="false" outlineLevel="0" collapsed="false">
      <c r="A714" s="39" t="s">
        <v>23</v>
      </c>
      <c r="B714" s="39" t="s">
        <v>24</v>
      </c>
      <c r="C714" s="39" t="s">
        <v>25</v>
      </c>
      <c r="D714" s="39" t="s">
        <v>26</v>
      </c>
      <c r="E714" s="41" t="s">
        <v>27</v>
      </c>
      <c r="F714" s="41"/>
    </row>
    <row r="715" customFormat="false" ht="13.2" hidden="false" customHeight="false" outlineLevel="0" collapsed="false">
      <c r="A715" s="26"/>
      <c r="B715" s="26"/>
      <c r="C715" s="26"/>
      <c r="D715" s="26"/>
      <c r="E715" s="26"/>
      <c r="F715" s="26"/>
    </row>
    <row r="716" customFormat="false" ht="13.2" hidden="false" customHeight="false" outlineLevel="0" collapsed="false">
      <c r="A716" s="26"/>
      <c r="B716" s="26"/>
      <c r="C716" s="26"/>
      <c r="D716" s="26"/>
      <c r="E716" s="26"/>
      <c r="F716" s="26"/>
    </row>
    <row r="717" customFormat="false" ht="13.2" hidden="false" customHeight="false" outlineLevel="0" collapsed="false">
      <c r="A717" s="26"/>
      <c r="B717" s="26"/>
      <c r="C717" s="26"/>
      <c r="D717" s="26"/>
      <c r="E717" s="26"/>
      <c r="F717" s="26"/>
    </row>
    <row r="718" customFormat="false" ht="13.2" hidden="false" customHeight="false" outlineLevel="0" collapsed="false">
      <c r="A718" s="26"/>
      <c r="B718" s="26"/>
      <c r="C718" s="26"/>
      <c r="D718" s="26"/>
      <c r="E718" s="26"/>
      <c r="F718" s="26"/>
    </row>
    <row r="719" customFormat="false" ht="13.2" hidden="false" customHeight="false" outlineLevel="0" collapsed="false">
      <c r="A719" s="39" t="s">
        <v>34</v>
      </c>
      <c r="B719" s="39"/>
      <c r="C719" s="39"/>
      <c r="D719" s="39"/>
      <c r="E719" s="41" t="s">
        <v>29</v>
      </c>
      <c r="F719" s="41"/>
    </row>
    <row r="724" customFormat="false" ht="18.6" hidden="false" customHeight="true" outlineLevel="0" collapsed="false">
      <c r="A724" s="118" t="s">
        <v>236</v>
      </c>
      <c r="B724" s="118"/>
      <c r="C724" s="118"/>
      <c r="D724" s="118"/>
      <c r="E724" s="118"/>
      <c r="F724" s="43"/>
    </row>
    <row r="725" customFormat="false" ht="13.8" hidden="false" customHeight="true" outlineLevel="0" collapsed="false">
      <c r="A725" s="119" t="s">
        <v>2</v>
      </c>
      <c r="B725" s="119"/>
      <c r="C725" s="119"/>
      <c r="D725" s="119"/>
      <c r="E725" s="119"/>
      <c r="F725" s="44"/>
    </row>
    <row r="726" customFormat="false" ht="16.8" hidden="false" customHeight="false" outlineLevel="0" collapsed="false">
      <c r="A726" s="13" t="s">
        <v>3</v>
      </c>
      <c r="B726" s="14"/>
      <c r="C726" s="14"/>
      <c r="D726" s="46"/>
      <c r="E726" s="46" t="s">
        <v>4</v>
      </c>
      <c r="F726" s="66"/>
    </row>
    <row r="727" customFormat="false" ht="33.6" hidden="false" customHeight="false" outlineLevel="0" collapsed="false">
      <c r="A727" s="17" t="s">
        <v>5</v>
      </c>
      <c r="B727" s="17" t="s">
        <v>5</v>
      </c>
      <c r="C727" s="17" t="s">
        <v>237</v>
      </c>
      <c r="D727" s="17" t="s">
        <v>7</v>
      </c>
      <c r="E727" s="17" t="s">
        <v>8</v>
      </c>
      <c r="F727" s="1"/>
    </row>
    <row r="728" customFormat="false" ht="16.8" hidden="false" customHeight="false" outlineLevel="0" collapsed="false">
      <c r="A728" s="19" t="s">
        <v>9</v>
      </c>
      <c r="B728" s="20" t="n">
        <f aca="false">E695</f>
        <v>0</v>
      </c>
      <c r="C728" s="20" t="n">
        <v>10</v>
      </c>
      <c r="D728" s="20"/>
      <c r="E728" s="47" t="n">
        <f aca="false">B728+C728-D728</f>
        <v>10</v>
      </c>
      <c r="F728" s="1"/>
    </row>
    <row r="729" customFormat="false" ht="33.6" hidden="false" customHeight="false" outlineLevel="0" collapsed="false">
      <c r="A729" s="97" t="s">
        <v>159</v>
      </c>
      <c r="B729" s="20" t="n">
        <f aca="false">E696</f>
        <v>3395</v>
      </c>
      <c r="C729" s="20" t="n">
        <v>4780</v>
      </c>
      <c r="D729" s="20"/>
      <c r="E729" s="47" t="n">
        <f aca="false">B729+C729-D729</f>
        <v>8175</v>
      </c>
      <c r="F729" s="1"/>
    </row>
    <row r="730" customFormat="false" ht="33.6" hidden="false" customHeight="false" outlineLevel="0" collapsed="false">
      <c r="A730" s="97" t="s">
        <v>202</v>
      </c>
      <c r="B730" s="20" t="n">
        <f aca="false">E697</f>
        <v>0</v>
      </c>
      <c r="C730" s="20" t="n">
        <v>1375</v>
      </c>
      <c r="D730" s="20"/>
      <c r="E730" s="47" t="n">
        <f aca="false">B730+C730-D730</f>
        <v>1375</v>
      </c>
      <c r="F730" s="1"/>
    </row>
    <row r="731" customFormat="false" ht="16.8" hidden="false" customHeight="false" outlineLevel="0" collapsed="false">
      <c r="A731" s="19" t="s">
        <v>10</v>
      </c>
      <c r="B731" s="20" t="n">
        <f aca="false">E698</f>
        <v>0</v>
      </c>
      <c r="C731" s="20" t="n">
        <f aca="false">2134-C728</f>
        <v>2124</v>
      </c>
      <c r="D731" s="20"/>
      <c r="E731" s="47" t="n">
        <f aca="false">B731+C731-D731</f>
        <v>2124</v>
      </c>
      <c r="F731" s="45"/>
    </row>
    <row r="732" customFormat="false" ht="16.8" hidden="false" customHeight="false" outlineLevel="0" collapsed="false">
      <c r="A732" s="21" t="s">
        <v>11</v>
      </c>
      <c r="B732" s="22" t="n">
        <f aca="false">SUM(B728:B731)</f>
        <v>3395</v>
      </c>
      <c r="C732" s="22" t="n">
        <f aca="false">SUM(C728:C731)</f>
        <v>8289</v>
      </c>
      <c r="D732" s="22" t="n">
        <f aca="false">SUM(D728:D731)</f>
        <v>0</v>
      </c>
      <c r="E732" s="22" t="n">
        <f aca="false">SUM(E728:E731)</f>
        <v>11684</v>
      </c>
      <c r="F732" s="45"/>
    </row>
    <row r="733" customFormat="false" ht="16.8" hidden="false" customHeight="false" outlineLevel="0" collapsed="false">
      <c r="A733" s="64" t="s">
        <v>238</v>
      </c>
      <c r="B733" s="64"/>
      <c r="C733" s="64"/>
      <c r="D733" s="64"/>
      <c r="E733" s="64"/>
      <c r="F733" s="45"/>
    </row>
    <row r="734" customFormat="false" ht="16.8" hidden="false" customHeight="false" outlineLevel="0" collapsed="false">
      <c r="A734" s="13" t="s">
        <v>12</v>
      </c>
      <c r="B734" s="13"/>
      <c r="C734" s="13"/>
      <c r="D734" s="13"/>
      <c r="E734" s="24"/>
      <c r="F734" s="24"/>
    </row>
    <row r="735" customFormat="false" ht="67.2" hidden="false" customHeight="false" outlineLevel="0" collapsed="false">
      <c r="A735" s="25" t="s">
        <v>13</v>
      </c>
      <c r="B735" s="17" t="s">
        <v>239</v>
      </c>
      <c r="C735" s="93" t="s">
        <v>138</v>
      </c>
      <c r="D735" s="73" t="s">
        <v>16</v>
      </c>
    </row>
    <row r="736" customFormat="false" ht="33.6" hidden="false" customHeight="false" outlineLevel="0" collapsed="false">
      <c r="A736" s="49" t="s">
        <v>49</v>
      </c>
      <c r="B736" s="20"/>
      <c r="C736" s="20"/>
      <c r="D736" s="29"/>
    </row>
    <row r="737" customFormat="false" ht="16.8" hidden="false" customHeight="false" outlineLevel="0" collapsed="false">
      <c r="A737" s="49" t="s">
        <v>53</v>
      </c>
      <c r="B737" s="19"/>
      <c r="C737" s="19"/>
      <c r="D737" s="51"/>
    </row>
    <row r="738" customFormat="false" ht="16.8" hidden="false" customHeight="false" outlineLevel="0" collapsed="false">
      <c r="A738" s="53" t="s">
        <v>18</v>
      </c>
      <c r="B738" s="20"/>
      <c r="C738" s="20"/>
      <c r="D738" s="20"/>
    </row>
    <row r="739" customFormat="false" ht="16.8" hidden="false" customHeight="false" outlineLevel="0" collapsed="false">
      <c r="A739" s="30" t="s">
        <v>11</v>
      </c>
      <c r="B739" s="94" t="n">
        <f aca="false">SUM(B736:B738)</f>
        <v>0</v>
      </c>
      <c r="C739" s="89"/>
      <c r="D739" s="89"/>
    </row>
    <row r="740" customFormat="false" ht="16.8" hidden="false" customHeight="false" outlineLevel="0" collapsed="false">
      <c r="A740" s="55"/>
      <c r="B740" s="56"/>
      <c r="C740" s="100"/>
    </row>
    <row r="741" customFormat="false" ht="16.8" hidden="false" customHeight="false" outlineLevel="0" collapsed="false">
      <c r="A741" s="13" t="s">
        <v>20</v>
      </c>
      <c r="B741" s="1"/>
      <c r="C741" s="1"/>
      <c r="D741" s="1"/>
      <c r="E741" s="1"/>
      <c r="F741" s="1"/>
    </row>
    <row r="742" customFormat="false" ht="16.8" hidden="false" customHeight="false" outlineLevel="0" collapsed="false">
      <c r="A742" s="17" t="s">
        <v>13</v>
      </c>
      <c r="B742" s="17" t="s">
        <v>21</v>
      </c>
      <c r="C742" s="18"/>
      <c r="D742" s="18"/>
      <c r="E742" s="1"/>
      <c r="F742" s="18"/>
    </row>
    <row r="743" customFormat="false" ht="16.8" hidden="false" customHeight="false" outlineLevel="0" collapsed="false">
      <c r="A743" s="33" t="s">
        <v>22</v>
      </c>
      <c r="B743" s="34" t="n">
        <v>1450</v>
      </c>
      <c r="C743" s="1"/>
      <c r="D743" s="1"/>
      <c r="E743" s="39"/>
      <c r="F743" s="1"/>
    </row>
    <row r="744" customFormat="false" ht="16.8" hidden="false" customHeight="false" outlineLevel="0" collapsed="false">
      <c r="A744" s="33" t="s">
        <v>17</v>
      </c>
      <c r="B744" s="34" t="n">
        <v>45470</v>
      </c>
      <c r="C744" s="1"/>
      <c r="D744" s="1"/>
      <c r="E744" s="26"/>
      <c r="F744" s="1"/>
    </row>
    <row r="745" customFormat="false" ht="16.8" hidden="false" customHeight="false" outlineLevel="0" collapsed="false">
      <c r="A745" s="33" t="s">
        <v>18</v>
      </c>
      <c r="B745" s="34" t="n">
        <v>14250</v>
      </c>
      <c r="C745" s="1"/>
      <c r="D745" s="1"/>
      <c r="E745" s="26"/>
      <c r="F745" s="1"/>
    </row>
    <row r="746" customFormat="false" ht="16.8" hidden="false" customHeight="false" outlineLevel="0" collapsed="false">
      <c r="A746" s="25" t="s">
        <v>11</v>
      </c>
      <c r="B746" s="35" t="n">
        <f aca="false">SUM(B743:B745)</f>
        <v>61170</v>
      </c>
      <c r="C746" s="1"/>
      <c r="D746" s="45"/>
      <c r="E746" s="26"/>
      <c r="F746" s="1"/>
    </row>
    <row r="747" customFormat="false" ht="13.2" hidden="false" customHeight="false" outlineLevel="0" collapsed="false">
      <c r="A747" s="1"/>
      <c r="B747" s="1"/>
      <c r="C747" s="1"/>
      <c r="D747" s="1"/>
      <c r="E747" s="26"/>
      <c r="F747" s="1"/>
    </row>
    <row r="748" customFormat="false" ht="13.2" hidden="false" customHeight="false" outlineLevel="0" collapsed="false">
      <c r="A748" s="39" t="s">
        <v>23</v>
      </c>
      <c r="B748" s="39" t="s">
        <v>24</v>
      </c>
      <c r="C748" s="39" t="s">
        <v>25</v>
      </c>
      <c r="D748" s="39" t="s">
        <v>26</v>
      </c>
      <c r="E748" s="41" t="s">
        <v>27</v>
      </c>
      <c r="F748" s="41"/>
    </row>
    <row r="749" customFormat="false" ht="13.2" hidden="false" customHeight="false" outlineLevel="0" collapsed="false">
      <c r="A749" s="26"/>
      <c r="B749" s="26"/>
      <c r="C749" s="26"/>
      <c r="D749" s="26"/>
      <c r="E749" s="26"/>
      <c r="F749" s="26"/>
    </row>
    <row r="750" customFormat="false" ht="13.2" hidden="false" customHeight="false" outlineLevel="0" collapsed="false">
      <c r="A750" s="26"/>
      <c r="B750" s="26"/>
      <c r="C750" s="26"/>
      <c r="D750" s="26"/>
      <c r="E750" s="26"/>
      <c r="F750" s="26"/>
    </row>
    <row r="751" customFormat="false" ht="13.2" hidden="false" customHeight="false" outlineLevel="0" collapsed="false">
      <c r="A751" s="26"/>
      <c r="B751" s="26"/>
      <c r="C751" s="26"/>
      <c r="D751" s="26"/>
      <c r="E751" s="26"/>
      <c r="F751" s="26"/>
    </row>
    <row r="752" customFormat="false" ht="13.2" hidden="false" customHeight="false" outlineLevel="0" collapsed="false">
      <c r="A752" s="26"/>
      <c r="B752" s="26"/>
      <c r="C752" s="26"/>
      <c r="D752" s="26"/>
      <c r="E752" s="26"/>
      <c r="F752" s="26"/>
    </row>
    <row r="753" customFormat="false" ht="13.2" hidden="false" customHeight="false" outlineLevel="0" collapsed="false">
      <c r="A753" s="39" t="s">
        <v>34</v>
      </c>
      <c r="B753" s="39"/>
      <c r="C753" s="39"/>
      <c r="D753" s="39"/>
      <c r="E753" s="41" t="s">
        <v>29</v>
      </c>
      <c r="F753" s="41"/>
    </row>
    <row r="757" customFormat="false" ht="18.6" hidden="false" customHeight="true" outlineLevel="0" collapsed="false">
      <c r="A757" s="118" t="s">
        <v>240</v>
      </c>
      <c r="B757" s="118"/>
      <c r="C757" s="118"/>
      <c r="D757" s="118"/>
      <c r="E757" s="118"/>
      <c r="F757" s="43"/>
    </row>
    <row r="758" customFormat="false" ht="13.8" hidden="false" customHeight="true" outlineLevel="0" collapsed="false">
      <c r="A758" s="119" t="s">
        <v>2</v>
      </c>
      <c r="B758" s="119"/>
      <c r="C758" s="119"/>
      <c r="D758" s="119"/>
      <c r="E758" s="119"/>
      <c r="F758" s="44"/>
    </row>
    <row r="759" customFormat="false" ht="16.8" hidden="false" customHeight="false" outlineLevel="0" collapsed="false">
      <c r="A759" s="13" t="s">
        <v>3</v>
      </c>
      <c r="B759" s="14"/>
      <c r="C759" s="14"/>
      <c r="D759" s="46"/>
      <c r="E759" s="46" t="s">
        <v>4</v>
      </c>
      <c r="F759" s="66"/>
    </row>
    <row r="760" customFormat="false" ht="33.6" hidden="false" customHeight="false" outlineLevel="0" collapsed="false">
      <c r="A760" s="17" t="s">
        <v>5</v>
      </c>
      <c r="B760" s="17" t="s">
        <v>5</v>
      </c>
      <c r="C760" s="17" t="s">
        <v>241</v>
      </c>
      <c r="D760" s="17" t="s">
        <v>7</v>
      </c>
      <c r="E760" s="17" t="s">
        <v>8</v>
      </c>
      <c r="F760" s="1"/>
    </row>
    <row r="761" customFormat="false" ht="16.8" hidden="false" customHeight="false" outlineLevel="0" collapsed="false">
      <c r="A761" s="19" t="s">
        <v>9</v>
      </c>
      <c r="B761" s="20" t="n">
        <f aca="false">E728</f>
        <v>10</v>
      </c>
      <c r="C761" s="20" t="n">
        <v>50</v>
      </c>
      <c r="D761" s="20"/>
      <c r="E761" s="47" t="n">
        <f aca="false">B761+C761-D761</f>
        <v>60</v>
      </c>
      <c r="F761" s="1"/>
    </row>
    <row r="762" customFormat="false" ht="33.6" hidden="false" customHeight="false" outlineLevel="0" collapsed="false">
      <c r="A762" s="97" t="s">
        <v>159</v>
      </c>
      <c r="B762" s="20" t="n">
        <f aca="false">E729</f>
        <v>8175</v>
      </c>
      <c r="C762" s="20"/>
      <c r="D762" s="20"/>
      <c r="E762" s="47" t="n">
        <f aca="false">B762+C762-D762</f>
        <v>8175</v>
      </c>
      <c r="F762" s="1"/>
    </row>
    <row r="763" customFormat="false" ht="33.6" hidden="false" customHeight="false" outlineLevel="0" collapsed="false">
      <c r="A763" s="97" t="s">
        <v>202</v>
      </c>
      <c r="B763" s="20" t="n">
        <f aca="false">E730</f>
        <v>1375</v>
      </c>
      <c r="C763" s="20"/>
      <c r="D763" s="20"/>
      <c r="E763" s="47" t="n">
        <f aca="false">B763+C763-D763</f>
        <v>1375</v>
      </c>
      <c r="F763" s="1"/>
    </row>
    <row r="764" customFormat="false" ht="16.8" hidden="false" customHeight="false" outlineLevel="0" collapsed="false">
      <c r="A764" s="19" t="s">
        <v>10</v>
      </c>
      <c r="B764" s="20" t="n">
        <f aca="false">E731</f>
        <v>2124</v>
      </c>
      <c r="C764" s="20" t="n">
        <f aca="false">198284-50</f>
        <v>198234</v>
      </c>
      <c r="D764" s="20"/>
      <c r="E764" s="47" t="n">
        <f aca="false">B764+C764-D764</f>
        <v>200358</v>
      </c>
      <c r="F764" s="45"/>
    </row>
    <row r="765" customFormat="false" ht="16.8" hidden="false" customHeight="false" outlineLevel="0" collapsed="false">
      <c r="A765" s="21" t="s">
        <v>11</v>
      </c>
      <c r="B765" s="22" t="n">
        <f aca="false">SUM(B761:B764)</f>
        <v>11684</v>
      </c>
      <c r="C765" s="22" t="n">
        <f aca="false">SUM(C761:C764)</f>
        <v>198284</v>
      </c>
      <c r="D765" s="22" t="n">
        <f aca="false">SUM(D761:D764)</f>
        <v>0</v>
      </c>
      <c r="E765" s="22" t="n">
        <f aca="false">SUM(E761:E764)</f>
        <v>209968</v>
      </c>
      <c r="F765" s="45"/>
    </row>
    <row r="766" customFormat="false" ht="16.8" hidden="false" customHeight="false" outlineLevel="0" collapsed="false">
      <c r="A766" s="64" t="s">
        <v>242</v>
      </c>
      <c r="B766" s="64"/>
      <c r="C766" s="64"/>
      <c r="D766" s="64"/>
      <c r="E766" s="64"/>
      <c r="F766" s="45"/>
    </row>
    <row r="767" customFormat="false" ht="16.8" hidden="false" customHeight="false" outlineLevel="0" collapsed="false">
      <c r="A767" s="13" t="s">
        <v>12</v>
      </c>
      <c r="B767" s="13"/>
      <c r="C767" s="13"/>
      <c r="D767" s="13"/>
      <c r="E767" s="24"/>
      <c r="F767" s="24"/>
    </row>
    <row r="768" customFormat="false" ht="67.2" hidden="false" customHeight="false" outlineLevel="0" collapsed="false">
      <c r="A768" s="25" t="s">
        <v>13</v>
      </c>
      <c r="B768" s="17" t="s">
        <v>243</v>
      </c>
      <c r="C768" s="93" t="s">
        <v>138</v>
      </c>
      <c r="D768" s="73" t="s">
        <v>16</v>
      </c>
    </row>
    <row r="769" customFormat="false" ht="33.6" hidden="false" customHeight="false" outlineLevel="0" collapsed="false">
      <c r="A769" s="49" t="s">
        <v>49</v>
      </c>
      <c r="B769" s="20" t="n">
        <v>950</v>
      </c>
      <c r="C769" s="20"/>
      <c r="D769" s="29"/>
    </row>
    <row r="770" customFormat="false" ht="16.8" hidden="false" customHeight="false" outlineLevel="0" collapsed="false">
      <c r="A770" s="49" t="s">
        <v>53</v>
      </c>
      <c r="B770" s="19" t="n">
        <v>31400</v>
      </c>
      <c r="C770" s="19"/>
      <c r="D770" s="51"/>
    </row>
    <row r="771" customFormat="false" ht="16.8" hidden="false" customHeight="false" outlineLevel="0" collapsed="false">
      <c r="A771" s="53" t="s">
        <v>18</v>
      </c>
      <c r="B771" s="20"/>
      <c r="C771" s="20"/>
      <c r="D771" s="20"/>
    </row>
    <row r="772" customFormat="false" ht="16.8" hidden="false" customHeight="false" outlineLevel="0" collapsed="false">
      <c r="A772" s="30" t="s">
        <v>11</v>
      </c>
      <c r="B772" s="94" t="n">
        <f aca="false">SUM(B769:B771)</f>
        <v>32350</v>
      </c>
      <c r="C772" s="89"/>
      <c r="D772" s="89"/>
    </row>
    <row r="773" customFormat="false" ht="16.8" hidden="false" customHeight="false" outlineLevel="0" collapsed="false">
      <c r="A773" s="55"/>
      <c r="B773" s="56"/>
      <c r="C773" s="100"/>
    </row>
    <row r="774" customFormat="false" ht="16.8" hidden="false" customHeight="false" outlineLevel="0" collapsed="false">
      <c r="A774" s="13" t="s">
        <v>20</v>
      </c>
      <c r="B774" s="1"/>
      <c r="C774" s="1"/>
      <c r="D774" s="1"/>
      <c r="E774" s="1"/>
      <c r="F774" s="1"/>
    </row>
    <row r="775" customFormat="false" ht="16.8" hidden="false" customHeight="false" outlineLevel="0" collapsed="false">
      <c r="A775" s="17" t="s">
        <v>13</v>
      </c>
      <c r="B775" s="17" t="s">
        <v>21</v>
      </c>
      <c r="C775" s="18"/>
      <c r="D775" s="18"/>
      <c r="E775" s="1"/>
      <c r="F775" s="18"/>
    </row>
    <row r="776" customFormat="false" ht="16.8" hidden="false" customHeight="false" outlineLevel="0" collapsed="false">
      <c r="A776" s="33" t="s">
        <v>22</v>
      </c>
      <c r="B776" s="34" t="n">
        <v>2400</v>
      </c>
      <c r="C776" s="1"/>
      <c r="D776" s="1"/>
      <c r="E776" s="39"/>
      <c r="F776" s="1"/>
    </row>
    <row r="777" customFormat="false" ht="16.8" hidden="false" customHeight="false" outlineLevel="0" collapsed="false">
      <c r="A777" s="33" t="s">
        <v>17</v>
      </c>
      <c r="B777" s="34" t="n">
        <v>76870</v>
      </c>
      <c r="C777" s="1"/>
      <c r="D777" s="1"/>
      <c r="E777" s="26"/>
      <c r="F777" s="1"/>
    </row>
    <row r="778" customFormat="false" ht="16.8" hidden="false" customHeight="false" outlineLevel="0" collapsed="false">
      <c r="A778" s="33" t="s">
        <v>18</v>
      </c>
      <c r="B778" s="34" t="n">
        <v>14250</v>
      </c>
      <c r="C778" s="1"/>
      <c r="D778" s="1"/>
      <c r="E778" s="26"/>
      <c r="F778" s="1"/>
    </row>
    <row r="779" customFormat="false" ht="16.8" hidden="false" customHeight="false" outlineLevel="0" collapsed="false">
      <c r="A779" s="25" t="s">
        <v>11</v>
      </c>
      <c r="B779" s="35" t="n">
        <f aca="false">SUM(B776:B778)</f>
        <v>93520</v>
      </c>
      <c r="C779" s="1"/>
      <c r="D779" s="1"/>
      <c r="E779" s="26"/>
      <c r="F779" s="1"/>
    </row>
    <row r="780" customFormat="false" ht="13.2" hidden="false" customHeight="false" outlineLevel="0" collapsed="false">
      <c r="A780" s="1"/>
      <c r="B780" s="1"/>
      <c r="C780" s="1"/>
      <c r="D780" s="1"/>
      <c r="E780" s="26"/>
      <c r="F780" s="1"/>
    </row>
    <row r="781" customFormat="false" ht="13.2" hidden="false" customHeight="false" outlineLevel="0" collapsed="false">
      <c r="A781" s="39" t="s">
        <v>23</v>
      </c>
      <c r="B781" s="39" t="s">
        <v>24</v>
      </c>
      <c r="C781" s="39" t="s">
        <v>25</v>
      </c>
      <c r="D781" s="39" t="s">
        <v>26</v>
      </c>
      <c r="E781" s="41" t="s">
        <v>27</v>
      </c>
      <c r="F781" s="41"/>
    </row>
    <row r="782" customFormat="false" ht="13.2" hidden="false" customHeight="false" outlineLevel="0" collapsed="false">
      <c r="A782" s="26"/>
      <c r="B782" s="26"/>
      <c r="C782" s="26"/>
      <c r="D782" s="26"/>
      <c r="E782" s="26"/>
      <c r="F782" s="26"/>
    </row>
    <row r="783" customFormat="false" ht="13.2" hidden="false" customHeight="false" outlineLevel="0" collapsed="false">
      <c r="A783" s="26"/>
      <c r="B783" s="26"/>
      <c r="C783" s="26"/>
      <c r="D783" s="26"/>
      <c r="E783" s="26"/>
      <c r="F783" s="26"/>
    </row>
    <row r="784" customFormat="false" ht="13.2" hidden="false" customHeight="false" outlineLevel="0" collapsed="false">
      <c r="A784" s="26"/>
      <c r="B784" s="26"/>
      <c r="C784" s="26"/>
      <c r="D784" s="26"/>
      <c r="E784" s="26"/>
      <c r="F784" s="26"/>
    </row>
    <row r="785" customFormat="false" ht="13.2" hidden="false" customHeight="false" outlineLevel="0" collapsed="false">
      <c r="A785" s="26"/>
      <c r="B785" s="26"/>
      <c r="C785" s="26"/>
      <c r="D785" s="26"/>
      <c r="E785" s="26"/>
      <c r="F785" s="26"/>
    </row>
    <row r="786" customFormat="false" ht="13.2" hidden="false" customHeight="false" outlineLevel="0" collapsed="false">
      <c r="A786" s="39" t="s">
        <v>34</v>
      </c>
      <c r="B786" s="39"/>
      <c r="C786" s="39"/>
      <c r="D786" s="39"/>
      <c r="E786" s="41" t="s">
        <v>29</v>
      </c>
      <c r="F786" s="41"/>
    </row>
    <row r="789" customFormat="false" ht="18.6" hidden="false" customHeight="true" outlineLevel="0" collapsed="false">
      <c r="A789" s="118" t="s">
        <v>244</v>
      </c>
      <c r="B789" s="118"/>
      <c r="C789" s="118"/>
      <c r="D789" s="118"/>
      <c r="E789" s="118"/>
      <c r="F789" s="43"/>
    </row>
    <row r="790" customFormat="false" ht="13.8" hidden="false" customHeight="true" outlineLevel="0" collapsed="false">
      <c r="A790" s="119" t="s">
        <v>2</v>
      </c>
      <c r="B790" s="119"/>
      <c r="C790" s="119"/>
      <c r="D790" s="119"/>
      <c r="E790" s="119"/>
      <c r="F790" s="44"/>
    </row>
    <row r="791" customFormat="false" ht="16.8" hidden="false" customHeight="false" outlineLevel="0" collapsed="false">
      <c r="A791" s="13" t="s">
        <v>3</v>
      </c>
      <c r="B791" s="14"/>
      <c r="C791" s="14"/>
      <c r="D791" s="46"/>
      <c r="E791" s="46" t="s">
        <v>4</v>
      </c>
      <c r="F791" s="66"/>
    </row>
    <row r="792" customFormat="false" ht="33.6" hidden="false" customHeight="false" outlineLevel="0" collapsed="false">
      <c r="A792" s="17" t="s">
        <v>5</v>
      </c>
      <c r="B792" s="17" t="s">
        <v>5</v>
      </c>
      <c r="C792" s="17" t="s">
        <v>245</v>
      </c>
      <c r="D792" s="17" t="s">
        <v>7</v>
      </c>
      <c r="E792" s="17" t="s">
        <v>8</v>
      </c>
      <c r="F792" s="1"/>
    </row>
    <row r="793" customFormat="false" ht="16.8" hidden="false" customHeight="false" outlineLevel="0" collapsed="false">
      <c r="A793" s="19" t="s">
        <v>9</v>
      </c>
      <c r="B793" s="20" t="n">
        <f aca="false">E761</f>
        <v>60</v>
      </c>
      <c r="C793" s="20"/>
      <c r="D793" s="20"/>
      <c r="E793" s="47" t="n">
        <f aca="false">B793+C793-D793</f>
        <v>60</v>
      </c>
      <c r="F793" s="1"/>
    </row>
    <row r="794" customFormat="false" ht="33.6" hidden="false" customHeight="false" outlineLevel="0" collapsed="false">
      <c r="A794" s="97" t="s">
        <v>159</v>
      </c>
      <c r="B794" s="20" t="n">
        <f aca="false">E762</f>
        <v>8175</v>
      </c>
      <c r="C794" s="20" t="n">
        <v>10615</v>
      </c>
      <c r="D794" s="20"/>
      <c r="E794" s="47" t="n">
        <f aca="false">B794+C794-D794</f>
        <v>18790</v>
      </c>
      <c r="F794" s="1"/>
    </row>
    <row r="795" customFormat="false" ht="33.6" hidden="false" customHeight="false" outlineLevel="0" collapsed="false">
      <c r="A795" s="97" t="s">
        <v>202</v>
      </c>
      <c r="B795" s="20" t="n">
        <f aca="false">E763</f>
        <v>1375</v>
      </c>
      <c r="C795" s="20" t="n">
        <v>1045</v>
      </c>
      <c r="D795" s="20"/>
      <c r="E795" s="47" t="n">
        <f aca="false">B795+C795-D795</f>
        <v>2420</v>
      </c>
      <c r="F795" s="1"/>
    </row>
    <row r="796" customFormat="false" ht="16.8" hidden="false" customHeight="false" outlineLevel="0" collapsed="false">
      <c r="A796" s="19" t="s">
        <v>10</v>
      </c>
      <c r="B796" s="20" t="n">
        <f aca="false">E764</f>
        <v>200358</v>
      </c>
      <c r="C796" s="20" t="n">
        <v>274756</v>
      </c>
      <c r="D796" s="20"/>
      <c r="E796" s="47" t="n">
        <f aca="false">B796+C796-D796</f>
        <v>475114</v>
      </c>
      <c r="F796" s="45"/>
    </row>
    <row r="797" customFormat="false" ht="16.8" hidden="false" customHeight="false" outlineLevel="0" collapsed="false">
      <c r="A797" s="21" t="s">
        <v>11</v>
      </c>
      <c r="B797" s="22" t="n">
        <f aca="false">SUM(B793:B796)</f>
        <v>209968</v>
      </c>
      <c r="C797" s="22" t="n">
        <f aca="false">SUM(C793:C796)</f>
        <v>286416</v>
      </c>
      <c r="D797" s="22" t="n">
        <f aca="false">SUM(D793:D796)</f>
        <v>0</v>
      </c>
      <c r="E797" s="22" t="n">
        <f aca="false">SUM(E793:E796)</f>
        <v>496384</v>
      </c>
      <c r="F797" s="45"/>
    </row>
    <row r="798" customFormat="false" ht="16.8" hidden="false" customHeight="false" outlineLevel="0" collapsed="false">
      <c r="A798" s="64" t="s">
        <v>242</v>
      </c>
      <c r="B798" s="64"/>
      <c r="C798" s="64"/>
      <c r="D798" s="64"/>
      <c r="E798" s="64"/>
      <c r="F798" s="45"/>
    </row>
    <row r="799" customFormat="false" ht="16.8" hidden="false" customHeight="false" outlineLevel="0" collapsed="false">
      <c r="A799" s="13" t="s">
        <v>12</v>
      </c>
      <c r="B799" s="13"/>
      <c r="C799" s="13"/>
      <c r="D799" s="13"/>
      <c r="E799" s="24"/>
      <c r="F799" s="24"/>
    </row>
    <row r="800" customFormat="false" ht="67.2" hidden="false" customHeight="false" outlineLevel="0" collapsed="false">
      <c r="A800" s="25" t="s">
        <v>13</v>
      </c>
      <c r="B800" s="17" t="s">
        <v>243</v>
      </c>
      <c r="C800" s="17" t="s">
        <v>246</v>
      </c>
      <c r="D800" s="93" t="s">
        <v>138</v>
      </c>
      <c r="E800" s="120" t="s">
        <v>16</v>
      </c>
    </row>
    <row r="801" customFormat="false" ht="33.6" hidden="false" customHeight="false" outlineLevel="0" collapsed="false">
      <c r="A801" s="49" t="s">
        <v>49</v>
      </c>
      <c r="B801" s="20" t="n">
        <v>950</v>
      </c>
      <c r="C801" s="20" t="n">
        <v>3800</v>
      </c>
      <c r="D801" s="20"/>
      <c r="E801" s="29"/>
    </row>
    <row r="802" customFormat="false" ht="16.8" hidden="false" customHeight="false" outlineLevel="0" collapsed="false">
      <c r="A802" s="49" t="s">
        <v>53</v>
      </c>
      <c r="B802" s="19" t="n">
        <v>31400</v>
      </c>
      <c r="C802" s="19" t="n">
        <v>66420</v>
      </c>
      <c r="D802" s="19"/>
      <c r="E802" s="51"/>
    </row>
    <row r="803" customFormat="false" ht="16.8" hidden="false" customHeight="false" outlineLevel="0" collapsed="false">
      <c r="A803" s="53" t="s">
        <v>18</v>
      </c>
      <c r="B803" s="20"/>
      <c r="C803" s="20"/>
      <c r="D803" s="20"/>
      <c r="E803" s="20"/>
    </row>
    <row r="804" customFormat="false" ht="16.8" hidden="false" customHeight="false" outlineLevel="0" collapsed="false">
      <c r="A804" s="30" t="s">
        <v>11</v>
      </c>
      <c r="B804" s="94" t="n">
        <f aca="false">SUM(B801:B803)</f>
        <v>32350</v>
      </c>
      <c r="C804" s="94" t="n">
        <f aca="false">SUM(C801:C803)</f>
        <v>70220</v>
      </c>
      <c r="D804" s="89"/>
      <c r="E804" s="89"/>
    </row>
    <row r="805" customFormat="false" ht="16.8" hidden="false" customHeight="false" outlineLevel="0" collapsed="false">
      <c r="A805" s="55"/>
      <c r="B805" s="56"/>
      <c r="C805" s="100"/>
    </row>
    <row r="806" customFormat="false" ht="16.8" hidden="false" customHeight="false" outlineLevel="0" collapsed="false">
      <c r="A806" s="13" t="s">
        <v>20</v>
      </c>
      <c r="B806" s="1"/>
      <c r="C806" s="1"/>
      <c r="D806" s="1"/>
      <c r="E806" s="1"/>
      <c r="F806" s="1"/>
    </row>
    <row r="807" customFormat="false" ht="16.8" hidden="false" customHeight="false" outlineLevel="0" collapsed="false">
      <c r="A807" s="17" t="s">
        <v>13</v>
      </c>
      <c r="B807" s="17" t="s">
        <v>21</v>
      </c>
      <c r="C807" s="18"/>
      <c r="D807" s="18"/>
      <c r="E807" s="1"/>
      <c r="F807" s="18"/>
    </row>
    <row r="808" customFormat="false" ht="16.8" hidden="false" customHeight="false" outlineLevel="0" collapsed="false">
      <c r="A808" s="33" t="s">
        <v>22</v>
      </c>
      <c r="B808" s="34" t="n">
        <v>6200</v>
      </c>
      <c r="C808" s="1"/>
      <c r="D808" s="1"/>
      <c r="E808" s="39"/>
      <c r="F808" s="1"/>
    </row>
    <row r="809" customFormat="false" ht="16.8" hidden="false" customHeight="false" outlineLevel="0" collapsed="false">
      <c r="A809" s="33" t="s">
        <v>17</v>
      </c>
      <c r="B809" s="34" t="n">
        <v>143290</v>
      </c>
      <c r="C809" s="1"/>
      <c r="D809" s="1"/>
      <c r="E809" s="26"/>
      <c r="F809" s="1"/>
    </row>
    <row r="810" customFormat="false" ht="16.8" hidden="false" customHeight="false" outlineLevel="0" collapsed="false">
      <c r="A810" s="33" t="s">
        <v>18</v>
      </c>
      <c r="B810" s="34" t="n">
        <v>14250</v>
      </c>
      <c r="C810" s="1"/>
      <c r="D810" s="1"/>
      <c r="E810" s="26"/>
      <c r="F810" s="1"/>
    </row>
    <row r="811" customFormat="false" ht="16.8" hidden="false" customHeight="false" outlineLevel="0" collapsed="false">
      <c r="A811" s="25" t="s">
        <v>11</v>
      </c>
      <c r="B811" s="35" t="n">
        <f aca="false">SUM(B808:B810)</f>
        <v>163740</v>
      </c>
      <c r="C811" s="1"/>
      <c r="D811" s="1"/>
      <c r="E811" s="26"/>
      <c r="F811" s="1"/>
    </row>
    <row r="812" customFormat="false" ht="13.2" hidden="false" customHeight="false" outlineLevel="0" collapsed="false">
      <c r="A812" s="1"/>
      <c r="B812" s="1"/>
      <c r="C812" s="1"/>
      <c r="D812" s="1"/>
      <c r="E812" s="26"/>
      <c r="F812" s="1"/>
    </row>
    <row r="813" customFormat="false" ht="13.2" hidden="false" customHeight="false" outlineLevel="0" collapsed="false">
      <c r="A813" s="39" t="s">
        <v>23</v>
      </c>
      <c r="B813" s="39" t="s">
        <v>24</v>
      </c>
      <c r="C813" s="39" t="s">
        <v>25</v>
      </c>
      <c r="D813" s="39" t="s">
        <v>26</v>
      </c>
      <c r="E813" s="41" t="s">
        <v>27</v>
      </c>
      <c r="F813" s="41"/>
    </row>
    <row r="814" customFormat="false" ht="13.2" hidden="false" customHeight="false" outlineLevel="0" collapsed="false">
      <c r="A814" s="26"/>
      <c r="B814" s="26"/>
      <c r="C814" s="26"/>
      <c r="D814" s="26"/>
      <c r="E814" s="26"/>
      <c r="F814" s="26"/>
    </row>
    <row r="815" customFormat="false" ht="13.2" hidden="false" customHeight="false" outlineLevel="0" collapsed="false">
      <c r="A815" s="26"/>
      <c r="B815" s="26"/>
      <c r="C815" s="26"/>
      <c r="D815" s="26"/>
      <c r="E815" s="26"/>
      <c r="F815" s="26"/>
    </row>
    <row r="816" customFormat="false" ht="13.2" hidden="false" customHeight="false" outlineLevel="0" collapsed="false">
      <c r="A816" s="26"/>
      <c r="B816" s="26"/>
      <c r="C816" s="26"/>
      <c r="D816" s="26"/>
      <c r="E816" s="26"/>
      <c r="F816" s="26"/>
    </row>
    <row r="817" customFormat="false" ht="13.2" hidden="false" customHeight="false" outlineLevel="0" collapsed="false">
      <c r="A817" s="26"/>
      <c r="B817" s="26"/>
      <c r="C817" s="26"/>
      <c r="D817" s="26"/>
      <c r="E817" s="26"/>
      <c r="F817" s="26"/>
    </row>
    <row r="818" customFormat="false" ht="13.2" hidden="false" customHeight="false" outlineLevel="0" collapsed="false">
      <c r="A818" s="39" t="s">
        <v>34</v>
      </c>
      <c r="B818" s="39"/>
      <c r="C818" s="39"/>
      <c r="D818" s="39"/>
      <c r="E818" s="41" t="s">
        <v>29</v>
      </c>
      <c r="F818" s="41"/>
    </row>
    <row r="823" customFormat="false" ht="18.6" hidden="false" customHeight="true" outlineLevel="0" collapsed="false">
      <c r="A823" s="118" t="s">
        <v>247</v>
      </c>
      <c r="B823" s="118"/>
      <c r="C823" s="118"/>
      <c r="D823" s="118"/>
      <c r="E823" s="118"/>
      <c r="F823" s="43"/>
    </row>
    <row r="824" customFormat="false" ht="13.8" hidden="false" customHeight="true" outlineLevel="0" collapsed="false">
      <c r="A824" s="119" t="s">
        <v>2</v>
      </c>
      <c r="B824" s="119"/>
      <c r="C824" s="119"/>
      <c r="D824" s="119"/>
      <c r="E824" s="119"/>
      <c r="F824" s="44"/>
    </row>
    <row r="825" customFormat="false" ht="16.8" hidden="false" customHeight="false" outlineLevel="0" collapsed="false">
      <c r="A825" s="13" t="s">
        <v>3</v>
      </c>
      <c r="B825" s="14"/>
      <c r="C825" s="14"/>
      <c r="D825" s="46"/>
      <c r="E825" s="46" t="s">
        <v>4</v>
      </c>
      <c r="F825" s="66"/>
    </row>
    <row r="826" customFormat="false" ht="33.6" hidden="false" customHeight="false" outlineLevel="0" collapsed="false">
      <c r="A826" s="17" t="s">
        <v>5</v>
      </c>
      <c r="B826" s="17" t="s">
        <v>5</v>
      </c>
      <c r="C826" s="17" t="s">
        <v>248</v>
      </c>
      <c r="D826" s="17" t="s">
        <v>7</v>
      </c>
      <c r="E826" s="17" t="s">
        <v>8</v>
      </c>
      <c r="F826" s="1"/>
    </row>
    <row r="827" customFormat="false" ht="16.8" hidden="false" customHeight="false" outlineLevel="0" collapsed="false">
      <c r="A827" s="19" t="s">
        <v>9</v>
      </c>
      <c r="B827" s="20" t="n">
        <f aca="false">E793</f>
        <v>60</v>
      </c>
      <c r="C827" s="20" t="n">
        <v>30</v>
      </c>
      <c r="D827" s="20"/>
      <c r="E827" s="47" t="n">
        <f aca="false">B827+C827-D827</f>
        <v>90</v>
      </c>
      <c r="F827" s="1"/>
    </row>
    <row r="828" customFormat="false" ht="33.6" hidden="false" customHeight="false" outlineLevel="0" collapsed="false">
      <c r="A828" s="97" t="s">
        <v>159</v>
      </c>
      <c r="B828" s="20" t="n">
        <f aca="false">E794</f>
        <v>18790</v>
      </c>
      <c r="C828" s="20"/>
      <c r="D828" s="20"/>
      <c r="E828" s="47" t="n">
        <f aca="false">B828+C828-D828</f>
        <v>18790</v>
      </c>
      <c r="F828" s="1"/>
    </row>
    <row r="829" customFormat="false" ht="33.6" hidden="false" customHeight="false" outlineLevel="0" collapsed="false">
      <c r="A829" s="97" t="s">
        <v>202</v>
      </c>
      <c r="B829" s="20" t="n">
        <f aca="false">E795</f>
        <v>2420</v>
      </c>
      <c r="C829" s="20"/>
      <c r="D829" s="20"/>
      <c r="E829" s="47" t="n">
        <f aca="false">B829+C829-D829</f>
        <v>2420</v>
      </c>
      <c r="F829" s="1"/>
    </row>
    <row r="830" customFormat="false" ht="16.8" hidden="false" customHeight="false" outlineLevel="0" collapsed="false">
      <c r="A830" s="19" t="s">
        <v>10</v>
      </c>
      <c r="B830" s="20" t="n">
        <f aca="false">E796</f>
        <v>475114</v>
      </c>
      <c r="C830" s="20" t="n">
        <f aca="false">286087-C827</f>
        <v>286057</v>
      </c>
      <c r="D830" s="20"/>
      <c r="E830" s="47" t="n">
        <f aca="false">B830+C830-D830</f>
        <v>761171</v>
      </c>
      <c r="F830" s="45"/>
    </row>
    <row r="831" customFormat="false" ht="16.8" hidden="false" customHeight="false" outlineLevel="0" collapsed="false">
      <c r="A831" s="21" t="s">
        <v>11</v>
      </c>
      <c r="B831" s="22" t="n">
        <f aca="false">SUM(B827:B830)</f>
        <v>496384</v>
      </c>
      <c r="C831" s="22" t="n">
        <f aca="false">SUM(C827:C830)</f>
        <v>286087</v>
      </c>
      <c r="D831" s="22" t="n">
        <f aca="false">SUM(D827:D830)</f>
        <v>0</v>
      </c>
      <c r="E831" s="22" t="n">
        <f aca="false">SUM(E827:E830)</f>
        <v>782471</v>
      </c>
      <c r="F831" s="45"/>
    </row>
    <row r="832" customFormat="false" ht="16.8" hidden="false" customHeight="false" outlineLevel="0" collapsed="false">
      <c r="A832" s="64" t="s">
        <v>249</v>
      </c>
      <c r="B832" s="64"/>
      <c r="C832" s="64"/>
      <c r="D832" s="64"/>
      <c r="E832" s="64"/>
      <c r="F832" s="45"/>
    </row>
    <row r="833" customFormat="false" ht="16.8" hidden="false" customHeight="false" outlineLevel="0" collapsed="false">
      <c r="A833" s="13" t="s">
        <v>12</v>
      </c>
      <c r="B833" s="13"/>
      <c r="C833" s="13"/>
      <c r="D833" s="13"/>
      <c r="E833" s="24"/>
      <c r="F833" s="24"/>
    </row>
    <row r="834" customFormat="false" ht="67.2" hidden="false" customHeight="false" outlineLevel="0" collapsed="false">
      <c r="A834" s="25" t="s">
        <v>13</v>
      </c>
      <c r="B834" s="17" t="s">
        <v>250</v>
      </c>
      <c r="C834" s="17" t="s">
        <v>251</v>
      </c>
      <c r="D834" s="93" t="s">
        <v>138</v>
      </c>
      <c r="E834" s="120" t="s">
        <v>16</v>
      </c>
    </row>
    <row r="835" customFormat="false" ht="33.6" hidden="false" customHeight="false" outlineLevel="0" collapsed="false">
      <c r="A835" s="49" t="s">
        <v>49</v>
      </c>
      <c r="B835" s="20" t="n">
        <f aca="false">950+3800</f>
        <v>4750</v>
      </c>
      <c r="C835" s="20"/>
      <c r="D835" s="20"/>
      <c r="E835" s="29"/>
    </row>
    <row r="836" customFormat="false" ht="16.8" hidden="false" customHeight="false" outlineLevel="0" collapsed="false">
      <c r="A836" s="49" t="s">
        <v>53</v>
      </c>
      <c r="B836" s="19" t="n">
        <f aca="false">31400+66420</f>
        <v>97820</v>
      </c>
      <c r="C836" s="19" t="n">
        <v>73220</v>
      </c>
      <c r="D836" s="19"/>
      <c r="E836" s="51"/>
    </row>
    <row r="837" customFormat="false" ht="16.8" hidden="false" customHeight="false" outlineLevel="0" collapsed="false">
      <c r="A837" s="53" t="s">
        <v>18</v>
      </c>
      <c r="B837" s="20"/>
      <c r="C837" s="20"/>
      <c r="D837" s="20"/>
      <c r="E837" s="20"/>
    </row>
    <row r="838" customFormat="false" ht="16.8" hidden="false" customHeight="false" outlineLevel="0" collapsed="false">
      <c r="A838" s="30" t="s">
        <v>11</v>
      </c>
      <c r="B838" s="94" t="n">
        <f aca="false">SUM(B835:B837)</f>
        <v>102570</v>
      </c>
      <c r="C838" s="94" t="n">
        <f aca="false">SUM(C835:C837)</f>
        <v>73220</v>
      </c>
      <c r="D838" s="89"/>
      <c r="E838" s="89"/>
    </row>
    <row r="839" customFormat="false" ht="16.8" hidden="false" customHeight="false" outlineLevel="0" collapsed="false">
      <c r="A839" s="55"/>
      <c r="B839" s="56"/>
      <c r="C839" s="100"/>
    </row>
    <row r="840" customFormat="false" ht="16.8" hidden="false" customHeight="false" outlineLevel="0" collapsed="false">
      <c r="A840" s="13" t="s">
        <v>20</v>
      </c>
      <c r="B840" s="1"/>
      <c r="C840" s="1"/>
      <c r="D840" s="1"/>
      <c r="E840" s="1"/>
      <c r="F840" s="1"/>
    </row>
    <row r="841" customFormat="false" ht="16.8" hidden="false" customHeight="false" outlineLevel="0" collapsed="false">
      <c r="A841" s="17" t="s">
        <v>13</v>
      </c>
      <c r="B841" s="17" t="s">
        <v>21</v>
      </c>
      <c r="C841" s="18"/>
      <c r="D841" s="18"/>
      <c r="E841" s="1"/>
      <c r="F841" s="18"/>
    </row>
    <row r="842" customFormat="false" ht="16.8" hidden="false" customHeight="false" outlineLevel="0" collapsed="false">
      <c r="A842" s="33" t="s">
        <v>22</v>
      </c>
      <c r="B842" s="34" t="n">
        <v>6200</v>
      </c>
      <c r="C842" s="1"/>
      <c r="D842" s="1"/>
      <c r="E842" s="39"/>
      <c r="F842" s="1"/>
    </row>
    <row r="843" customFormat="false" ht="16.8" hidden="false" customHeight="false" outlineLevel="0" collapsed="false">
      <c r="A843" s="33" t="s">
        <v>17</v>
      </c>
      <c r="B843" s="34" t="n">
        <f aca="false">214810+1700</f>
        <v>216510</v>
      </c>
      <c r="C843" s="1"/>
      <c r="D843" s="1"/>
      <c r="E843" s="26"/>
      <c r="F843" s="1"/>
    </row>
    <row r="844" customFormat="false" ht="16.8" hidden="false" customHeight="false" outlineLevel="0" collapsed="false">
      <c r="A844" s="33" t="s">
        <v>18</v>
      </c>
      <c r="B844" s="34" t="n">
        <v>14250</v>
      </c>
      <c r="C844" s="1"/>
      <c r="D844" s="1"/>
      <c r="E844" s="26"/>
      <c r="F844" s="1"/>
    </row>
    <row r="845" customFormat="false" ht="16.8" hidden="false" customHeight="false" outlineLevel="0" collapsed="false">
      <c r="A845" s="25" t="s">
        <v>11</v>
      </c>
      <c r="B845" s="35" t="n">
        <f aca="false">SUM(B842:B844)</f>
        <v>236960</v>
      </c>
      <c r="C845" s="1"/>
      <c r="D845" s="1"/>
      <c r="E845" s="26"/>
      <c r="F845" s="1"/>
    </row>
    <row r="846" customFormat="false" ht="13.2" hidden="false" customHeight="false" outlineLevel="0" collapsed="false">
      <c r="A846" s="1"/>
      <c r="B846" s="1"/>
      <c r="C846" s="1"/>
      <c r="D846" s="1"/>
      <c r="E846" s="26"/>
      <c r="F846" s="1"/>
    </row>
    <row r="847" customFormat="false" ht="13.2" hidden="false" customHeight="false" outlineLevel="0" collapsed="false">
      <c r="A847" s="39" t="s">
        <v>23</v>
      </c>
      <c r="B847" s="39" t="s">
        <v>24</v>
      </c>
      <c r="C847" s="39" t="s">
        <v>25</v>
      </c>
      <c r="D847" s="39" t="s">
        <v>26</v>
      </c>
      <c r="E847" s="41" t="s">
        <v>27</v>
      </c>
      <c r="F847" s="41"/>
    </row>
    <row r="848" customFormat="false" ht="13.2" hidden="false" customHeight="false" outlineLevel="0" collapsed="false">
      <c r="A848" s="26"/>
      <c r="B848" s="26"/>
      <c r="C848" s="26"/>
      <c r="D848" s="26"/>
      <c r="E848" s="26"/>
      <c r="F848" s="26"/>
    </row>
    <row r="849" customFormat="false" ht="13.2" hidden="false" customHeight="false" outlineLevel="0" collapsed="false">
      <c r="A849" s="26"/>
      <c r="B849" s="26"/>
      <c r="C849" s="26"/>
      <c r="D849" s="26"/>
      <c r="E849" s="26"/>
      <c r="F849" s="26"/>
    </row>
    <row r="850" customFormat="false" ht="13.2" hidden="false" customHeight="false" outlineLevel="0" collapsed="false">
      <c r="A850" s="26"/>
      <c r="B850" s="26"/>
      <c r="C850" s="26"/>
      <c r="D850" s="26"/>
      <c r="E850" s="26"/>
      <c r="F850" s="26"/>
    </row>
    <row r="851" customFormat="false" ht="13.2" hidden="false" customHeight="false" outlineLevel="0" collapsed="false">
      <c r="A851" s="26"/>
      <c r="B851" s="26"/>
      <c r="C851" s="26"/>
      <c r="D851" s="26"/>
      <c r="E851" s="26"/>
      <c r="F851" s="26"/>
    </row>
    <row r="852" customFormat="false" ht="13.2" hidden="false" customHeight="false" outlineLevel="0" collapsed="false">
      <c r="A852" s="39" t="s">
        <v>34</v>
      </c>
      <c r="B852" s="39"/>
      <c r="C852" s="39"/>
      <c r="D852" s="39"/>
      <c r="E852" s="41" t="s">
        <v>29</v>
      </c>
      <c r="F852" s="41"/>
    </row>
    <row r="854" customFormat="false" ht="18.6" hidden="false" customHeight="true" outlineLevel="0" collapsed="false">
      <c r="A854" s="118" t="s">
        <v>252</v>
      </c>
      <c r="B854" s="118"/>
      <c r="C854" s="118"/>
      <c r="D854" s="118"/>
      <c r="E854" s="118"/>
      <c r="F854" s="43"/>
    </row>
    <row r="855" customFormat="false" ht="13.8" hidden="false" customHeight="true" outlineLevel="0" collapsed="false">
      <c r="A855" s="119" t="s">
        <v>2</v>
      </c>
      <c r="B855" s="119"/>
      <c r="C855" s="119"/>
      <c r="D855" s="119"/>
      <c r="E855" s="119"/>
      <c r="F855" s="44"/>
    </row>
    <row r="856" customFormat="false" ht="16.8" hidden="false" customHeight="false" outlineLevel="0" collapsed="false">
      <c r="A856" s="13" t="s">
        <v>3</v>
      </c>
      <c r="B856" s="14"/>
      <c r="C856" s="14"/>
      <c r="D856" s="46"/>
      <c r="E856" s="46" t="s">
        <v>4</v>
      </c>
      <c r="F856" s="66"/>
    </row>
    <row r="857" customFormat="false" ht="33.6" hidden="false" customHeight="false" outlineLevel="0" collapsed="false">
      <c r="A857" s="17" t="s">
        <v>5</v>
      </c>
      <c r="B857" s="17" t="s">
        <v>5</v>
      </c>
      <c r="C857" s="17" t="s">
        <v>253</v>
      </c>
      <c r="D857" s="17" t="s">
        <v>7</v>
      </c>
      <c r="E857" s="17" t="s">
        <v>8</v>
      </c>
      <c r="F857" s="1"/>
    </row>
    <row r="858" customFormat="false" ht="16.8" hidden="false" customHeight="false" outlineLevel="0" collapsed="false">
      <c r="A858" s="19" t="s">
        <v>9</v>
      </c>
      <c r="B858" s="20" t="n">
        <f aca="false">E827</f>
        <v>90</v>
      </c>
      <c r="C858" s="20"/>
      <c r="D858" s="20"/>
      <c r="E858" s="47" t="n">
        <f aca="false">B858+C858-D858</f>
        <v>90</v>
      </c>
      <c r="F858" s="1"/>
    </row>
    <row r="859" customFormat="false" ht="33.6" hidden="false" customHeight="false" outlineLevel="0" collapsed="false">
      <c r="A859" s="97" t="s">
        <v>159</v>
      </c>
      <c r="B859" s="20" t="n">
        <f aca="false">E828</f>
        <v>18790</v>
      </c>
      <c r="C859" s="20" t="n">
        <v>12430</v>
      </c>
      <c r="D859" s="20"/>
      <c r="E859" s="47" t="n">
        <f aca="false">B859+C859-D859</f>
        <v>31220</v>
      </c>
      <c r="F859" s="1"/>
    </row>
    <row r="860" customFormat="false" ht="33.6" hidden="false" customHeight="false" outlineLevel="0" collapsed="false">
      <c r="A860" s="97" t="s">
        <v>202</v>
      </c>
      <c r="B860" s="20" t="n">
        <f aca="false">E829</f>
        <v>2420</v>
      </c>
      <c r="C860" s="20" t="n">
        <v>8600</v>
      </c>
      <c r="D860" s="20"/>
      <c r="E860" s="47" t="n">
        <f aca="false">B860+C860-D860</f>
        <v>11020</v>
      </c>
      <c r="F860" s="1"/>
    </row>
    <row r="861" customFormat="false" ht="16.8" hidden="false" customHeight="false" outlineLevel="0" collapsed="false">
      <c r="A861" s="19" t="s">
        <v>10</v>
      </c>
      <c r="B861" s="20" t="n">
        <f aca="false">E830</f>
        <v>761171</v>
      </c>
      <c r="C861" s="20" t="n">
        <v>150638</v>
      </c>
      <c r="D861" s="20"/>
      <c r="E861" s="47" t="n">
        <f aca="false">B861+C861-D861</f>
        <v>911809</v>
      </c>
      <c r="F861" s="45"/>
    </row>
    <row r="862" customFormat="false" ht="16.8" hidden="false" customHeight="false" outlineLevel="0" collapsed="false">
      <c r="A862" s="21" t="s">
        <v>11</v>
      </c>
      <c r="B862" s="22" t="n">
        <f aca="false">SUM(B858:B861)</f>
        <v>782471</v>
      </c>
      <c r="C862" s="22" t="n">
        <f aca="false">SUM(C858:C861)</f>
        <v>171668</v>
      </c>
      <c r="D862" s="22" t="n">
        <f aca="false">SUM(D858:D861)</f>
        <v>0</v>
      </c>
      <c r="E862" s="22" t="n">
        <f aca="false">SUM(E858:E861)</f>
        <v>954139</v>
      </c>
      <c r="F862" s="45"/>
    </row>
    <row r="863" customFormat="false" ht="16.8" hidden="false" customHeight="false" outlineLevel="0" collapsed="false">
      <c r="A863" s="64" t="s">
        <v>249</v>
      </c>
      <c r="B863" s="64"/>
      <c r="C863" s="64"/>
      <c r="D863" s="64"/>
      <c r="E863" s="64"/>
      <c r="F863" s="45"/>
    </row>
    <row r="864" customFormat="false" ht="16.8" hidden="false" customHeight="false" outlineLevel="0" collapsed="false">
      <c r="A864" s="13" t="s">
        <v>12</v>
      </c>
      <c r="B864" s="13"/>
      <c r="C864" s="13"/>
      <c r="D864" s="13"/>
      <c r="E864" s="24"/>
      <c r="F864" s="24"/>
    </row>
    <row r="865" customFormat="false" ht="67.2" hidden="false" customHeight="false" outlineLevel="0" collapsed="false">
      <c r="A865" s="25" t="s">
        <v>13</v>
      </c>
      <c r="B865" s="17" t="s">
        <v>254</v>
      </c>
      <c r="C865" s="17" t="s">
        <v>255</v>
      </c>
      <c r="D865" s="93" t="s">
        <v>138</v>
      </c>
      <c r="E865" s="120" t="s">
        <v>16</v>
      </c>
    </row>
    <row r="866" customFormat="false" ht="33.6" hidden="false" customHeight="false" outlineLevel="0" collapsed="false">
      <c r="A866" s="49" t="s">
        <v>49</v>
      </c>
      <c r="B866" s="20" t="n">
        <f aca="false">950+3800</f>
        <v>4750</v>
      </c>
      <c r="C866" s="20" t="n">
        <v>5150</v>
      </c>
      <c r="D866" s="20"/>
      <c r="E866" s="29"/>
    </row>
    <row r="867" customFormat="false" ht="16.8" hidden="false" customHeight="false" outlineLevel="0" collapsed="false">
      <c r="A867" s="49" t="s">
        <v>53</v>
      </c>
      <c r="B867" s="19" t="n">
        <f aca="false">31400+66420+73220</f>
        <v>171040</v>
      </c>
      <c r="C867" s="19" t="n">
        <f aca="false">71300+2050</f>
        <v>73350</v>
      </c>
      <c r="D867" s="19"/>
      <c r="E867" s="51"/>
    </row>
    <row r="868" customFormat="false" ht="16.8" hidden="false" customHeight="false" outlineLevel="0" collapsed="false">
      <c r="A868" s="53" t="s">
        <v>18</v>
      </c>
      <c r="B868" s="20"/>
      <c r="C868" s="20"/>
      <c r="D868" s="20"/>
      <c r="E868" s="20"/>
    </row>
    <row r="869" customFormat="false" ht="16.8" hidden="false" customHeight="false" outlineLevel="0" collapsed="false">
      <c r="A869" s="30" t="s">
        <v>11</v>
      </c>
      <c r="B869" s="94" t="n">
        <f aca="false">SUM(B866:B868)</f>
        <v>175790</v>
      </c>
      <c r="C869" s="94" t="n">
        <f aca="false">SUM(C866:C868)</f>
        <v>78500</v>
      </c>
      <c r="D869" s="89"/>
      <c r="E869" s="89"/>
    </row>
    <row r="870" customFormat="false" ht="16.8" hidden="false" customHeight="false" outlineLevel="0" collapsed="false">
      <c r="A870" s="55"/>
      <c r="B870" s="56"/>
      <c r="C870" s="100"/>
    </row>
    <row r="871" customFormat="false" ht="16.8" hidden="false" customHeight="false" outlineLevel="0" collapsed="false">
      <c r="A871" s="13" t="s">
        <v>20</v>
      </c>
      <c r="B871" s="1"/>
      <c r="C871" s="1"/>
      <c r="D871" s="1"/>
      <c r="E871" s="1"/>
      <c r="F871" s="1"/>
    </row>
    <row r="872" customFormat="false" ht="16.8" hidden="false" customHeight="false" outlineLevel="0" collapsed="false">
      <c r="A872" s="17" t="s">
        <v>13</v>
      </c>
      <c r="B872" s="17" t="s">
        <v>21</v>
      </c>
      <c r="C872" s="18"/>
      <c r="D872" s="18"/>
      <c r="E872" s="1"/>
      <c r="F872" s="18"/>
    </row>
    <row r="873" customFormat="false" ht="16.8" hidden="false" customHeight="false" outlineLevel="0" collapsed="false">
      <c r="A873" s="33" t="s">
        <v>22</v>
      </c>
      <c r="B873" s="34" t="n">
        <v>11350</v>
      </c>
      <c r="C873" s="1"/>
      <c r="D873" s="1"/>
      <c r="E873" s="39"/>
      <c r="F873" s="1"/>
    </row>
    <row r="874" customFormat="false" ht="16.8" hidden="false" customHeight="false" outlineLevel="0" collapsed="false">
      <c r="A874" s="33" t="s">
        <v>17</v>
      </c>
      <c r="B874" s="34" t="n">
        <v>298960</v>
      </c>
      <c r="C874" s="1"/>
      <c r="D874" s="1"/>
      <c r="E874" s="26"/>
      <c r="F874" s="1"/>
    </row>
    <row r="875" customFormat="false" ht="16.8" hidden="false" customHeight="false" outlineLevel="0" collapsed="false">
      <c r="A875" s="33" t="s">
        <v>18</v>
      </c>
      <c r="B875" s="34" t="n">
        <v>14250</v>
      </c>
      <c r="C875" s="1"/>
      <c r="D875" s="1"/>
      <c r="E875" s="26"/>
      <c r="F875" s="1"/>
    </row>
    <row r="876" customFormat="false" ht="16.8" hidden="false" customHeight="false" outlineLevel="0" collapsed="false">
      <c r="A876" s="25" t="s">
        <v>11</v>
      </c>
      <c r="B876" s="35" t="n">
        <f aca="false">SUM(B873:B875)</f>
        <v>324560</v>
      </c>
      <c r="C876" s="1"/>
      <c r="D876" s="1"/>
      <c r="E876" s="26"/>
      <c r="F876" s="1"/>
    </row>
    <row r="877" customFormat="false" ht="13.2" hidden="false" customHeight="false" outlineLevel="0" collapsed="false">
      <c r="A877" s="1"/>
      <c r="B877" s="1"/>
      <c r="C877" s="1"/>
      <c r="D877" s="1"/>
      <c r="E877" s="26"/>
      <c r="F877" s="1"/>
    </row>
    <row r="878" customFormat="false" ht="13.2" hidden="false" customHeight="false" outlineLevel="0" collapsed="false">
      <c r="A878" s="39" t="s">
        <v>23</v>
      </c>
      <c r="B878" s="39" t="s">
        <v>24</v>
      </c>
      <c r="C878" s="39" t="s">
        <v>25</v>
      </c>
      <c r="D878" s="39" t="s">
        <v>26</v>
      </c>
      <c r="E878" s="41" t="s">
        <v>27</v>
      </c>
      <c r="F878" s="41"/>
    </row>
    <row r="879" customFormat="false" ht="13.2" hidden="false" customHeight="false" outlineLevel="0" collapsed="false">
      <c r="A879" s="26"/>
      <c r="B879" s="26"/>
      <c r="C879" s="26"/>
      <c r="D879" s="26"/>
      <c r="E879" s="26"/>
      <c r="F879" s="26"/>
    </row>
    <row r="880" customFormat="false" ht="13.2" hidden="false" customHeight="false" outlineLevel="0" collapsed="false">
      <c r="A880" s="26"/>
      <c r="B880" s="26"/>
      <c r="C880" s="26"/>
      <c r="D880" s="26"/>
      <c r="E880" s="26"/>
      <c r="F880" s="26"/>
    </row>
    <row r="881" customFormat="false" ht="13.2" hidden="false" customHeight="false" outlineLevel="0" collapsed="false">
      <c r="A881" s="26"/>
      <c r="B881" s="26"/>
      <c r="C881" s="26"/>
      <c r="D881" s="26"/>
      <c r="E881" s="26"/>
      <c r="F881" s="26"/>
    </row>
    <row r="882" customFormat="false" ht="13.2" hidden="false" customHeight="false" outlineLevel="0" collapsed="false">
      <c r="A882" s="26"/>
      <c r="B882" s="26"/>
      <c r="C882" s="26"/>
      <c r="D882" s="26"/>
      <c r="E882" s="26"/>
      <c r="F882" s="26"/>
    </row>
    <row r="883" customFormat="false" ht="13.2" hidden="false" customHeight="false" outlineLevel="0" collapsed="false">
      <c r="A883" s="39" t="s">
        <v>34</v>
      </c>
      <c r="B883" s="39"/>
      <c r="C883" s="39"/>
      <c r="D883" s="39"/>
      <c r="E883" s="41" t="s">
        <v>29</v>
      </c>
      <c r="F883" s="41"/>
    </row>
    <row r="887" customFormat="false" ht="18.6" hidden="false" customHeight="true" outlineLevel="0" collapsed="false">
      <c r="A887" s="118" t="s">
        <v>256</v>
      </c>
      <c r="B887" s="118"/>
      <c r="C887" s="118"/>
      <c r="D887" s="118"/>
      <c r="E887" s="118"/>
      <c r="F887" s="43"/>
    </row>
    <row r="888" customFormat="false" ht="13.8" hidden="false" customHeight="true" outlineLevel="0" collapsed="false">
      <c r="A888" s="119" t="s">
        <v>2</v>
      </c>
      <c r="B888" s="119"/>
      <c r="C888" s="119"/>
      <c r="D888" s="119"/>
      <c r="E888" s="119"/>
      <c r="F888" s="44"/>
    </row>
    <row r="889" customFormat="false" ht="16.8" hidden="false" customHeight="false" outlineLevel="0" collapsed="false">
      <c r="A889" s="13" t="s">
        <v>3</v>
      </c>
      <c r="B889" s="14"/>
      <c r="C889" s="14"/>
      <c r="D889" s="46"/>
      <c r="E889" s="46" t="s">
        <v>4</v>
      </c>
      <c r="F889" s="66"/>
    </row>
    <row r="890" customFormat="false" ht="33.6" hidden="false" customHeight="false" outlineLevel="0" collapsed="false">
      <c r="A890" s="17" t="s">
        <v>5</v>
      </c>
      <c r="B890" s="17" t="s">
        <v>5</v>
      </c>
      <c r="C890" s="17" t="s">
        <v>257</v>
      </c>
      <c r="D890" s="17" t="s">
        <v>7</v>
      </c>
      <c r="E890" s="17" t="s">
        <v>8</v>
      </c>
      <c r="F890" s="1"/>
    </row>
    <row r="891" customFormat="false" ht="16.8" hidden="false" customHeight="false" outlineLevel="0" collapsed="false">
      <c r="A891" s="19" t="s">
        <v>9</v>
      </c>
      <c r="B891" s="20" t="n">
        <f aca="false">E858</f>
        <v>90</v>
      </c>
      <c r="C891" s="20"/>
      <c r="D891" s="20" t="n">
        <v>90</v>
      </c>
      <c r="E891" s="47" t="n">
        <f aca="false">B891+C891-D891</f>
        <v>0</v>
      </c>
      <c r="F891" s="1"/>
    </row>
    <row r="892" customFormat="false" ht="33.6" hidden="false" customHeight="false" outlineLevel="0" collapsed="false">
      <c r="A892" s="97" t="s">
        <v>159</v>
      </c>
      <c r="B892" s="20" t="n">
        <f aca="false">E859</f>
        <v>31220</v>
      </c>
      <c r="C892" s="20" t="n">
        <v>25325</v>
      </c>
      <c r="D892" s="20" t="n">
        <v>56545</v>
      </c>
      <c r="E892" s="47" t="n">
        <f aca="false">B892+C892-D892</f>
        <v>0</v>
      </c>
      <c r="F892" s="1"/>
    </row>
    <row r="893" customFormat="false" ht="33.6" hidden="false" customHeight="false" outlineLevel="0" collapsed="false">
      <c r="A893" s="97" t="s">
        <v>202</v>
      </c>
      <c r="B893" s="20" t="n">
        <f aca="false">E860</f>
        <v>11020</v>
      </c>
      <c r="C893" s="20" t="n">
        <v>12105</v>
      </c>
      <c r="D893" s="20" t="n">
        <f aca="false">11020+12105</f>
        <v>23125</v>
      </c>
      <c r="E893" s="47" t="n">
        <f aca="false">B893+C893-D893</f>
        <v>0</v>
      </c>
      <c r="F893" s="1"/>
    </row>
    <row r="894" customFormat="false" ht="16.8" hidden="false" customHeight="false" outlineLevel="0" collapsed="false">
      <c r="A894" s="19" t="s">
        <v>10</v>
      </c>
      <c r="B894" s="20" t="n">
        <f aca="false">E861</f>
        <v>911809</v>
      </c>
      <c r="C894" s="20" t="n">
        <v>76074</v>
      </c>
      <c r="D894" s="20" t="n">
        <v>987883</v>
      </c>
      <c r="E894" s="47" t="n">
        <f aca="false">B894+C894-D894</f>
        <v>0</v>
      </c>
      <c r="F894" s="45"/>
    </row>
    <row r="895" customFormat="false" ht="16.8" hidden="false" customHeight="false" outlineLevel="0" collapsed="false">
      <c r="A895" s="21" t="s">
        <v>11</v>
      </c>
      <c r="B895" s="22" t="n">
        <f aca="false">SUM(B891:B894)</f>
        <v>954139</v>
      </c>
      <c r="C895" s="22" t="n">
        <f aca="false">SUM(C891:C894)</f>
        <v>113504</v>
      </c>
      <c r="D895" s="22" t="n">
        <f aca="false">SUM(D891:D894)</f>
        <v>1067643</v>
      </c>
      <c r="E895" s="22" t="n">
        <f aca="false">SUM(E891:E894)</f>
        <v>0</v>
      </c>
      <c r="F895" s="45"/>
    </row>
    <row r="896" customFormat="false" ht="16.8" hidden="false" customHeight="false" outlineLevel="0" collapsed="false">
      <c r="A896" s="64" t="s">
        <v>249</v>
      </c>
      <c r="B896" s="64"/>
      <c r="C896" s="64"/>
      <c r="D896" s="64"/>
      <c r="E896" s="64"/>
      <c r="F896" s="45"/>
    </row>
    <row r="897" customFormat="false" ht="16.8" hidden="false" customHeight="false" outlineLevel="0" collapsed="false">
      <c r="A897" s="13" t="s">
        <v>12</v>
      </c>
      <c r="B897" s="13"/>
      <c r="C897" s="13"/>
      <c r="D897" s="13"/>
      <c r="E897" s="24"/>
      <c r="F897" s="24"/>
    </row>
    <row r="898" customFormat="false" ht="67.2" hidden="false" customHeight="false" outlineLevel="0" collapsed="false">
      <c r="A898" s="25" t="s">
        <v>13</v>
      </c>
      <c r="B898" s="17" t="s">
        <v>258</v>
      </c>
      <c r="C898" s="17" t="s">
        <v>259</v>
      </c>
      <c r="D898" s="93" t="s">
        <v>138</v>
      </c>
      <c r="E898" s="120" t="s">
        <v>16</v>
      </c>
    </row>
    <row r="899" customFormat="false" ht="33.6" hidden="false" customHeight="false" outlineLevel="0" collapsed="false">
      <c r="A899" s="49" t="s">
        <v>49</v>
      </c>
      <c r="B899" s="20" t="n">
        <f aca="false">950+3800+5150</f>
        <v>9900</v>
      </c>
      <c r="C899" s="20" t="n">
        <v>9400</v>
      </c>
      <c r="D899" s="20"/>
      <c r="E899" s="29"/>
    </row>
    <row r="900" customFormat="false" ht="16.8" hidden="false" customHeight="false" outlineLevel="0" collapsed="false">
      <c r="A900" s="49" t="s">
        <v>53</v>
      </c>
      <c r="B900" s="19" t="n">
        <f aca="false">31400+66420+73220+71300+2050</f>
        <v>244390</v>
      </c>
      <c r="C900" s="19" t="n">
        <v>49620</v>
      </c>
      <c r="D900" s="19"/>
      <c r="E900" s="51"/>
    </row>
    <row r="901" customFormat="false" ht="16.8" hidden="false" customHeight="false" outlineLevel="0" collapsed="false">
      <c r="A901" s="53" t="s">
        <v>18</v>
      </c>
      <c r="B901" s="20"/>
      <c r="C901" s="20"/>
      <c r="D901" s="20"/>
      <c r="E901" s="20"/>
    </row>
    <row r="902" customFormat="false" ht="16.8" hidden="false" customHeight="false" outlineLevel="0" collapsed="false">
      <c r="A902" s="30" t="s">
        <v>11</v>
      </c>
      <c r="B902" s="94" t="n">
        <f aca="false">SUM(B899:B901)</f>
        <v>254290</v>
      </c>
      <c r="C902" s="94" t="n">
        <f aca="false">SUM(C899:C901)</f>
        <v>59020</v>
      </c>
      <c r="D902" s="89"/>
      <c r="E902" s="89" t="n">
        <f aca="false">D895/(B902+C902)</f>
        <v>3.40762503590693</v>
      </c>
    </row>
    <row r="903" customFormat="false" ht="16.8" hidden="false" customHeight="false" outlineLevel="0" collapsed="false">
      <c r="A903" s="55"/>
      <c r="B903" s="56"/>
      <c r="C903" s="100"/>
    </row>
    <row r="904" customFormat="false" ht="16.8" hidden="false" customHeight="false" outlineLevel="0" collapsed="false">
      <c r="A904" s="13" t="s">
        <v>20</v>
      </c>
      <c r="B904" s="1"/>
      <c r="C904" s="1"/>
      <c r="D904" s="1"/>
      <c r="E904" s="1"/>
      <c r="F904" s="1"/>
    </row>
    <row r="905" customFormat="false" ht="16.8" hidden="false" customHeight="false" outlineLevel="0" collapsed="false">
      <c r="A905" s="17" t="s">
        <v>13</v>
      </c>
      <c r="B905" s="17" t="s">
        <v>21</v>
      </c>
      <c r="C905" s="18"/>
      <c r="D905" s="18"/>
      <c r="E905" s="1"/>
      <c r="F905" s="18"/>
    </row>
    <row r="906" customFormat="false" ht="16.8" hidden="false" customHeight="false" outlineLevel="0" collapsed="false">
      <c r="A906" s="33" t="s">
        <v>22</v>
      </c>
      <c r="B906" s="34" t="n">
        <v>20750</v>
      </c>
      <c r="C906" s="1"/>
      <c r="D906" s="1"/>
      <c r="E906" s="39"/>
      <c r="F906" s="1"/>
    </row>
    <row r="907" customFormat="false" ht="16.8" hidden="false" customHeight="false" outlineLevel="0" collapsed="false">
      <c r="A907" s="33" t="s">
        <v>17</v>
      </c>
      <c r="B907" s="34" t="n">
        <v>333510</v>
      </c>
      <c r="C907" s="1"/>
      <c r="D907" s="1"/>
      <c r="E907" s="26"/>
      <c r="F907" s="1"/>
    </row>
    <row r="908" customFormat="false" ht="16.8" hidden="false" customHeight="false" outlineLevel="0" collapsed="false">
      <c r="A908" s="33" t="s">
        <v>18</v>
      </c>
      <c r="B908" s="34" t="n">
        <v>14250</v>
      </c>
      <c r="C908" s="1"/>
      <c r="D908" s="1"/>
      <c r="E908" s="26"/>
      <c r="F908" s="1"/>
    </row>
    <row r="909" customFormat="false" ht="16.8" hidden="false" customHeight="false" outlineLevel="0" collapsed="false">
      <c r="A909" s="25" t="s">
        <v>11</v>
      </c>
      <c r="B909" s="35" t="n">
        <f aca="false">SUM(B906:B908)</f>
        <v>368510</v>
      </c>
      <c r="C909" s="1"/>
      <c r="D909" s="1"/>
      <c r="E909" s="26"/>
      <c r="F909" s="1"/>
    </row>
    <row r="910" customFormat="false" ht="13.2" hidden="false" customHeight="false" outlineLevel="0" collapsed="false">
      <c r="A910" s="1"/>
      <c r="B910" s="1"/>
      <c r="C910" s="1"/>
      <c r="D910" s="1"/>
      <c r="E910" s="26"/>
      <c r="F910" s="1"/>
    </row>
    <row r="911" customFormat="false" ht="13.2" hidden="false" customHeight="false" outlineLevel="0" collapsed="false">
      <c r="A911" s="39" t="s">
        <v>23</v>
      </c>
      <c r="B911" s="39" t="s">
        <v>24</v>
      </c>
      <c r="C911" s="39" t="s">
        <v>25</v>
      </c>
      <c r="D911" s="39" t="s">
        <v>26</v>
      </c>
      <c r="E911" s="41" t="s">
        <v>27</v>
      </c>
      <c r="F911" s="41"/>
    </row>
    <row r="912" customFormat="false" ht="13.2" hidden="false" customHeight="false" outlineLevel="0" collapsed="false">
      <c r="A912" s="26"/>
      <c r="B912" s="26"/>
      <c r="C912" s="26"/>
      <c r="D912" s="26"/>
      <c r="E912" s="26"/>
      <c r="F912" s="26"/>
    </row>
    <row r="913" customFormat="false" ht="13.2" hidden="false" customHeight="false" outlineLevel="0" collapsed="false">
      <c r="A913" s="26"/>
      <c r="B913" s="26"/>
      <c r="C913" s="26"/>
      <c r="D913" s="26"/>
      <c r="E913" s="26"/>
      <c r="F913" s="26"/>
    </row>
    <row r="914" customFormat="false" ht="13.2" hidden="false" customHeight="false" outlineLevel="0" collapsed="false">
      <c r="A914" s="26"/>
      <c r="B914" s="26"/>
      <c r="C914" s="26"/>
      <c r="D914" s="26"/>
      <c r="E914" s="26"/>
      <c r="F914" s="26"/>
    </row>
    <row r="915" customFormat="false" ht="13.2" hidden="false" customHeight="false" outlineLevel="0" collapsed="false">
      <c r="A915" s="26"/>
      <c r="B915" s="26"/>
      <c r="C915" s="26"/>
      <c r="D915" s="26"/>
      <c r="E915" s="26"/>
      <c r="F915" s="26"/>
    </row>
    <row r="916" customFormat="false" ht="13.2" hidden="false" customHeight="false" outlineLevel="0" collapsed="false">
      <c r="A916" s="39" t="s">
        <v>34</v>
      </c>
      <c r="B916" s="39"/>
      <c r="C916" s="39"/>
      <c r="D916" s="39"/>
      <c r="E916" s="41" t="s">
        <v>29</v>
      </c>
      <c r="F916" s="41"/>
    </row>
    <row r="920" customFormat="false" ht="18.6" hidden="false" customHeight="true" outlineLevel="0" collapsed="false">
      <c r="A920" s="118" t="s">
        <v>260</v>
      </c>
      <c r="B920" s="118"/>
      <c r="C920" s="118"/>
      <c r="D920" s="118"/>
      <c r="E920" s="118"/>
      <c r="F920" s="43"/>
    </row>
    <row r="921" customFormat="false" ht="13.8" hidden="false" customHeight="true" outlineLevel="0" collapsed="false">
      <c r="A921" s="119" t="s">
        <v>2</v>
      </c>
      <c r="B921" s="119"/>
      <c r="C921" s="119"/>
      <c r="D921" s="119"/>
      <c r="E921" s="119"/>
      <c r="F921" s="44"/>
    </row>
    <row r="922" customFormat="false" ht="16.8" hidden="false" customHeight="false" outlineLevel="0" collapsed="false">
      <c r="A922" s="13" t="s">
        <v>3</v>
      </c>
      <c r="B922" s="14"/>
      <c r="C922" s="14"/>
      <c r="D922" s="46"/>
      <c r="E922" s="46" t="s">
        <v>4</v>
      </c>
      <c r="F922" s="66"/>
    </row>
    <row r="923" customFormat="false" ht="33.6" hidden="false" customHeight="false" outlineLevel="0" collapsed="false">
      <c r="A923" s="17" t="s">
        <v>5</v>
      </c>
      <c r="B923" s="17" t="s">
        <v>5</v>
      </c>
      <c r="C923" s="17" t="s">
        <v>261</v>
      </c>
      <c r="D923" s="17" t="s">
        <v>7</v>
      </c>
      <c r="E923" s="17" t="s">
        <v>8</v>
      </c>
      <c r="F923" s="1"/>
    </row>
    <row r="924" customFormat="false" ht="16.8" hidden="false" customHeight="false" outlineLevel="0" collapsed="false">
      <c r="A924" s="19" t="s">
        <v>9</v>
      </c>
      <c r="B924" s="20"/>
      <c r="C924" s="20"/>
      <c r="D924" s="20"/>
      <c r="E924" s="47" t="n">
        <f aca="false">B924+C924-D924</f>
        <v>0</v>
      </c>
      <c r="F924" s="1"/>
    </row>
    <row r="925" customFormat="false" ht="33.6" hidden="false" customHeight="false" outlineLevel="0" collapsed="false">
      <c r="A925" s="97" t="s">
        <v>159</v>
      </c>
      <c r="B925" s="20"/>
      <c r="C925" s="20" t="n">
        <v>26535</v>
      </c>
      <c r="D925" s="20" t="n">
        <v>26535</v>
      </c>
      <c r="E925" s="47" t="n">
        <f aca="false">B925+C925-D925</f>
        <v>0</v>
      </c>
      <c r="F925" s="1"/>
    </row>
    <row r="926" customFormat="false" ht="33.6" hidden="false" customHeight="false" outlineLevel="0" collapsed="false">
      <c r="A926" s="97" t="s">
        <v>202</v>
      </c>
      <c r="B926" s="20"/>
      <c r="C926" s="20" t="n">
        <v>5910</v>
      </c>
      <c r="D926" s="20" t="n">
        <v>5910</v>
      </c>
      <c r="E926" s="47" t="n">
        <f aca="false">B926+C926-D926</f>
        <v>0</v>
      </c>
      <c r="F926" s="1"/>
    </row>
    <row r="927" customFormat="false" ht="16.8" hidden="false" customHeight="false" outlineLevel="0" collapsed="false">
      <c r="A927" s="19" t="s">
        <v>10</v>
      </c>
      <c r="B927" s="20"/>
      <c r="C927" s="20" t="n">
        <v>129137</v>
      </c>
      <c r="D927" s="20" t="n">
        <v>129137</v>
      </c>
      <c r="E927" s="47" t="n">
        <f aca="false">B927+C927-D927</f>
        <v>0</v>
      </c>
      <c r="F927" s="45"/>
    </row>
    <row r="928" customFormat="false" ht="16.8" hidden="false" customHeight="false" outlineLevel="0" collapsed="false">
      <c r="A928" s="21" t="s">
        <v>11</v>
      </c>
      <c r="B928" s="22" t="n">
        <f aca="false">SUM(B924:B927)</f>
        <v>0</v>
      </c>
      <c r="C928" s="22" t="n">
        <f aca="false">SUM(C924:C927)</f>
        <v>161582</v>
      </c>
      <c r="D928" s="22" t="n">
        <f aca="false">SUM(D924:D927)</f>
        <v>161582</v>
      </c>
      <c r="E928" s="22" t="n">
        <f aca="false">SUM(E924:E927)</f>
        <v>0</v>
      </c>
      <c r="F928" s="45"/>
    </row>
    <row r="929" customFormat="false" ht="16.8" hidden="false" customHeight="false" outlineLevel="0" collapsed="false">
      <c r="A929" s="13" t="s">
        <v>12</v>
      </c>
      <c r="B929" s="13"/>
      <c r="C929" s="13"/>
      <c r="D929" s="13"/>
      <c r="E929" s="24"/>
      <c r="F929" s="24"/>
    </row>
    <row r="930" customFormat="false" ht="67.2" hidden="false" customHeight="false" outlineLevel="0" collapsed="false">
      <c r="A930" s="25" t="s">
        <v>13</v>
      </c>
      <c r="B930" s="17" t="s">
        <v>262</v>
      </c>
      <c r="C930" s="93" t="s">
        <v>138</v>
      </c>
      <c r="D930" s="120" t="s">
        <v>16</v>
      </c>
    </row>
    <row r="931" customFormat="false" ht="33.6" hidden="false" customHeight="false" outlineLevel="0" collapsed="false">
      <c r="A931" s="49" t="s">
        <v>49</v>
      </c>
      <c r="B931" s="20" t="n">
        <v>9550</v>
      </c>
      <c r="C931" s="20"/>
      <c r="D931" s="29"/>
    </row>
    <row r="932" customFormat="false" ht="16.8" hidden="false" customHeight="false" outlineLevel="0" collapsed="false">
      <c r="A932" s="49" t="s">
        <v>53</v>
      </c>
      <c r="B932" s="19" t="n">
        <v>40100</v>
      </c>
      <c r="C932" s="19"/>
      <c r="D932" s="51"/>
    </row>
    <row r="933" customFormat="false" ht="16.8" hidden="false" customHeight="false" outlineLevel="0" collapsed="false">
      <c r="A933" s="53" t="s">
        <v>18</v>
      </c>
      <c r="B933" s="20"/>
      <c r="C933" s="20"/>
      <c r="D933" s="20"/>
    </row>
    <row r="934" customFormat="false" ht="16.8" hidden="false" customHeight="false" outlineLevel="0" collapsed="false">
      <c r="A934" s="30" t="s">
        <v>11</v>
      </c>
      <c r="B934" s="94" t="n">
        <f aca="false">SUM(B931:B933)</f>
        <v>49650</v>
      </c>
      <c r="C934" s="89"/>
      <c r="D934" s="89" t="n">
        <f aca="false">D928/B934</f>
        <v>3.25442094662638</v>
      </c>
    </row>
    <row r="935" customFormat="false" ht="16.8" hidden="false" customHeight="false" outlineLevel="0" collapsed="false">
      <c r="A935" s="55"/>
      <c r="B935" s="56"/>
      <c r="C935" s="100"/>
    </row>
    <row r="936" customFormat="false" ht="16.8" hidden="false" customHeight="false" outlineLevel="0" collapsed="false">
      <c r="A936" s="13" t="s">
        <v>20</v>
      </c>
      <c r="B936" s="1"/>
      <c r="C936" s="1"/>
      <c r="D936" s="1"/>
      <c r="E936" s="1"/>
      <c r="F936" s="1"/>
    </row>
    <row r="937" customFormat="false" ht="16.8" hidden="false" customHeight="false" outlineLevel="0" collapsed="false">
      <c r="A937" s="17" t="s">
        <v>13</v>
      </c>
      <c r="B937" s="17" t="s">
        <v>21</v>
      </c>
      <c r="C937" s="18"/>
      <c r="D937" s="18"/>
      <c r="E937" s="1"/>
      <c r="F937" s="18"/>
    </row>
    <row r="938" customFormat="false" ht="16.8" hidden="false" customHeight="false" outlineLevel="0" collapsed="false">
      <c r="A938" s="33" t="s">
        <v>22</v>
      </c>
      <c r="B938" s="34" t="n">
        <v>30300</v>
      </c>
      <c r="C938" s="1"/>
      <c r="D938" s="1"/>
      <c r="E938" s="39"/>
      <c r="F938" s="1"/>
    </row>
    <row r="939" customFormat="false" ht="16.8" hidden="false" customHeight="false" outlineLevel="0" collapsed="false">
      <c r="A939" s="33" t="s">
        <v>17</v>
      </c>
      <c r="B939" s="34" t="n">
        <f aca="false">191660+3750</f>
        <v>195410</v>
      </c>
      <c r="C939" s="1"/>
      <c r="D939" s="1"/>
      <c r="E939" s="26"/>
      <c r="F939" s="1"/>
    </row>
    <row r="940" customFormat="false" ht="16.8" hidden="false" customHeight="false" outlineLevel="0" collapsed="false">
      <c r="A940" s="33" t="s">
        <v>18</v>
      </c>
      <c r="B940" s="34" t="n">
        <v>14250</v>
      </c>
      <c r="C940" s="1"/>
      <c r="D940" s="1"/>
      <c r="E940" s="26"/>
      <c r="F940" s="1"/>
    </row>
    <row r="941" customFormat="false" ht="16.8" hidden="false" customHeight="false" outlineLevel="0" collapsed="false">
      <c r="A941" s="25" t="s">
        <v>11</v>
      </c>
      <c r="B941" s="35" t="n">
        <f aca="false">SUM(B938:B940)</f>
        <v>239960</v>
      </c>
      <c r="C941" s="1"/>
      <c r="D941" s="1"/>
      <c r="E941" s="26"/>
      <c r="F941" s="1"/>
    </row>
    <row r="942" customFormat="false" ht="13.2" hidden="false" customHeight="false" outlineLevel="0" collapsed="false">
      <c r="A942" s="1"/>
      <c r="B942" s="1"/>
      <c r="C942" s="1"/>
      <c r="D942" s="1"/>
      <c r="E942" s="26"/>
      <c r="F942" s="1"/>
    </row>
    <row r="943" customFormat="false" ht="13.2" hidden="false" customHeight="false" outlineLevel="0" collapsed="false">
      <c r="A943" s="39" t="s">
        <v>23</v>
      </c>
      <c r="B943" s="39" t="s">
        <v>24</v>
      </c>
      <c r="C943" s="39" t="s">
        <v>25</v>
      </c>
      <c r="D943" s="39" t="s">
        <v>26</v>
      </c>
      <c r="E943" s="41" t="s">
        <v>27</v>
      </c>
      <c r="F943" s="41"/>
    </row>
    <row r="944" customFormat="false" ht="13.2" hidden="false" customHeight="false" outlineLevel="0" collapsed="false">
      <c r="A944" s="26"/>
      <c r="B944" s="26"/>
      <c r="C944" s="26"/>
      <c r="D944" s="26"/>
      <c r="E944" s="26"/>
      <c r="F944" s="26"/>
    </row>
    <row r="945" customFormat="false" ht="13.2" hidden="false" customHeight="false" outlineLevel="0" collapsed="false">
      <c r="A945" s="26"/>
      <c r="B945" s="26"/>
      <c r="C945" s="26"/>
      <c r="D945" s="26"/>
      <c r="E945" s="26"/>
      <c r="F945" s="26"/>
    </row>
    <row r="946" customFormat="false" ht="13.2" hidden="false" customHeight="false" outlineLevel="0" collapsed="false">
      <c r="A946" s="26"/>
      <c r="B946" s="26"/>
      <c r="C946" s="26"/>
      <c r="D946" s="26"/>
      <c r="E946" s="26"/>
      <c r="F946" s="26"/>
    </row>
    <row r="947" customFormat="false" ht="13.2" hidden="false" customHeight="false" outlineLevel="0" collapsed="false">
      <c r="A947" s="26"/>
      <c r="B947" s="26"/>
      <c r="C947" s="26"/>
      <c r="D947" s="26"/>
      <c r="E947" s="26"/>
      <c r="F947" s="26"/>
    </row>
    <row r="948" customFormat="false" ht="13.2" hidden="false" customHeight="false" outlineLevel="0" collapsed="false">
      <c r="A948" s="39" t="s">
        <v>34</v>
      </c>
      <c r="B948" s="39"/>
      <c r="C948" s="39"/>
      <c r="D948" s="39"/>
      <c r="E948" s="41" t="s">
        <v>29</v>
      </c>
      <c r="F948" s="41"/>
    </row>
    <row r="952" customFormat="false" ht="18.6" hidden="false" customHeight="true" outlineLevel="0" collapsed="false">
      <c r="A952" s="118" t="s">
        <v>263</v>
      </c>
      <c r="B952" s="118"/>
      <c r="C952" s="118"/>
      <c r="D952" s="118"/>
      <c r="E952" s="118"/>
      <c r="F952" s="43"/>
    </row>
    <row r="953" customFormat="false" ht="13.8" hidden="false" customHeight="true" outlineLevel="0" collapsed="false">
      <c r="A953" s="119" t="s">
        <v>2</v>
      </c>
      <c r="B953" s="119"/>
      <c r="C953" s="119"/>
      <c r="D953" s="119"/>
      <c r="E953" s="119"/>
      <c r="F953" s="44"/>
    </row>
    <row r="954" customFormat="false" ht="16.8" hidden="false" customHeight="false" outlineLevel="0" collapsed="false">
      <c r="A954" s="13" t="s">
        <v>3</v>
      </c>
      <c r="B954" s="14"/>
      <c r="C954" s="14"/>
      <c r="D954" s="46"/>
      <c r="E954" s="46" t="s">
        <v>4</v>
      </c>
      <c r="F954" s="66"/>
    </row>
    <row r="955" customFormat="false" ht="33.6" hidden="false" customHeight="false" outlineLevel="0" collapsed="false">
      <c r="A955" s="17" t="s">
        <v>5</v>
      </c>
      <c r="B955" s="17" t="s">
        <v>5</v>
      </c>
      <c r="C955" s="17" t="s">
        <v>264</v>
      </c>
      <c r="D955" s="17" t="s">
        <v>7</v>
      </c>
      <c r="E955" s="17" t="s">
        <v>8</v>
      </c>
      <c r="F955" s="1"/>
    </row>
    <row r="956" customFormat="false" ht="16.8" hidden="false" customHeight="false" outlineLevel="0" collapsed="false">
      <c r="A956" s="19" t="s">
        <v>9</v>
      </c>
      <c r="B956" s="20"/>
      <c r="C956" s="20" t="n">
        <v>25</v>
      </c>
      <c r="D956" s="20" t="n">
        <v>25</v>
      </c>
      <c r="E956" s="47" t="n">
        <f aca="false">B956+C956-D956</f>
        <v>0</v>
      </c>
      <c r="F956" s="1"/>
    </row>
    <row r="957" customFormat="false" ht="33.6" hidden="false" customHeight="false" outlineLevel="0" collapsed="false">
      <c r="A957" s="97" t="s">
        <v>159</v>
      </c>
      <c r="B957" s="20"/>
      <c r="C957" s="20"/>
      <c r="D957" s="20"/>
      <c r="E957" s="47" t="n">
        <f aca="false">B957+C957-D957</f>
        <v>0</v>
      </c>
      <c r="F957" s="1"/>
    </row>
    <row r="958" customFormat="false" ht="33.6" hidden="false" customHeight="false" outlineLevel="0" collapsed="false">
      <c r="A958" s="97" t="s">
        <v>202</v>
      </c>
      <c r="B958" s="20"/>
      <c r="C958" s="20" t="n">
        <v>70</v>
      </c>
      <c r="D958" s="20" t="n">
        <v>70</v>
      </c>
      <c r="E958" s="47" t="n">
        <f aca="false">B958+C958-D958</f>
        <v>0</v>
      </c>
      <c r="F958" s="1"/>
    </row>
    <row r="959" customFormat="false" ht="16.8" hidden="false" customHeight="false" outlineLevel="0" collapsed="false">
      <c r="A959" s="19" t="s">
        <v>10</v>
      </c>
      <c r="B959" s="20"/>
      <c r="C959" s="20" t="n">
        <f aca="false">162551-25</f>
        <v>162526</v>
      </c>
      <c r="D959" s="20" t="n">
        <v>162526</v>
      </c>
      <c r="E959" s="47" t="n">
        <f aca="false">B959+C959-D959</f>
        <v>0</v>
      </c>
      <c r="F959" s="45"/>
    </row>
    <row r="960" customFormat="false" ht="16.8" hidden="false" customHeight="false" outlineLevel="0" collapsed="false">
      <c r="A960" s="21" t="s">
        <v>11</v>
      </c>
      <c r="B960" s="22" t="n">
        <f aca="false">SUM(B956:B959)</f>
        <v>0</v>
      </c>
      <c r="C960" s="22" t="n">
        <f aca="false">SUM(C956:C959)</f>
        <v>162621</v>
      </c>
      <c r="D960" s="22" t="n">
        <f aca="false">SUM(D956:D959)</f>
        <v>162621</v>
      </c>
      <c r="E960" s="22" t="n">
        <f aca="false">SUM(E956:E959)</f>
        <v>0</v>
      </c>
      <c r="F960" s="45"/>
    </row>
    <row r="961" customFormat="false" ht="16.8" hidden="false" customHeight="false" outlineLevel="0" collapsed="false">
      <c r="A961" s="13" t="s">
        <v>12</v>
      </c>
      <c r="B961" s="13"/>
      <c r="C961" s="13"/>
      <c r="D961" s="13"/>
      <c r="E961" s="24"/>
      <c r="F961" s="24"/>
    </row>
    <row r="962" customFormat="false" ht="67.2" hidden="false" customHeight="false" outlineLevel="0" collapsed="false">
      <c r="A962" s="25" t="s">
        <v>13</v>
      </c>
      <c r="B962" s="17" t="s">
        <v>265</v>
      </c>
      <c r="C962" s="93" t="s">
        <v>138</v>
      </c>
      <c r="D962" s="120" t="s">
        <v>16</v>
      </c>
    </row>
    <row r="963" customFormat="false" ht="33.6" hidden="false" customHeight="false" outlineLevel="0" collapsed="false">
      <c r="A963" s="49" t="s">
        <v>49</v>
      </c>
      <c r="B963" s="20"/>
      <c r="C963" s="20"/>
      <c r="D963" s="29"/>
    </row>
    <row r="964" customFormat="false" ht="16.8" hidden="false" customHeight="false" outlineLevel="0" collapsed="false">
      <c r="A964" s="49" t="s">
        <v>53</v>
      </c>
      <c r="B964" s="19" t="n">
        <v>48440</v>
      </c>
      <c r="C964" s="19"/>
      <c r="D964" s="51"/>
    </row>
    <row r="965" customFormat="false" ht="16.8" hidden="false" customHeight="false" outlineLevel="0" collapsed="false">
      <c r="A965" s="53" t="s">
        <v>18</v>
      </c>
      <c r="B965" s="20"/>
      <c r="C965" s="20"/>
      <c r="D965" s="20"/>
    </row>
    <row r="966" customFormat="false" ht="16.8" hidden="false" customHeight="false" outlineLevel="0" collapsed="false">
      <c r="A966" s="30" t="s">
        <v>11</v>
      </c>
      <c r="B966" s="94" t="n">
        <f aca="false">SUM(B963:B965)</f>
        <v>48440</v>
      </c>
      <c r="C966" s="89"/>
      <c r="D966" s="89" t="n">
        <f aca="false">D960/B966</f>
        <v>3.35716350123865</v>
      </c>
    </row>
    <row r="967" customFormat="false" ht="16.8" hidden="false" customHeight="false" outlineLevel="0" collapsed="false">
      <c r="A967" s="55"/>
      <c r="B967" s="56"/>
      <c r="C967" s="100"/>
    </row>
    <row r="968" customFormat="false" ht="16.8" hidden="false" customHeight="false" outlineLevel="0" collapsed="false">
      <c r="A968" s="13" t="s">
        <v>20</v>
      </c>
      <c r="B968" s="1"/>
      <c r="C968" s="1"/>
      <c r="D968" s="1"/>
      <c r="E968" s="1"/>
      <c r="F968" s="1"/>
    </row>
    <row r="969" customFormat="false" ht="16.8" hidden="false" customHeight="false" outlineLevel="0" collapsed="false">
      <c r="A969" s="17" t="s">
        <v>13</v>
      </c>
      <c r="B969" s="17" t="s">
        <v>21</v>
      </c>
      <c r="C969" s="18"/>
      <c r="D969" s="18"/>
      <c r="E969" s="1"/>
      <c r="F969" s="18"/>
    </row>
    <row r="970" customFormat="false" ht="16.8" hidden="false" customHeight="false" outlineLevel="0" collapsed="false">
      <c r="A970" s="33" t="s">
        <v>22</v>
      </c>
      <c r="B970" s="34" t="n">
        <v>30300</v>
      </c>
      <c r="C970" s="1"/>
      <c r="D970" s="1"/>
      <c r="E970" s="39"/>
      <c r="F970" s="1"/>
    </row>
    <row r="971" customFormat="false" ht="16.8" hidden="false" customHeight="false" outlineLevel="0" collapsed="false">
      <c r="A971" s="33" t="s">
        <v>17</v>
      </c>
      <c r="B971" s="34" t="n">
        <v>186100</v>
      </c>
      <c r="C971" s="1"/>
      <c r="D971" s="1"/>
      <c r="E971" s="26"/>
      <c r="F971" s="1"/>
    </row>
    <row r="972" customFormat="false" ht="16.8" hidden="false" customHeight="false" outlineLevel="0" collapsed="false">
      <c r="A972" s="33" t="s">
        <v>18</v>
      </c>
      <c r="B972" s="34" t="n">
        <v>14250</v>
      </c>
      <c r="C972" s="1"/>
      <c r="D972" s="1"/>
      <c r="E972" s="26"/>
      <c r="F972" s="1"/>
    </row>
    <row r="973" customFormat="false" ht="16.8" hidden="false" customHeight="false" outlineLevel="0" collapsed="false">
      <c r="A973" s="25" t="s">
        <v>11</v>
      </c>
      <c r="B973" s="35" t="n">
        <f aca="false">SUM(B970:B972)</f>
        <v>230650</v>
      </c>
      <c r="C973" s="1"/>
      <c r="D973" s="1"/>
      <c r="E973" s="26"/>
      <c r="F973" s="1"/>
    </row>
    <row r="974" customFormat="false" ht="13.2" hidden="false" customHeight="false" outlineLevel="0" collapsed="false">
      <c r="A974" s="1"/>
      <c r="B974" s="1"/>
      <c r="C974" s="1"/>
      <c r="D974" s="1"/>
      <c r="E974" s="26"/>
      <c r="F974" s="1"/>
    </row>
    <row r="975" customFormat="false" ht="13.2" hidden="false" customHeight="false" outlineLevel="0" collapsed="false">
      <c r="A975" s="39" t="s">
        <v>23</v>
      </c>
      <c r="B975" s="39" t="s">
        <v>24</v>
      </c>
      <c r="C975" s="39" t="s">
        <v>25</v>
      </c>
      <c r="D975" s="39" t="s">
        <v>26</v>
      </c>
      <c r="E975" s="41" t="s">
        <v>27</v>
      </c>
      <c r="F975" s="41"/>
    </row>
    <row r="976" customFormat="false" ht="13.2" hidden="false" customHeight="false" outlineLevel="0" collapsed="false">
      <c r="A976" s="26"/>
      <c r="B976" s="26"/>
      <c r="C976" s="26"/>
      <c r="D976" s="26"/>
      <c r="E976" s="26"/>
      <c r="F976" s="26"/>
    </row>
    <row r="977" customFormat="false" ht="13.2" hidden="false" customHeight="false" outlineLevel="0" collapsed="false">
      <c r="A977" s="26"/>
      <c r="B977" s="26"/>
      <c r="C977" s="26"/>
      <c r="D977" s="26"/>
      <c r="E977" s="26"/>
      <c r="F977" s="26"/>
    </row>
    <row r="978" customFormat="false" ht="13.2" hidden="false" customHeight="false" outlineLevel="0" collapsed="false">
      <c r="A978" s="26"/>
      <c r="B978" s="26"/>
      <c r="C978" s="26"/>
      <c r="D978" s="26"/>
      <c r="E978" s="26"/>
      <c r="F978" s="26"/>
    </row>
    <row r="979" customFormat="false" ht="13.2" hidden="false" customHeight="false" outlineLevel="0" collapsed="false">
      <c r="A979" s="26"/>
      <c r="B979" s="26"/>
      <c r="C979" s="26"/>
      <c r="D979" s="26"/>
      <c r="E979" s="26"/>
      <c r="F979" s="26"/>
    </row>
    <row r="980" customFormat="false" ht="13.2" hidden="false" customHeight="false" outlineLevel="0" collapsed="false">
      <c r="A980" s="39" t="s">
        <v>34</v>
      </c>
      <c r="B980" s="39"/>
      <c r="C980" s="39"/>
      <c r="D980" s="39"/>
      <c r="E980" s="41" t="s">
        <v>29</v>
      </c>
      <c r="F980" s="41"/>
    </row>
    <row r="984" customFormat="false" ht="18.6" hidden="false" customHeight="true" outlineLevel="0" collapsed="false">
      <c r="A984" s="118" t="s">
        <v>266</v>
      </c>
      <c r="B984" s="118"/>
      <c r="C984" s="118"/>
      <c r="D984" s="118"/>
      <c r="E984" s="118"/>
      <c r="F984" s="43"/>
    </row>
    <row r="985" customFormat="false" ht="13.8" hidden="false" customHeight="true" outlineLevel="0" collapsed="false">
      <c r="A985" s="119" t="s">
        <v>2</v>
      </c>
      <c r="B985" s="119"/>
      <c r="C985" s="119"/>
      <c r="D985" s="119"/>
      <c r="E985" s="119"/>
      <c r="F985" s="44"/>
    </row>
    <row r="986" customFormat="false" ht="16.8" hidden="false" customHeight="false" outlineLevel="0" collapsed="false">
      <c r="A986" s="13" t="s">
        <v>3</v>
      </c>
      <c r="B986" s="14"/>
      <c r="C986" s="14"/>
      <c r="D986" s="46"/>
      <c r="E986" s="46" t="s">
        <v>4</v>
      </c>
      <c r="F986" s="66"/>
    </row>
    <row r="987" customFormat="false" ht="33.6" hidden="false" customHeight="false" outlineLevel="0" collapsed="false">
      <c r="A987" s="17" t="s">
        <v>5</v>
      </c>
      <c r="B987" s="17" t="s">
        <v>5</v>
      </c>
      <c r="C987" s="17" t="s">
        <v>267</v>
      </c>
      <c r="D987" s="17" t="s">
        <v>7</v>
      </c>
      <c r="E987" s="17" t="s">
        <v>8</v>
      </c>
      <c r="F987" s="1"/>
    </row>
    <row r="988" customFormat="false" ht="16.8" hidden="false" customHeight="false" outlineLevel="0" collapsed="false">
      <c r="A988" s="19" t="s">
        <v>9</v>
      </c>
      <c r="B988" s="20"/>
      <c r="C988" s="20"/>
      <c r="D988" s="20"/>
      <c r="E988" s="47" t="n">
        <f aca="false">B988+C988-D988</f>
        <v>0</v>
      </c>
      <c r="F988" s="1"/>
    </row>
    <row r="989" customFormat="false" ht="33.6" hidden="false" customHeight="false" outlineLevel="0" collapsed="false">
      <c r="A989" s="97" t="s">
        <v>159</v>
      </c>
      <c r="B989" s="20"/>
      <c r="C989" s="20" t="n">
        <v>10130</v>
      </c>
      <c r="D989" s="20"/>
      <c r="E989" s="47" t="n">
        <f aca="false">B989+C989-D989</f>
        <v>10130</v>
      </c>
      <c r="F989" s="1"/>
    </row>
    <row r="990" customFormat="false" ht="33.6" hidden="false" customHeight="false" outlineLevel="0" collapsed="false">
      <c r="A990" s="97" t="s">
        <v>202</v>
      </c>
      <c r="B990" s="20"/>
      <c r="C990" s="20" t="n">
        <v>2215</v>
      </c>
      <c r="D990" s="20"/>
      <c r="E990" s="47" t="n">
        <f aca="false">B990+C990-D990</f>
        <v>2215</v>
      </c>
      <c r="F990" s="1"/>
    </row>
    <row r="991" customFormat="false" ht="16.8" hidden="false" customHeight="false" outlineLevel="0" collapsed="false">
      <c r="A991" s="19" t="s">
        <v>10</v>
      </c>
      <c r="B991" s="20"/>
      <c r="C991" s="20" t="n">
        <v>305022</v>
      </c>
      <c r="D991" s="20"/>
      <c r="E991" s="47" t="n">
        <f aca="false">B991+C991-D991</f>
        <v>305022</v>
      </c>
      <c r="F991" s="45"/>
    </row>
    <row r="992" customFormat="false" ht="16.8" hidden="false" customHeight="false" outlineLevel="0" collapsed="false">
      <c r="A992" s="21" t="s">
        <v>11</v>
      </c>
      <c r="B992" s="22" t="n">
        <f aca="false">SUM(B988:B991)</f>
        <v>0</v>
      </c>
      <c r="C992" s="22" t="n">
        <f aca="false">SUM(C988:C991)</f>
        <v>317367</v>
      </c>
      <c r="D992" s="22" t="n">
        <f aca="false">SUM(D988:D991)</f>
        <v>0</v>
      </c>
      <c r="E992" s="22" t="n">
        <f aca="false">SUM(E988:E991)</f>
        <v>317367</v>
      </c>
      <c r="F992" s="45"/>
    </row>
    <row r="993" customFormat="false" ht="16.8" hidden="false" customHeight="false" outlineLevel="0" collapsed="false">
      <c r="A993" s="64" t="s">
        <v>87</v>
      </c>
      <c r="B993" s="64"/>
      <c r="C993" s="64"/>
      <c r="D993" s="64"/>
      <c r="E993" s="64"/>
      <c r="F993" s="45"/>
    </row>
    <row r="994" customFormat="false" ht="16.8" hidden="false" customHeight="false" outlineLevel="0" collapsed="false">
      <c r="A994" s="13" t="s">
        <v>12</v>
      </c>
      <c r="B994" s="13"/>
      <c r="C994" s="13"/>
      <c r="D994" s="13"/>
      <c r="E994" s="24"/>
      <c r="F994" s="24"/>
    </row>
    <row r="995" customFormat="false" ht="67.2" hidden="false" customHeight="false" outlineLevel="0" collapsed="false">
      <c r="A995" s="25" t="s">
        <v>13</v>
      </c>
      <c r="B995" s="17" t="s">
        <v>268</v>
      </c>
      <c r="C995" s="93" t="s">
        <v>138</v>
      </c>
      <c r="D995" s="120" t="s">
        <v>16</v>
      </c>
    </row>
    <row r="996" customFormat="false" ht="33.6" hidden="false" customHeight="false" outlineLevel="0" collapsed="false">
      <c r="A996" s="49" t="s">
        <v>49</v>
      </c>
      <c r="B996" s="20" t="n">
        <v>3250</v>
      </c>
      <c r="C996" s="20"/>
      <c r="D996" s="29"/>
    </row>
    <row r="997" customFormat="false" ht="16.8" hidden="false" customHeight="false" outlineLevel="0" collapsed="false">
      <c r="A997" s="49" t="s">
        <v>53</v>
      </c>
      <c r="B997" s="19" t="n">
        <v>26300</v>
      </c>
      <c r="C997" s="19"/>
      <c r="D997" s="51"/>
    </row>
    <row r="998" customFormat="false" ht="33.6" hidden="false" customHeight="false" outlineLevel="0" collapsed="false">
      <c r="A998" s="49" t="s">
        <v>269</v>
      </c>
      <c r="B998" s="19" t="n">
        <v>20920</v>
      </c>
      <c r="C998" s="19"/>
      <c r="D998" s="51"/>
    </row>
    <row r="999" customFormat="false" ht="16.8" hidden="false" customHeight="false" outlineLevel="0" collapsed="false">
      <c r="A999" s="53" t="s">
        <v>18</v>
      </c>
      <c r="B999" s="20"/>
      <c r="C999" s="20"/>
      <c r="D999" s="20"/>
    </row>
    <row r="1000" customFormat="false" ht="16.8" hidden="false" customHeight="false" outlineLevel="0" collapsed="false">
      <c r="A1000" s="30" t="s">
        <v>11</v>
      </c>
      <c r="B1000" s="94" t="n">
        <f aca="false">SUM(B996:B999)</f>
        <v>50470</v>
      </c>
      <c r="C1000" s="89"/>
      <c r="D1000" s="89" t="n">
        <f aca="false">D992/B1000</f>
        <v>0</v>
      </c>
    </row>
    <row r="1001" customFormat="false" ht="16.8" hidden="false" customHeight="false" outlineLevel="0" collapsed="false">
      <c r="A1001" s="55"/>
      <c r="B1001" s="56"/>
      <c r="C1001" s="100"/>
    </row>
    <row r="1002" customFormat="false" ht="16.8" hidden="false" customHeight="false" outlineLevel="0" collapsed="false">
      <c r="A1002" s="13" t="s">
        <v>20</v>
      </c>
      <c r="B1002" s="1"/>
      <c r="C1002" s="1"/>
      <c r="D1002" s="1"/>
      <c r="E1002" s="1"/>
      <c r="F1002" s="1"/>
    </row>
    <row r="1003" customFormat="false" ht="16.8" hidden="false" customHeight="false" outlineLevel="0" collapsed="false">
      <c r="A1003" s="17" t="s">
        <v>13</v>
      </c>
      <c r="B1003" s="17" t="s">
        <v>21</v>
      </c>
      <c r="C1003" s="18"/>
      <c r="D1003" s="18"/>
      <c r="E1003" s="1"/>
      <c r="F1003" s="18"/>
    </row>
    <row r="1004" customFormat="false" ht="16.8" hidden="false" customHeight="false" outlineLevel="0" collapsed="false">
      <c r="A1004" s="33" t="s">
        <v>22</v>
      </c>
      <c r="B1004" s="34" t="n">
        <v>33550</v>
      </c>
      <c r="C1004" s="1"/>
      <c r="D1004" s="1"/>
      <c r="E1004" s="39"/>
      <c r="F1004" s="1"/>
    </row>
    <row r="1005" customFormat="false" ht="16.8" hidden="false" customHeight="false" outlineLevel="0" collapsed="false">
      <c r="A1005" s="33" t="s">
        <v>17</v>
      </c>
      <c r="B1005" s="34" t="n">
        <v>170520</v>
      </c>
      <c r="C1005" s="1"/>
      <c r="D1005" s="1"/>
      <c r="E1005" s="26"/>
      <c r="F1005" s="1"/>
    </row>
    <row r="1006" customFormat="false" ht="16.8" hidden="false" customHeight="false" outlineLevel="0" collapsed="false">
      <c r="A1006" s="33" t="s">
        <v>18</v>
      </c>
      <c r="B1006" s="34" t="n">
        <v>14250</v>
      </c>
      <c r="C1006" s="1"/>
      <c r="D1006" s="1"/>
      <c r="E1006" s="26"/>
      <c r="F1006" s="1"/>
    </row>
    <row r="1007" customFormat="false" ht="16.8" hidden="false" customHeight="false" outlineLevel="0" collapsed="false">
      <c r="A1007" s="25" t="s">
        <v>11</v>
      </c>
      <c r="B1007" s="35" t="n">
        <f aca="false">SUM(B1004:B1006)</f>
        <v>218320</v>
      </c>
      <c r="C1007" s="1"/>
      <c r="D1007" s="1"/>
      <c r="E1007" s="26"/>
      <c r="F1007" s="1"/>
    </row>
    <row r="1008" customFormat="false" ht="13.2" hidden="false" customHeight="false" outlineLevel="0" collapsed="false">
      <c r="A1008" s="1"/>
      <c r="B1008" s="1"/>
      <c r="C1008" s="1"/>
      <c r="D1008" s="1"/>
      <c r="E1008" s="26"/>
      <c r="F1008" s="1"/>
    </row>
    <row r="1009" customFormat="false" ht="13.2" hidden="false" customHeight="false" outlineLevel="0" collapsed="false">
      <c r="A1009" s="39" t="s">
        <v>23</v>
      </c>
      <c r="B1009" s="39" t="s">
        <v>24</v>
      </c>
      <c r="C1009" s="39" t="s">
        <v>25</v>
      </c>
      <c r="D1009" s="39" t="s">
        <v>26</v>
      </c>
      <c r="E1009" s="41" t="s">
        <v>27</v>
      </c>
      <c r="F1009" s="41"/>
    </row>
    <row r="1010" customFormat="false" ht="13.2" hidden="false" customHeight="false" outlineLevel="0" collapsed="false">
      <c r="A1010" s="26"/>
      <c r="B1010" s="26"/>
      <c r="C1010" s="26"/>
      <c r="D1010" s="26"/>
      <c r="E1010" s="26"/>
      <c r="F1010" s="26"/>
    </row>
    <row r="1011" customFormat="false" ht="13.2" hidden="false" customHeight="false" outlineLevel="0" collapsed="false">
      <c r="A1011" s="26"/>
      <c r="B1011" s="26"/>
      <c r="C1011" s="26"/>
      <c r="D1011" s="26"/>
      <c r="E1011" s="26"/>
      <c r="F1011" s="26"/>
    </row>
    <row r="1012" customFormat="false" ht="13.2" hidden="false" customHeight="false" outlineLevel="0" collapsed="false">
      <c r="A1012" s="26"/>
      <c r="B1012" s="26"/>
      <c r="C1012" s="26"/>
      <c r="D1012" s="26"/>
      <c r="E1012" s="26"/>
      <c r="F1012" s="26"/>
    </row>
    <row r="1013" customFormat="false" ht="13.2" hidden="false" customHeight="false" outlineLevel="0" collapsed="false">
      <c r="A1013" s="26"/>
      <c r="B1013" s="26"/>
      <c r="C1013" s="26"/>
      <c r="D1013" s="26"/>
      <c r="E1013" s="26"/>
      <c r="F1013" s="26"/>
    </row>
    <row r="1014" customFormat="false" ht="13.2" hidden="false" customHeight="false" outlineLevel="0" collapsed="false">
      <c r="A1014" s="39" t="s">
        <v>34</v>
      </c>
      <c r="B1014" s="39"/>
      <c r="C1014" s="39"/>
      <c r="D1014" s="39"/>
      <c r="E1014" s="41" t="s">
        <v>29</v>
      </c>
      <c r="F1014" s="41"/>
    </row>
    <row r="1018" customFormat="false" ht="18.6" hidden="false" customHeight="true" outlineLevel="0" collapsed="false">
      <c r="A1018" s="118" t="s">
        <v>270</v>
      </c>
      <c r="B1018" s="118"/>
      <c r="C1018" s="118"/>
      <c r="D1018" s="118"/>
      <c r="E1018" s="118"/>
      <c r="F1018" s="43"/>
    </row>
    <row r="1019" customFormat="false" ht="13.8" hidden="false" customHeight="true" outlineLevel="0" collapsed="false">
      <c r="A1019" s="119" t="s">
        <v>2</v>
      </c>
      <c r="B1019" s="119"/>
      <c r="C1019" s="119"/>
      <c r="D1019" s="119"/>
      <c r="E1019" s="119"/>
      <c r="F1019" s="44"/>
    </row>
    <row r="1020" customFormat="false" ht="16.8" hidden="false" customHeight="false" outlineLevel="0" collapsed="false">
      <c r="A1020" s="13" t="s">
        <v>3</v>
      </c>
      <c r="B1020" s="14"/>
      <c r="C1020" s="14"/>
      <c r="D1020" s="46"/>
      <c r="E1020" s="46" t="s">
        <v>4</v>
      </c>
      <c r="F1020" s="66"/>
    </row>
    <row r="1021" customFormat="false" ht="33.6" hidden="false" customHeight="false" outlineLevel="0" collapsed="false">
      <c r="A1021" s="17" t="s">
        <v>5</v>
      </c>
      <c r="B1021" s="17" t="s">
        <v>5</v>
      </c>
      <c r="C1021" s="17" t="s">
        <v>271</v>
      </c>
      <c r="D1021" s="17" t="s">
        <v>7</v>
      </c>
      <c r="E1021" s="17" t="s">
        <v>8</v>
      </c>
      <c r="F1021" s="1"/>
    </row>
    <row r="1022" customFormat="false" ht="16.8" hidden="false" customHeight="false" outlineLevel="0" collapsed="false">
      <c r="A1022" s="19" t="s">
        <v>9</v>
      </c>
      <c r="B1022" s="20" t="n">
        <f aca="false">E988</f>
        <v>0</v>
      </c>
      <c r="C1022" s="20" t="n">
        <v>837</v>
      </c>
      <c r="D1022" s="20" t="n">
        <v>837</v>
      </c>
      <c r="E1022" s="47" t="n">
        <f aca="false">B1022+C1022-D1022</f>
        <v>0</v>
      </c>
      <c r="F1022" s="1"/>
    </row>
    <row r="1023" customFormat="false" ht="33.6" hidden="false" customHeight="false" outlineLevel="0" collapsed="false">
      <c r="A1023" s="97" t="s">
        <v>159</v>
      </c>
      <c r="B1023" s="20" t="n">
        <f aca="false">E989</f>
        <v>10130</v>
      </c>
      <c r="C1023" s="20" t="n">
        <v>16470</v>
      </c>
      <c r="D1023" s="20" t="n">
        <f aca="false">10130+16470</f>
        <v>26600</v>
      </c>
      <c r="E1023" s="47" t="n">
        <f aca="false">B1023+C1023-D1023</f>
        <v>0</v>
      </c>
      <c r="F1023" s="1"/>
    </row>
    <row r="1024" customFormat="false" ht="33.6" hidden="false" customHeight="false" outlineLevel="0" collapsed="false">
      <c r="A1024" s="97" t="s">
        <v>202</v>
      </c>
      <c r="B1024" s="20" t="n">
        <f aca="false">E990</f>
        <v>2215</v>
      </c>
      <c r="C1024" s="20" t="n">
        <v>4755</v>
      </c>
      <c r="D1024" s="20" t="n">
        <f aca="false">2215+4755</f>
        <v>6970</v>
      </c>
      <c r="E1024" s="47" t="n">
        <f aca="false">B1024+C1024-D1024</f>
        <v>0</v>
      </c>
      <c r="F1024" s="45"/>
    </row>
    <row r="1025" customFormat="false" ht="16.8" hidden="false" customHeight="false" outlineLevel="0" collapsed="false">
      <c r="A1025" s="19" t="s">
        <v>10</v>
      </c>
      <c r="B1025" s="20" t="n">
        <f aca="false">E991</f>
        <v>305022</v>
      </c>
      <c r="C1025" s="20" t="n">
        <f aca="false">184911-C1022</f>
        <v>184074</v>
      </c>
      <c r="D1025" s="20" t="n">
        <f aca="false">489096-20000</f>
        <v>469096</v>
      </c>
      <c r="E1025" s="47" t="n">
        <f aca="false">B1025+C1025-D1025</f>
        <v>20000</v>
      </c>
      <c r="F1025" s="45"/>
    </row>
    <row r="1026" customFormat="false" ht="16.8" hidden="false" customHeight="false" outlineLevel="0" collapsed="false">
      <c r="A1026" s="21" t="s">
        <v>11</v>
      </c>
      <c r="B1026" s="22" t="n">
        <f aca="false">SUM(B1022:B1025)</f>
        <v>317367</v>
      </c>
      <c r="C1026" s="22" t="n">
        <f aca="false">SUM(C1022:C1025)</f>
        <v>206136</v>
      </c>
      <c r="D1026" s="22" t="n">
        <f aca="false">SUM(D1022:D1025)</f>
        <v>503503</v>
      </c>
      <c r="E1026" s="22" t="n">
        <f aca="false">SUM(E1022:E1025)</f>
        <v>20000</v>
      </c>
      <c r="F1026" s="121"/>
    </row>
    <row r="1027" customFormat="false" ht="16.8" hidden="false" customHeight="false" outlineLevel="0" collapsed="false">
      <c r="A1027" s="64" t="s">
        <v>87</v>
      </c>
      <c r="B1027" s="64"/>
      <c r="C1027" s="64"/>
      <c r="D1027" s="64"/>
      <c r="E1027" s="64"/>
      <c r="F1027" s="45"/>
    </row>
    <row r="1028" customFormat="false" ht="16.8" hidden="false" customHeight="false" outlineLevel="0" collapsed="false">
      <c r="A1028" s="13" t="s">
        <v>12</v>
      </c>
      <c r="B1028" s="13"/>
      <c r="C1028" s="13"/>
      <c r="D1028" s="13"/>
      <c r="E1028" s="24"/>
      <c r="F1028" s="24"/>
    </row>
    <row r="1029" customFormat="false" ht="67.2" hidden="false" customHeight="false" outlineLevel="0" collapsed="false">
      <c r="A1029" s="25" t="s">
        <v>13</v>
      </c>
      <c r="B1029" s="17" t="s">
        <v>268</v>
      </c>
      <c r="C1029" s="17" t="s">
        <v>272</v>
      </c>
      <c r="D1029" s="93" t="s">
        <v>138</v>
      </c>
      <c r="E1029" s="120" t="s">
        <v>16</v>
      </c>
    </row>
    <row r="1030" customFormat="false" ht="23.25" hidden="false" customHeight="true" outlineLevel="0" collapsed="false">
      <c r="A1030" s="49" t="s">
        <v>49</v>
      </c>
      <c r="B1030" s="20" t="n">
        <f aca="false">B996</f>
        <v>3250</v>
      </c>
      <c r="C1030" s="20" t="n">
        <v>5500</v>
      </c>
      <c r="D1030" s="20"/>
      <c r="E1030" s="29" t="n">
        <f aca="false">(D1023+D1022)/(B1030+C1030)</f>
        <v>3.13565714285714</v>
      </c>
    </row>
    <row r="1031" customFormat="false" ht="16.8" hidden="false" customHeight="false" outlineLevel="0" collapsed="false">
      <c r="A1031" s="49" t="s">
        <v>53</v>
      </c>
      <c r="B1031" s="20" t="n">
        <f aca="false">B997</f>
        <v>26300</v>
      </c>
      <c r="C1031" s="19" t="n">
        <v>35600</v>
      </c>
      <c r="D1031" s="19"/>
      <c r="E1031" s="122" t="n">
        <f aca="false">(B1024+C1024+B1025+C1025-20000)/(B1031+B1032+C1031+C1032)</f>
        <v>3.55830779579939</v>
      </c>
    </row>
    <row r="1032" customFormat="false" ht="33.6" hidden="false" customHeight="false" outlineLevel="0" collapsed="false">
      <c r="A1032" s="49" t="s">
        <v>269</v>
      </c>
      <c r="B1032" s="20" t="n">
        <f aca="false">B998</f>
        <v>20920</v>
      </c>
      <c r="C1032" s="19" t="n">
        <v>50970</v>
      </c>
      <c r="D1032" s="19"/>
      <c r="E1032" s="122"/>
      <c r="F1032" s="1"/>
    </row>
    <row r="1033" customFormat="false" ht="16.8" hidden="false" customHeight="false" outlineLevel="0" collapsed="false">
      <c r="A1033" s="53" t="s">
        <v>18</v>
      </c>
      <c r="B1033" s="20" t="n">
        <f aca="false">B999</f>
        <v>0</v>
      </c>
      <c r="C1033" s="20"/>
      <c r="D1033" s="20"/>
      <c r="E1033" s="20"/>
      <c r="F1033" s="18"/>
    </row>
    <row r="1034" customFormat="false" ht="16.8" hidden="false" customHeight="false" outlineLevel="0" collapsed="false">
      <c r="A1034" s="30" t="s">
        <v>11</v>
      </c>
      <c r="B1034" s="94" t="n">
        <f aca="false">SUM(B1030:B1033)</f>
        <v>50470</v>
      </c>
      <c r="C1034" s="89" t="n">
        <f aca="false">SUM(C1030:C1033)</f>
        <v>92070</v>
      </c>
      <c r="D1034" s="89"/>
      <c r="E1034" s="89" t="n">
        <f aca="false">D1026/(B1034+C1034)</f>
        <v>3.53236284551705</v>
      </c>
      <c r="F1034" s="1"/>
    </row>
    <row r="1035" customFormat="false" ht="16.8" hidden="false" customHeight="false" outlineLevel="0" collapsed="false">
      <c r="A1035" s="55"/>
      <c r="B1035" s="56"/>
      <c r="C1035" s="100"/>
      <c r="F1035" s="1"/>
    </row>
    <row r="1036" customFormat="false" ht="16.8" hidden="false" customHeight="false" outlineLevel="0" collapsed="false">
      <c r="A1036" s="13" t="s">
        <v>20</v>
      </c>
      <c r="B1036" s="1"/>
      <c r="C1036" s="1"/>
      <c r="D1036" s="1"/>
      <c r="E1036" s="1"/>
      <c r="F1036" s="1"/>
    </row>
    <row r="1037" customFormat="false" ht="16.8" hidden="false" customHeight="false" outlineLevel="0" collapsed="false">
      <c r="A1037" s="17" t="s">
        <v>13</v>
      </c>
      <c r="B1037" s="17" t="s">
        <v>21</v>
      </c>
      <c r="C1037" s="18"/>
      <c r="D1037" s="18"/>
      <c r="E1037" s="1"/>
      <c r="F1037" s="1"/>
    </row>
    <row r="1038" customFormat="false" ht="16.8" hidden="false" customHeight="false" outlineLevel="0" collapsed="false">
      <c r="A1038" s="33" t="s">
        <v>22</v>
      </c>
      <c r="B1038" s="34" t="n">
        <v>39050</v>
      </c>
      <c r="C1038" s="1"/>
      <c r="D1038" s="1"/>
      <c r="E1038" s="39"/>
      <c r="F1038" s="1"/>
    </row>
    <row r="1039" customFormat="false" ht="16.8" hidden="false" customHeight="false" outlineLevel="0" collapsed="false">
      <c r="A1039" s="33" t="s">
        <v>17</v>
      </c>
      <c r="B1039" s="34" t="n">
        <v>129390</v>
      </c>
      <c r="C1039" s="1"/>
      <c r="D1039" s="1"/>
      <c r="E1039" s="26"/>
      <c r="F1039" s="39"/>
    </row>
    <row r="1040" customFormat="false" ht="16.8" hidden="false" customHeight="false" outlineLevel="0" collapsed="false">
      <c r="A1040" s="33" t="s">
        <v>18</v>
      </c>
      <c r="B1040" s="34" t="n">
        <v>14250</v>
      </c>
      <c r="C1040" s="1"/>
      <c r="D1040" s="1"/>
      <c r="E1040" s="26"/>
      <c r="F1040" s="26"/>
    </row>
    <row r="1041" customFormat="false" ht="16.8" hidden="false" customHeight="false" outlineLevel="0" collapsed="false">
      <c r="A1041" s="25" t="s">
        <v>11</v>
      </c>
      <c r="B1041" s="35" t="n">
        <f aca="false">SUM(B1038:B1040)</f>
        <v>182690</v>
      </c>
      <c r="C1041" s="1"/>
      <c r="D1041" s="1"/>
      <c r="E1041" s="26"/>
      <c r="F1041" s="26"/>
    </row>
    <row r="1042" customFormat="false" ht="13.2" hidden="false" customHeight="false" outlineLevel="0" collapsed="false">
      <c r="A1042" s="1"/>
      <c r="B1042" s="1"/>
      <c r="C1042" s="1"/>
      <c r="D1042" s="1"/>
      <c r="E1042" s="26"/>
      <c r="F1042" s="26"/>
    </row>
    <row r="1043" customFormat="false" ht="13.2" hidden="false" customHeight="false" outlineLevel="0" collapsed="false">
      <c r="A1043" s="39" t="s">
        <v>23</v>
      </c>
      <c r="B1043" s="39" t="s">
        <v>24</v>
      </c>
      <c r="C1043" s="39" t="s">
        <v>25</v>
      </c>
      <c r="D1043" s="39" t="s">
        <v>26</v>
      </c>
      <c r="E1043" s="41" t="s">
        <v>27</v>
      </c>
      <c r="F1043" s="41"/>
    </row>
    <row r="1044" customFormat="false" ht="13.2" hidden="false" customHeight="false" outlineLevel="0" collapsed="false">
      <c r="A1044" s="26"/>
      <c r="B1044" s="26"/>
      <c r="C1044" s="26"/>
      <c r="D1044" s="26"/>
      <c r="E1044" s="26"/>
      <c r="F1044" s="39"/>
    </row>
    <row r="1045" customFormat="false" ht="13.2" hidden="false" customHeight="false" outlineLevel="0" collapsed="false">
      <c r="A1045" s="26"/>
      <c r="B1045" s="26"/>
      <c r="C1045" s="26"/>
      <c r="D1045" s="26"/>
      <c r="E1045" s="26"/>
    </row>
    <row r="1046" customFormat="false" ht="13.2" hidden="false" customHeight="false" outlineLevel="0" collapsed="false">
      <c r="A1046" s="26"/>
      <c r="B1046" s="26"/>
      <c r="C1046" s="26"/>
      <c r="D1046" s="26"/>
      <c r="E1046" s="26"/>
    </row>
    <row r="1047" customFormat="false" ht="13.2" hidden="false" customHeight="false" outlineLevel="0" collapsed="false">
      <c r="A1047" s="26"/>
      <c r="B1047" s="26"/>
      <c r="C1047" s="26"/>
      <c r="D1047" s="26"/>
      <c r="E1047" s="26"/>
    </row>
    <row r="1048" customFormat="false" ht="13.2" hidden="false" customHeight="false" outlineLevel="0" collapsed="false">
      <c r="A1048" s="39" t="s">
        <v>34</v>
      </c>
      <c r="B1048" s="39"/>
      <c r="C1048" s="39"/>
      <c r="D1048" s="39"/>
      <c r="E1048" s="41" t="s">
        <v>29</v>
      </c>
      <c r="F1048" s="41"/>
    </row>
  </sheetData>
  <mergeCells count="143">
    <mergeCell ref="A2:E2"/>
    <mergeCell ref="A3:E3"/>
    <mergeCell ref="A10:E10"/>
    <mergeCell ref="E24:F24"/>
    <mergeCell ref="E29:F29"/>
    <mergeCell ref="A35:E35"/>
    <mergeCell ref="A36:E36"/>
    <mergeCell ref="A43:E43"/>
    <mergeCell ref="E57:F57"/>
    <mergeCell ref="E62:F62"/>
    <mergeCell ref="A68:E68"/>
    <mergeCell ref="A69:E69"/>
    <mergeCell ref="A76:E76"/>
    <mergeCell ref="E92:F92"/>
    <mergeCell ref="E97:F97"/>
    <mergeCell ref="A102:E102"/>
    <mergeCell ref="A103:E103"/>
    <mergeCell ref="A110:E110"/>
    <mergeCell ref="E126:F126"/>
    <mergeCell ref="E131:F131"/>
    <mergeCell ref="A135:E135"/>
    <mergeCell ref="A136:E136"/>
    <mergeCell ref="A143:E143"/>
    <mergeCell ref="E159:F159"/>
    <mergeCell ref="E164:F164"/>
    <mergeCell ref="A168:E168"/>
    <mergeCell ref="A169:E169"/>
    <mergeCell ref="A176:E176"/>
    <mergeCell ref="E198:F198"/>
    <mergeCell ref="E203:F203"/>
    <mergeCell ref="A208:E208"/>
    <mergeCell ref="A209:E209"/>
    <mergeCell ref="E230:F230"/>
    <mergeCell ref="E235:F235"/>
    <mergeCell ref="A240:E240"/>
    <mergeCell ref="A241:E241"/>
    <mergeCell ref="A248:E248"/>
    <mergeCell ref="E263:F263"/>
    <mergeCell ref="E268:F268"/>
    <mergeCell ref="A274:E274"/>
    <mergeCell ref="A275:E275"/>
    <mergeCell ref="A282:E282"/>
    <mergeCell ref="E304:F304"/>
    <mergeCell ref="E309:F309"/>
    <mergeCell ref="A314:E314"/>
    <mergeCell ref="A315:E315"/>
    <mergeCell ref="A322:E322"/>
    <mergeCell ref="E339:F339"/>
    <mergeCell ref="E344:F344"/>
    <mergeCell ref="A350:E350"/>
    <mergeCell ref="A351:E351"/>
    <mergeCell ref="A358:E358"/>
    <mergeCell ref="E375:F375"/>
    <mergeCell ref="E380:F380"/>
    <mergeCell ref="A386:E386"/>
    <mergeCell ref="A387:E387"/>
    <mergeCell ref="E410:F410"/>
    <mergeCell ref="E415:F415"/>
    <mergeCell ref="A421:E421"/>
    <mergeCell ref="A422:E422"/>
    <mergeCell ref="E445:F445"/>
    <mergeCell ref="E450:F450"/>
    <mergeCell ref="A454:E454"/>
    <mergeCell ref="A455:E455"/>
    <mergeCell ref="E479:F479"/>
    <mergeCell ref="E484:F484"/>
    <mergeCell ref="A489:E489"/>
    <mergeCell ref="A490:E490"/>
    <mergeCell ref="E513:F513"/>
    <mergeCell ref="E518:F518"/>
    <mergeCell ref="A524:E524"/>
    <mergeCell ref="A525:E525"/>
    <mergeCell ref="E548:F548"/>
    <mergeCell ref="E553:F553"/>
    <mergeCell ref="A558:E558"/>
    <mergeCell ref="A559:E559"/>
    <mergeCell ref="E582:F582"/>
    <mergeCell ref="E587:F587"/>
    <mergeCell ref="A593:E593"/>
    <mergeCell ref="A594:E594"/>
    <mergeCell ref="E616:F616"/>
    <mergeCell ref="E621:F621"/>
    <mergeCell ref="A625:E625"/>
    <mergeCell ref="A626:E626"/>
    <mergeCell ref="E649:F649"/>
    <mergeCell ref="E654:F654"/>
    <mergeCell ref="A659:E659"/>
    <mergeCell ref="A660:E660"/>
    <mergeCell ref="E682:F682"/>
    <mergeCell ref="E687:F687"/>
    <mergeCell ref="A691:E691"/>
    <mergeCell ref="A692:E692"/>
    <mergeCell ref="E714:F714"/>
    <mergeCell ref="E719:F719"/>
    <mergeCell ref="A724:E724"/>
    <mergeCell ref="A725:E725"/>
    <mergeCell ref="A733:E733"/>
    <mergeCell ref="E748:F748"/>
    <mergeCell ref="E753:F753"/>
    <mergeCell ref="A757:E757"/>
    <mergeCell ref="A758:E758"/>
    <mergeCell ref="A766:E766"/>
    <mergeCell ref="E781:F781"/>
    <mergeCell ref="E786:F786"/>
    <mergeCell ref="A789:E789"/>
    <mergeCell ref="A790:E790"/>
    <mergeCell ref="A798:E798"/>
    <mergeCell ref="E813:F813"/>
    <mergeCell ref="E818:F818"/>
    <mergeCell ref="A823:E823"/>
    <mergeCell ref="A824:E824"/>
    <mergeCell ref="A832:E832"/>
    <mergeCell ref="E847:F847"/>
    <mergeCell ref="E852:F852"/>
    <mergeCell ref="A854:E854"/>
    <mergeCell ref="A855:E855"/>
    <mergeCell ref="A863:E863"/>
    <mergeCell ref="E878:F878"/>
    <mergeCell ref="E883:F883"/>
    <mergeCell ref="A887:E887"/>
    <mergeCell ref="A888:E888"/>
    <mergeCell ref="A896:E896"/>
    <mergeCell ref="E911:F911"/>
    <mergeCell ref="E916:F916"/>
    <mergeCell ref="A920:E920"/>
    <mergeCell ref="A921:E921"/>
    <mergeCell ref="E943:F943"/>
    <mergeCell ref="E948:F948"/>
    <mergeCell ref="A952:E952"/>
    <mergeCell ref="A953:E953"/>
    <mergeCell ref="E975:F975"/>
    <mergeCell ref="E980:F980"/>
    <mergeCell ref="A984:E984"/>
    <mergeCell ref="A985:E985"/>
    <mergeCell ref="A993:E993"/>
    <mergeCell ref="E1009:F1009"/>
    <mergeCell ref="E1014:F1014"/>
    <mergeCell ref="A1018:E1018"/>
    <mergeCell ref="A1019:E1019"/>
    <mergeCell ref="A1027:E1027"/>
    <mergeCell ref="E1031:E1032"/>
    <mergeCell ref="E1043:F1043"/>
    <mergeCell ref="E1048:F1048"/>
  </mergeCells>
  <printOptions headings="false" gridLines="false" gridLinesSet="true" horizontalCentered="false" verticalCentered="false"/>
  <pageMargins left="0.2" right="0.2" top="0.290277777777778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997"/>
  <sheetViews>
    <sheetView windowProtection="false" showFormulas="false" showGridLines="true" showRowColHeaders="true" showZeros="true" rightToLeft="false" tabSelected="false" showOutlineSymbols="true" defaultGridColor="true" view="normal" topLeftCell="A805" colorId="64" zoomScale="100" zoomScaleNormal="100" zoomScalePageLayoutView="100" workbookViewId="0">
      <selection pane="topLeft" activeCell="A823" activeCellId="0" sqref="A823"/>
    </sheetView>
  </sheetViews>
  <sheetFormatPr defaultRowHeight="13.2"/>
  <cols>
    <col collapsed="false" hidden="false" max="1" min="1" style="0" width="19.0357142857143"/>
    <col collapsed="false" hidden="false" max="2" min="2" style="0" width="15.6581632653061"/>
    <col collapsed="false" hidden="false" max="3" min="3" style="0" width="16.3316326530612"/>
    <col collapsed="false" hidden="false" max="4" min="4" style="0" width="14.3112244897959"/>
    <col collapsed="false" hidden="false" max="5" min="5" style="0" width="15.6581632653061"/>
    <col collapsed="false" hidden="false" max="6" min="6" style="0" width="8.50510204081633"/>
    <col collapsed="false" hidden="false" max="7" min="7" style="0" width="30.9132653061224"/>
    <col collapsed="false" hidden="false" max="1025" min="8" style="0" width="8.50510204081633"/>
  </cols>
  <sheetData>
    <row r="1" customFormat="false" ht="18.6" hidden="false" customHeight="true" outlineLevel="0" collapsed="false">
      <c r="A1" s="118" t="s">
        <v>273</v>
      </c>
      <c r="B1" s="118"/>
      <c r="C1" s="118"/>
      <c r="D1" s="118"/>
      <c r="E1" s="118"/>
      <c r="F1" s="43"/>
    </row>
    <row r="2" customFormat="false" ht="13.8" hidden="false" customHeight="true" outlineLevel="0" collapsed="false">
      <c r="A2" s="119" t="s">
        <v>2</v>
      </c>
      <c r="B2" s="119"/>
      <c r="C2" s="119"/>
      <c r="D2" s="119"/>
      <c r="E2" s="119"/>
      <c r="F2" s="44"/>
    </row>
    <row r="3" customFormat="false" ht="16.8" hidden="false" customHeight="false" outlineLevel="0" collapsed="false">
      <c r="A3" s="13" t="s">
        <v>3</v>
      </c>
      <c r="B3" s="14"/>
      <c r="C3" s="14"/>
      <c r="D3" s="46"/>
      <c r="E3" s="46" t="s">
        <v>4</v>
      </c>
      <c r="F3" s="66"/>
    </row>
    <row r="4" customFormat="false" ht="33.6" hidden="false" customHeight="false" outlineLevel="0" collapsed="false">
      <c r="A4" s="17" t="s">
        <v>5</v>
      </c>
      <c r="B4" s="17" t="s">
        <v>5</v>
      </c>
      <c r="C4" s="17" t="s">
        <v>274</v>
      </c>
      <c r="D4" s="17" t="s">
        <v>7</v>
      </c>
      <c r="E4" s="17" t="s">
        <v>8</v>
      </c>
      <c r="F4" s="1"/>
    </row>
    <row r="5" customFormat="false" ht="36.75" hidden="false" customHeight="true" outlineLevel="0" collapsed="false">
      <c r="A5" s="19" t="s">
        <v>9</v>
      </c>
      <c r="B5" s="20"/>
      <c r="C5" s="20" t="n">
        <v>680</v>
      </c>
      <c r="D5" s="20"/>
      <c r="E5" s="47" t="n">
        <f aca="false">B5+C5-D5</f>
        <v>680</v>
      </c>
      <c r="F5" s="1"/>
    </row>
    <row r="6" customFormat="false" ht="36.75" hidden="false" customHeight="true" outlineLevel="0" collapsed="false">
      <c r="A6" s="97" t="s">
        <v>159</v>
      </c>
      <c r="B6" s="20"/>
      <c r="C6" s="20" t="n">
        <v>23820</v>
      </c>
      <c r="D6" s="20"/>
      <c r="E6" s="47" t="n">
        <f aca="false">B6+C6-D6</f>
        <v>23820</v>
      </c>
      <c r="F6" s="1"/>
    </row>
    <row r="7" customFormat="false" ht="36.75" hidden="false" customHeight="true" outlineLevel="0" collapsed="false">
      <c r="A7" s="97" t="s">
        <v>202</v>
      </c>
      <c r="B7" s="20"/>
      <c r="C7" s="20" t="n">
        <v>7690</v>
      </c>
      <c r="D7" s="20"/>
      <c r="E7" s="47" t="n">
        <f aca="false">B7+C7-D7</f>
        <v>7690</v>
      </c>
      <c r="F7" s="45"/>
    </row>
    <row r="8" customFormat="false" ht="36.75" hidden="false" customHeight="true" outlineLevel="0" collapsed="false">
      <c r="A8" s="19" t="s">
        <v>10</v>
      </c>
      <c r="B8" s="20" t="n">
        <f aca="false">T5!E1025</f>
        <v>20000</v>
      </c>
      <c r="C8" s="20" t="n">
        <f aca="false">250433-C5</f>
        <v>249753</v>
      </c>
      <c r="D8" s="20"/>
      <c r="E8" s="47" t="n">
        <f aca="false">B8+C8-D8</f>
        <v>269753</v>
      </c>
      <c r="F8" s="45"/>
    </row>
    <row r="9" customFormat="false" ht="16.8" hidden="false" customHeight="false" outlineLevel="0" collapsed="false">
      <c r="A9" s="21" t="s">
        <v>11</v>
      </c>
      <c r="B9" s="22" t="n">
        <f aca="false">SUM(B5:B8)</f>
        <v>20000</v>
      </c>
      <c r="C9" s="22" t="n">
        <f aca="false">SUM(C5:C8)</f>
        <v>281943</v>
      </c>
      <c r="D9" s="22" t="n">
        <f aca="false">SUM(D5:D8)</f>
        <v>0</v>
      </c>
      <c r="E9" s="22" t="n">
        <f aca="false">SUM(E5:E8)</f>
        <v>301943</v>
      </c>
      <c r="F9" s="121"/>
    </row>
    <row r="10" customFormat="false" ht="16.8" hidden="false" customHeight="false" outlineLevel="0" collapsed="false">
      <c r="A10" s="64" t="s">
        <v>87</v>
      </c>
      <c r="B10" s="64"/>
      <c r="C10" s="64"/>
      <c r="D10" s="64"/>
      <c r="E10" s="64"/>
      <c r="F10" s="45"/>
    </row>
    <row r="11" customFormat="false" ht="16.8" hidden="false" customHeight="false" outlineLevel="0" collapsed="false">
      <c r="A11" s="13" t="s">
        <v>12</v>
      </c>
      <c r="B11" s="13"/>
      <c r="C11" s="13"/>
      <c r="D11" s="13"/>
      <c r="E11" s="24"/>
      <c r="F11" s="24"/>
    </row>
    <row r="12" customFormat="false" ht="42" hidden="false" customHeight="true" outlineLevel="0" collapsed="false">
      <c r="A12" s="25" t="s">
        <v>13</v>
      </c>
      <c r="B12" s="17" t="s">
        <v>275</v>
      </c>
      <c r="C12" s="93" t="s">
        <v>138</v>
      </c>
      <c r="D12" s="120" t="s">
        <v>16</v>
      </c>
    </row>
    <row r="13" customFormat="false" ht="36" hidden="false" customHeight="true" outlineLevel="0" collapsed="false">
      <c r="A13" s="49" t="s">
        <v>49</v>
      </c>
      <c r="B13" s="20" t="n">
        <v>10000</v>
      </c>
      <c r="C13" s="20"/>
      <c r="D13" s="29"/>
    </row>
    <row r="14" customFormat="false" ht="36" hidden="false" customHeight="true" outlineLevel="0" collapsed="false">
      <c r="A14" s="49" t="s">
        <v>53</v>
      </c>
      <c r="B14" s="19" t="n">
        <v>61260</v>
      </c>
      <c r="C14" s="19"/>
      <c r="D14" s="51"/>
    </row>
    <row r="15" customFormat="false" ht="36" hidden="false" customHeight="true" outlineLevel="0" collapsed="false">
      <c r="A15" s="49" t="s">
        <v>269</v>
      </c>
      <c r="B15" s="19"/>
      <c r="C15" s="19"/>
      <c r="D15" s="51"/>
      <c r="E15" s="1"/>
    </row>
    <row r="16" customFormat="false" ht="36" hidden="false" customHeight="true" outlineLevel="0" collapsed="false">
      <c r="A16" s="53" t="s">
        <v>18</v>
      </c>
      <c r="B16" s="20"/>
      <c r="C16" s="20"/>
      <c r="D16" s="20"/>
      <c r="E16" s="18"/>
    </row>
    <row r="17" customFormat="false" ht="16.8" hidden="false" customHeight="false" outlineLevel="0" collapsed="false">
      <c r="A17" s="30" t="s">
        <v>11</v>
      </c>
      <c r="B17" s="89" t="n">
        <f aca="false">SUM(B13:B16)</f>
        <v>71260</v>
      </c>
      <c r="C17" s="89"/>
      <c r="D17" s="89"/>
      <c r="E17" s="1"/>
    </row>
    <row r="18" customFormat="false" ht="16.8" hidden="false" customHeight="false" outlineLevel="0" collapsed="false">
      <c r="A18" s="55"/>
      <c r="B18" s="56"/>
      <c r="C18" s="100"/>
      <c r="F18" s="1"/>
    </row>
    <row r="19" customFormat="false" ht="16.8" hidden="false" customHeight="false" outlineLevel="0" collapsed="false">
      <c r="A19" s="13" t="s">
        <v>20</v>
      </c>
      <c r="B19" s="1"/>
      <c r="C19" s="1"/>
      <c r="D19" s="1"/>
      <c r="E19" s="1"/>
      <c r="F19" s="1"/>
    </row>
    <row r="20" customFormat="false" ht="16.8" hidden="false" customHeight="false" outlineLevel="0" collapsed="false">
      <c r="A20" s="17" t="s">
        <v>13</v>
      </c>
      <c r="B20" s="17" t="s">
        <v>21</v>
      </c>
      <c r="C20" s="18"/>
      <c r="D20" s="18"/>
      <c r="E20" s="1"/>
      <c r="F20" s="1"/>
    </row>
    <row r="21" customFormat="false" ht="16.8" hidden="false" customHeight="false" outlineLevel="0" collapsed="false">
      <c r="A21" s="33" t="s">
        <v>22</v>
      </c>
      <c r="B21" s="34" t="n">
        <v>49050</v>
      </c>
      <c r="C21" s="1"/>
      <c r="D21" s="1"/>
      <c r="E21" s="39"/>
      <c r="F21" s="1"/>
    </row>
    <row r="22" customFormat="false" ht="16.8" hidden="false" customHeight="false" outlineLevel="0" collapsed="false">
      <c r="A22" s="33" t="s">
        <v>17</v>
      </c>
      <c r="B22" s="34" t="n">
        <f aca="false">253950-B21-B23</f>
        <v>190650</v>
      </c>
      <c r="C22" s="1"/>
      <c r="D22" s="1"/>
      <c r="E22" s="26"/>
      <c r="F22" s="39"/>
    </row>
    <row r="23" customFormat="false" ht="16.8" hidden="false" customHeight="false" outlineLevel="0" collapsed="false">
      <c r="A23" s="33" t="s">
        <v>18</v>
      </c>
      <c r="B23" s="34" t="n">
        <v>14250</v>
      </c>
      <c r="C23" s="1"/>
      <c r="D23" s="1"/>
      <c r="E23" s="26"/>
      <c r="F23" s="26"/>
    </row>
    <row r="24" customFormat="false" ht="16.8" hidden="false" customHeight="false" outlineLevel="0" collapsed="false">
      <c r="A24" s="25" t="s">
        <v>11</v>
      </c>
      <c r="B24" s="35" t="n">
        <f aca="false">SUM(B21:B23)</f>
        <v>253950</v>
      </c>
      <c r="C24" s="1"/>
      <c r="D24" s="1"/>
      <c r="E24" s="26"/>
      <c r="F24" s="26"/>
    </row>
    <row r="25" customFormat="false" ht="13.2" hidden="false" customHeight="false" outlineLevel="0" collapsed="false">
      <c r="A25" s="1"/>
      <c r="B25" s="1"/>
      <c r="C25" s="1"/>
      <c r="D25" s="1"/>
      <c r="E25" s="26"/>
      <c r="F25" s="26"/>
    </row>
    <row r="26" customFormat="false" ht="13.2" hidden="false" customHeight="false" outlineLevel="0" collapsed="false">
      <c r="A26" s="39" t="s">
        <v>23</v>
      </c>
      <c r="B26" s="39" t="s">
        <v>24</v>
      </c>
      <c r="C26" s="39" t="s">
        <v>25</v>
      </c>
      <c r="D26" s="39" t="s">
        <v>26</v>
      </c>
      <c r="E26" s="41" t="s">
        <v>27</v>
      </c>
      <c r="F26" s="41"/>
    </row>
    <row r="27" customFormat="false" ht="13.2" hidden="false" customHeight="false" outlineLevel="0" collapsed="false">
      <c r="A27" s="26"/>
      <c r="B27" s="26"/>
      <c r="C27" s="26"/>
      <c r="D27" s="26"/>
      <c r="E27" s="26"/>
      <c r="F27" s="39"/>
    </row>
    <row r="28" customFormat="false" ht="13.2" hidden="false" customHeight="false" outlineLevel="0" collapsed="false">
      <c r="A28" s="26"/>
      <c r="B28" s="26"/>
      <c r="C28" s="26"/>
      <c r="D28" s="26"/>
      <c r="E28" s="26"/>
    </row>
    <row r="29" customFormat="false" ht="13.2" hidden="false" customHeight="false" outlineLevel="0" collapsed="false">
      <c r="A29" s="26"/>
      <c r="B29" s="26"/>
      <c r="C29" s="26"/>
      <c r="D29" s="26"/>
      <c r="E29" s="26"/>
    </row>
    <row r="30" customFormat="false" ht="13.2" hidden="false" customHeight="false" outlineLevel="0" collapsed="false">
      <c r="A30" s="26"/>
      <c r="B30" s="26"/>
      <c r="C30" s="26"/>
      <c r="D30" s="26"/>
      <c r="E30" s="26"/>
    </row>
    <row r="31" customFormat="false" ht="13.2" hidden="false" customHeight="false" outlineLevel="0" collapsed="false">
      <c r="A31" s="39" t="s">
        <v>34</v>
      </c>
      <c r="B31" s="39"/>
      <c r="C31" s="39"/>
      <c r="D31" s="39"/>
      <c r="E31" s="41" t="s">
        <v>29</v>
      </c>
      <c r="F31" s="41"/>
    </row>
    <row r="34" customFormat="false" ht="18.6" hidden="false" customHeight="true" outlineLevel="0" collapsed="false">
      <c r="A34" s="118" t="s">
        <v>276</v>
      </c>
      <c r="B34" s="118"/>
      <c r="C34" s="118"/>
      <c r="D34" s="118"/>
      <c r="E34" s="118"/>
      <c r="F34" s="43"/>
    </row>
    <row r="35" customFormat="false" ht="13.8" hidden="false" customHeight="true" outlineLevel="0" collapsed="false">
      <c r="A35" s="119" t="s">
        <v>2</v>
      </c>
      <c r="B35" s="119"/>
      <c r="C35" s="119"/>
      <c r="D35" s="119"/>
      <c r="E35" s="119"/>
      <c r="F35" s="44"/>
    </row>
    <row r="36" customFormat="false" ht="16.8" hidden="false" customHeight="false" outlineLevel="0" collapsed="false">
      <c r="A36" s="13" t="s">
        <v>3</v>
      </c>
      <c r="B36" s="14"/>
      <c r="C36" s="14"/>
      <c r="D36" s="46"/>
      <c r="E36" s="46" t="s">
        <v>4</v>
      </c>
      <c r="F36" s="66"/>
    </row>
    <row r="37" customFormat="false" ht="33.6" hidden="false" customHeight="false" outlineLevel="0" collapsed="false">
      <c r="A37" s="17" t="s">
        <v>5</v>
      </c>
      <c r="B37" s="17" t="s">
        <v>5</v>
      </c>
      <c r="C37" s="17" t="s">
        <v>277</v>
      </c>
      <c r="D37" s="17" t="s">
        <v>7</v>
      </c>
      <c r="E37" s="17" t="s">
        <v>8</v>
      </c>
      <c r="F37" s="1"/>
    </row>
    <row r="38" customFormat="false" ht="16.8" hidden="false" customHeight="false" outlineLevel="0" collapsed="false">
      <c r="A38" s="19" t="s">
        <v>9</v>
      </c>
      <c r="B38" s="20" t="n">
        <f aca="false">E5</f>
        <v>680</v>
      </c>
      <c r="C38" s="20"/>
      <c r="D38" s="20"/>
      <c r="E38" s="47" t="n">
        <f aca="false">B38+C38-D38</f>
        <v>680</v>
      </c>
      <c r="F38" s="1"/>
    </row>
    <row r="39" customFormat="false" ht="33.6" hidden="false" customHeight="false" outlineLevel="0" collapsed="false">
      <c r="A39" s="97" t="s">
        <v>159</v>
      </c>
      <c r="B39" s="20" t="n">
        <f aca="false">E6</f>
        <v>23820</v>
      </c>
      <c r="C39" s="20" t="n">
        <v>22020</v>
      </c>
      <c r="D39" s="20"/>
      <c r="E39" s="47" t="n">
        <f aca="false">B39+C39-D39</f>
        <v>45840</v>
      </c>
      <c r="F39" s="1"/>
    </row>
    <row r="40" customFormat="false" ht="33.6" hidden="false" customHeight="false" outlineLevel="0" collapsed="false">
      <c r="A40" s="97" t="s">
        <v>202</v>
      </c>
      <c r="B40" s="20" t="n">
        <f aca="false">E7</f>
        <v>7690</v>
      </c>
      <c r="C40" s="20" t="n">
        <v>2255</v>
      </c>
      <c r="D40" s="20"/>
      <c r="E40" s="47" t="n">
        <f aca="false">B40+C40-D40</f>
        <v>9945</v>
      </c>
      <c r="F40" s="45"/>
    </row>
    <row r="41" customFormat="false" ht="16.8" hidden="false" customHeight="false" outlineLevel="0" collapsed="false">
      <c r="A41" s="19" t="s">
        <v>10</v>
      </c>
      <c r="B41" s="20" t="n">
        <f aca="false">E8</f>
        <v>269753</v>
      </c>
      <c r="C41" s="20" t="n">
        <v>426015</v>
      </c>
      <c r="D41" s="20"/>
      <c r="E41" s="47" t="n">
        <f aca="false">B41+C41-D41</f>
        <v>695768</v>
      </c>
      <c r="F41" s="45"/>
    </row>
    <row r="42" customFormat="false" ht="16.8" hidden="false" customHeight="false" outlineLevel="0" collapsed="false">
      <c r="A42" s="21" t="s">
        <v>11</v>
      </c>
      <c r="B42" s="22" t="n">
        <f aca="false">SUM(B38:B41)</f>
        <v>301943</v>
      </c>
      <c r="C42" s="22" t="n">
        <f aca="false">SUM(C38:C41)</f>
        <v>450290</v>
      </c>
      <c r="D42" s="22" t="n">
        <f aca="false">SUM(D38:D41)</f>
        <v>0</v>
      </c>
      <c r="E42" s="22" t="n">
        <f aca="false">SUM(E38:E41)</f>
        <v>752233</v>
      </c>
      <c r="F42" s="121"/>
    </row>
    <row r="43" customFormat="false" ht="16.8" hidden="false" customHeight="false" outlineLevel="0" collapsed="false">
      <c r="A43" s="64" t="s">
        <v>87</v>
      </c>
      <c r="B43" s="64"/>
      <c r="C43" s="64"/>
      <c r="D43" s="64"/>
      <c r="E43" s="64"/>
      <c r="F43" s="45"/>
    </row>
    <row r="44" customFormat="false" ht="16.8" hidden="false" customHeight="false" outlineLevel="0" collapsed="false">
      <c r="A44" s="13" t="s">
        <v>12</v>
      </c>
      <c r="B44" s="13"/>
      <c r="C44" s="13"/>
      <c r="D44" s="13"/>
      <c r="E44" s="24"/>
      <c r="F44" s="24"/>
    </row>
    <row r="45" customFormat="false" ht="67.2" hidden="false" customHeight="false" outlineLevel="0" collapsed="false">
      <c r="A45" s="25" t="s">
        <v>13</v>
      </c>
      <c r="B45" s="17" t="s">
        <v>275</v>
      </c>
      <c r="C45" s="17" t="s">
        <v>278</v>
      </c>
      <c r="D45" s="93" t="s">
        <v>138</v>
      </c>
      <c r="E45" s="120" t="s">
        <v>16</v>
      </c>
    </row>
    <row r="46" customFormat="false" ht="33.6" hidden="false" customHeight="false" outlineLevel="0" collapsed="false">
      <c r="A46" s="49" t="s">
        <v>49</v>
      </c>
      <c r="B46" s="20" t="n">
        <v>10000</v>
      </c>
      <c r="C46" s="20" t="n">
        <v>8000</v>
      </c>
      <c r="D46" s="20"/>
      <c r="E46" s="29"/>
    </row>
    <row r="47" customFormat="false" ht="16.8" hidden="false" customHeight="false" outlineLevel="0" collapsed="false">
      <c r="A47" s="49" t="s">
        <v>53</v>
      </c>
      <c r="B47" s="19" t="n">
        <v>61260</v>
      </c>
      <c r="C47" s="19" t="n">
        <v>9850</v>
      </c>
      <c r="D47" s="19"/>
      <c r="E47" s="51"/>
    </row>
    <row r="48" customFormat="false" ht="33.6" hidden="false" customHeight="false" outlineLevel="0" collapsed="false">
      <c r="A48" s="49" t="s">
        <v>269</v>
      </c>
      <c r="B48" s="19"/>
      <c r="C48" s="19" t="n">
        <v>51140</v>
      </c>
      <c r="D48" s="19"/>
      <c r="E48" s="51"/>
    </row>
    <row r="49" customFormat="false" ht="16.8" hidden="false" customHeight="false" outlineLevel="0" collapsed="false">
      <c r="A49" s="53" t="s">
        <v>18</v>
      </c>
      <c r="B49" s="20"/>
      <c r="C49" s="20"/>
      <c r="D49" s="20"/>
      <c r="E49" s="20"/>
    </row>
    <row r="50" customFormat="false" ht="16.8" hidden="false" customHeight="false" outlineLevel="0" collapsed="false">
      <c r="A50" s="30" t="s">
        <v>11</v>
      </c>
      <c r="B50" s="89" t="n">
        <f aca="false">SUM(B46:B49)</f>
        <v>71260</v>
      </c>
      <c r="C50" s="94" t="n">
        <f aca="false">SUM(C46:C49)</f>
        <v>68990</v>
      </c>
      <c r="D50" s="89"/>
      <c r="E50" s="89"/>
    </row>
    <row r="51" customFormat="false" ht="16.8" hidden="false" customHeight="false" outlineLevel="0" collapsed="false">
      <c r="A51" s="55"/>
      <c r="B51" s="56"/>
      <c r="C51" s="100"/>
      <c r="F51" s="1"/>
    </row>
    <row r="52" customFormat="false" ht="16.8" hidden="false" customHeight="false" outlineLevel="0" collapsed="false">
      <c r="A52" s="13" t="s">
        <v>20</v>
      </c>
      <c r="B52" s="1"/>
      <c r="C52" s="1"/>
      <c r="D52" s="1"/>
      <c r="E52" s="1"/>
      <c r="F52" s="1"/>
    </row>
    <row r="53" customFormat="false" ht="16.8" hidden="false" customHeight="false" outlineLevel="0" collapsed="false">
      <c r="A53" s="17" t="s">
        <v>13</v>
      </c>
      <c r="B53" s="17" t="s">
        <v>21</v>
      </c>
      <c r="C53" s="18"/>
      <c r="D53" s="18"/>
      <c r="E53" s="1"/>
      <c r="F53" s="1"/>
    </row>
    <row r="54" customFormat="false" ht="16.8" hidden="false" customHeight="false" outlineLevel="0" collapsed="false">
      <c r="A54" s="33" t="s">
        <v>22</v>
      </c>
      <c r="B54" s="34" t="n">
        <v>57050</v>
      </c>
      <c r="C54" s="1"/>
      <c r="D54" s="1"/>
      <c r="E54" s="39"/>
      <c r="F54" s="1"/>
    </row>
    <row r="55" customFormat="false" ht="16.8" hidden="false" customHeight="false" outlineLevel="0" collapsed="false">
      <c r="A55" s="33" t="s">
        <v>17</v>
      </c>
      <c r="B55" s="34" t="n">
        <f aca="false">268390-57050-14250</f>
        <v>197090</v>
      </c>
      <c r="C55" s="1"/>
      <c r="D55" s="1"/>
      <c r="E55" s="26"/>
      <c r="F55" s="39"/>
    </row>
    <row r="56" customFormat="false" ht="16.8" hidden="false" customHeight="false" outlineLevel="0" collapsed="false">
      <c r="A56" s="33" t="s">
        <v>18</v>
      </c>
      <c r="B56" s="34" t="n">
        <v>14250</v>
      </c>
      <c r="C56" s="1"/>
      <c r="D56" s="1"/>
      <c r="E56" s="26"/>
      <c r="F56" s="26"/>
    </row>
    <row r="57" customFormat="false" ht="16.8" hidden="false" customHeight="false" outlineLevel="0" collapsed="false">
      <c r="A57" s="25" t="s">
        <v>11</v>
      </c>
      <c r="B57" s="35" t="n">
        <f aca="false">SUM(B54:B56)</f>
        <v>268390</v>
      </c>
      <c r="C57" s="1"/>
      <c r="D57" s="1"/>
      <c r="E57" s="26"/>
      <c r="F57" s="26"/>
    </row>
    <row r="58" customFormat="false" ht="13.2" hidden="false" customHeight="false" outlineLevel="0" collapsed="false">
      <c r="A58" s="1"/>
      <c r="B58" s="1"/>
      <c r="C58" s="1"/>
      <c r="D58" s="1"/>
      <c r="E58" s="26"/>
      <c r="F58" s="26"/>
    </row>
    <row r="59" customFormat="false" ht="13.2" hidden="false" customHeight="false" outlineLevel="0" collapsed="false">
      <c r="A59" s="39" t="s">
        <v>23</v>
      </c>
      <c r="B59" s="39" t="s">
        <v>24</v>
      </c>
      <c r="C59" s="39" t="s">
        <v>25</v>
      </c>
      <c r="D59" s="39" t="s">
        <v>26</v>
      </c>
      <c r="E59" s="41" t="s">
        <v>27</v>
      </c>
      <c r="F59" s="41"/>
    </row>
    <row r="60" customFormat="false" ht="13.2" hidden="false" customHeight="false" outlineLevel="0" collapsed="false">
      <c r="A60" s="26"/>
      <c r="B60" s="26"/>
      <c r="C60" s="26"/>
      <c r="D60" s="26"/>
      <c r="E60" s="26"/>
      <c r="F60" s="39"/>
    </row>
    <row r="61" customFormat="false" ht="13.2" hidden="false" customHeight="false" outlineLevel="0" collapsed="false">
      <c r="A61" s="26"/>
      <c r="B61" s="26"/>
      <c r="C61" s="26"/>
      <c r="D61" s="26"/>
      <c r="E61" s="26"/>
    </row>
    <row r="62" customFormat="false" ht="13.2" hidden="false" customHeight="false" outlineLevel="0" collapsed="false">
      <c r="A62" s="26"/>
      <c r="B62" s="26"/>
      <c r="C62" s="26"/>
      <c r="D62" s="26"/>
      <c r="E62" s="26"/>
    </row>
    <row r="63" customFormat="false" ht="13.2" hidden="false" customHeight="false" outlineLevel="0" collapsed="false">
      <c r="A63" s="26"/>
      <c r="B63" s="26"/>
      <c r="C63" s="26"/>
      <c r="D63" s="26"/>
      <c r="E63" s="26"/>
    </row>
    <row r="64" customFormat="false" ht="13.2" hidden="false" customHeight="false" outlineLevel="0" collapsed="false">
      <c r="A64" s="39" t="s">
        <v>34</v>
      </c>
      <c r="B64" s="39"/>
      <c r="C64" s="39"/>
      <c r="D64" s="39"/>
      <c r="E64" s="41" t="s">
        <v>29</v>
      </c>
      <c r="F64" s="41"/>
    </row>
    <row r="68" customFormat="false" ht="18.6" hidden="false" customHeight="true" outlineLevel="0" collapsed="false">
      <c r="A68" s="118" t="s">
        <v>279</v>
      </c>
      <c r="B68" s="118"/>
      <c r="C68" s="118"/>
      <c r="D68" s="118"/>
      <c r="E68" s="118"/>
      <c r="F68" s="43"/>
    </row>
    <row r="69" customFormat="false" ht="13.8" hidden="false" customHeight="true" outlineLevel="0" collapsed="false">
      <c r="A69" s="119" t="s">
        <v>2</v>
      </c>
      <c r="B69" s="119"/>
      <c r="C69" s="119"/>
      <c r="D69" s="119"/>
      <c r="E69" s="119"/>
      <c r="F69" s="44"/>
    </row>
    <row r="70" customFormat="false" ht="16.8" hidden="false" customHeight="false" outlineLevel="0" collapsed="false">
      <c r="A70" s="13" t="s">
        <v>3</v>
      </c>
      <c r="B70" s="14"/>
      <c r="C70" s="14"/>
      <c r="D70" s="46"/>
      <c r="E70" s="46" t="s">
        <v>4</v>
      </c>
      <c r="F70" s="66"/>
    </row>
    <row r="71" customFormat="false" ht="33.6" hidden="false" customHeight="false" outlineLevel="0" collapsed="false">
      <c r="A71" s="17" t="s">
        <v>5</v>
      </c>
      <c r="B71" s="17" t="s">
        <v>5</v>
      </c>
      <c r="C71" s="17" t="s">
        <v>280</v>
      </c>
      <c r="D71" s="17" t="s">
        <v>7</v>
      </c>
      <c r="E71" s="17" t="s">
        <v>8</v>
      </c>
      <c r="F71" s="1"/>
    </row>
    <row r="72" customFormat="false" ht="16.8" hidden="false" customHeight="false" outlineLevel="0" collapsed="false">
      <c r="A72" s="19" t="s">
        <v>9</v>
      </c>
      <c r="B72" s="20" t="n">
        <f aca="false">E38</f>
        <v>680</v>
      </c>
      <c r="C72" s="20" t="n">
        <v>235</v>
      </c>
      <c r="D72" s="20"/>
      <c r="E72" s="47" t="n">
        <f aca="false">B72+C72-D72</f>
        <v>915</v>
      </c>
      <c r="F72" s="1"/>
    </row>
    <row r="73" customFormat="false" ht="33.6" hidden="false" customHeight="false" outlineLevel="0" collapsed="false">
      <c r="A73" s="97" t="s">
        <v>159</v>
      </c>
      <c r="B73" s="20" t="n">
        <f aca="false">E39</f>
        <v>45840</v>
      </c>
      <c r="C73" s="20" t="n">
        <v>30415</v>
      </c>
      <c r="D73" s="20"/>
      <c r="E73" s="47" t="n">
        <f aca="false">B73+C73-D73</f>
        <v>76255</v>
      </c>
      <c r="F73" s="1"/>
    </row>
    <row r="74" customFormat="false" ht="33.6" hidden="false" customHeight="false" outlineLevel="0" collapsed="false">
      <c r="A74" s="97" t="s">
        <v>202</v>
      </c>
      <c r="B74" s="20" t="n">
        <f aca="false">E40</f>
        <v>9945</v>
      </c>
      <c r="C74" s="20" t="n">
        <v>1820</v>
      </c>
      <c r="D74" s="20"/>
      <c r="E74" s="47" t="n">
        <f aca="false">B74+C74-D74</f>
        <v>11765</v>
      </c>
      <c r="F74" s="45"/>
    </row>
    <row r="75" customFormat="false" ht="16.8" hidden="false" customHeight="false" outlineLevel="0" collapsed="false">
      <c r="A75" s="19" t="s">
        <v>10</v>
      </c>
      <c r="B75" s="20" t="n">
        <f aca="false">E41</f>
        <v>695768</v>
      </c>
      <c r="C75" s="20" t="n">
        <f aca="false">151637-C72</f>
        <v>151402</v>
      </c>
      <c r="D75" s="20"/>
      <c r="E75" s="47" t="n">
        <f aca="false">B75+C75-D75</f>
        <v>847170</v>
      </c>
      <c r="F75" s="45"/>
    </row>
    <row r="76" customFormat="false" ht="16.8" hidden="false" customHeight="false" outlineLevel="0" collapsed="false">
      <c r="A76" s="21" t="s">
        <v>11</v>
      </c>
      <c r="B76" s="22" t="n">
        <f aca="false">SUM(B72:B75)</f>
        <v>752233</v>
      </c>
      <c r="C76" s="22" t="n">
        <f aca="false">SUM(C72:C75)</f>
        <v>183872</v>
      </c>
      <c r="D76" s="22" t="n">
        <f aca="false">SUM(D72:D75)</f>
        <v>0</v>
      </c>
      <c r="E76" s="22" t="n">
        <f aca="false">SUM(E72:E75)</f>
        <v>936105</v>
      </c>
      <c r="F76" s="121"/>
    </row>
    <row r="77" customFormat="false" ht="16.8" hidden="false" customHeight="false" outlineLevel="0" collapsed="false">
      <c r="A77" s="64" t="s">
        <v>87</v>
      </c>
      <c r="B77" s="64"/>
      <c r="C77" s="64"/>
      <c r="D77" s="64"/>
      <c r="E77" s="64"/>
      <c r="F77" s="45"/>
    </row>
    <row r="78" customFormat="false" ht="16.8" hidden="false" customHeight="false" outlineLevel="0" collapsed="false">
      <c r="A78" s="13" t="s">
        <v>12</v>
      </c>
      <c r="B78" s="13"/>
      <c r="C78" s="13"/>
      <c r="D78" s="13"/>
      <c r="E78" s="24"/>
      <c r="F78" s="24"/>
    </row>
    <row r="79" customFormat="false" ht="67.2" hidden="false" customHeight="false" outlineLevel="0" collapsed="false">
      <c r="A79" s="25" t="s">
        <v>13</v>
      </c>
      <c r="B79" s="17" t="s">
        <v>281</v>
      </c>
      <c r="C79" s="17" t="s">
        <v>282</v>
      </c>
      <c r="D79" s="93" t="s">
        <v>138</v>
      </c>
      <c r="E79" s="120" t="s">
        <v>16</v>
      </c>
    </row>
    <row r="80" customFormat="false" ht="33.6" hidden="false" customHeight="false" outlineLevel="0" collapsed="false">
      <c r="A80" s="49" t="s">
        <v>49</v>
      </c>
      <c r="B80" s="20" t="n">
        <f aca="false">10000+8000</f>
        <v>18000</v>
      </c>
      <c r="C80" s="20" t="n">
        <v>8800</v>
      </c>
      <c r="D80" s="20"/>
      <c r="E80" s="29"/>
    </row>
    <row r="81" customFormat="false" ht="16.8" hidden="false" customHeight="false" outlineLevel="0" collapsed="false">
      <c r="A81" s="49" t="s">
        <v>53</v>
      </c>
      <c r="B81" s="19" t="n">
        <f aca="false">61260+9850</f>
        <v>71110</v>
      </c>
      <c r="C81" s="19" t="n">
        <v>10300</v>
      </c>
      <c r="D81" s="19"/>
      <c r="E81" s="51"/>
    </row>
    <row r="82" customFormat="false" ht="33.6" hidden="false" customHeight="false" outlineLevel="0" collapsed="false">
      <c r="A82" s="49" t="s">
        <v>269</v>
      </c>
      <c r="B82" s="19" t="n">
        <f aca="false">51140</f>
        <v>51140</v>
      </c>
      <c r="C82" s="19" t="n">
        <v>74880</v>
      </c>
      <c r="D82" s="19"/>
      <c r="E82" s="51"/>
    </row>
    <row r="83" customFormat="false" ht="16.8" hidden="false" customHeight="false" outlineLevel="0" collapsed="false">
      <c r="A83" s="53" t="s">
        <v>18</v>
      </c>
      <c r="B83" s="20"/>
      <c r="C83" s="20"/>
      <c r="D83" s="20"/>
      <c r="E83" s="20"/>
    </row>
    <row r="84" customFormat="false" ht="16.8" hidden="false" customHeight="false" outlineLevel="0" collapsed="false">
      <c r="A84" s="30" t="s">
        <v>11</v>
      </c>
      <c r="B84" s="89" t="n">
        <f aca="false">SUM(B80:B83)</f>
        <v>140250</v>
      </c>
      <c r="C84" s="94" t="n">
        <f aca="false">SUM(C80:C83)</f>
        <v>93980</v>
      </c>
      <c r="D84" s="89"/>
      <c r="E84" s="89"/>
    </row>
    <row r="85" customFormat="false" ht="16.8" hidden="false" customHeight="false" outlineLevel="0" collapsed="false">
      <c r="A85" s="55"/>
      <c r="B85" s="56"/>
      <c r="C85" s="100"/>
      <c r="F85" s="1"/>
    </row>
    <row r="86" customFormat="false" ht="16.8" hidden="false" customHeight="false" outlineLevel="0" collapsed="false">
      <c r="A86" s="13" t="s">
        <v>20</v>
      </c>
      <c r="B86" s="1"/>
      <c r="C86" s="1"/>
      <c r="D86" s="1"/>
      <c r="E86" s="1"/>
      <c r="F86" s="1"/>
    </row>
    <row r="87" customFormat="false" ht="16.8" hidden="false" customHeight="false" outlineLevel="0" collapsed="false">
      <c r="A87" s="17" t="s">
        <v>13</v>
      </c>
      <c r="B87" s="17" t="s">
        <v>21</v>
      </c>
      <c r="C87" s="18"/>
      <c r="D87" s="18"/>
      <c r="E87" s="1"/>
      <c r="F87" s="1"/>
    </row>
    <row r="88" customFormat="false" ht="16.8" hidden="false" customHeight="false" outlineLevel="0" collapsed="false">
      <c r="A88" s="33" t="s">
        <v>22</v>
      </c>
      <c r="B88" s="34" t="n">
        <v>21850</v>
      </c>
      <c r="C88" s="1"/>
      <c r="D88" s="1"/>
      <c r="E88" s="39"/>
      <c r="F88" s="1"/>
    </row>
    <row r="89" customFormat="false" ht="16.8" hidden="false" customHeight="false" outlineLevel="0" collapsed="false">
      <c r="A89" s="33" t="s">
        <v>17</v>
      </c>
      <c r="B89" s="34" t="n">
        <f aca="false">149220-21850-14250</f>
        <v>113120</v>
      </c>
      <c r="C89" s="1"/>
      <c r="D89" s="1"/>
      <c r="E89" s="26"/>
      <c r="F89" s="39"/>
    </row>
    <row r="90" customFormat="false" ht="16.8" hidden="false" customHeight="false" outlineLevel="0" collapsed="false">
      <c r="A90" s="33" t="s">
        <v>18</v>
      </c>
      <c r="B90" s="34" t="n">
        <v>14250</v>
      </c>
      <c r="C90" s="1"/>
      <c r="D90" s="1"/>
      <c r="E90" s="26"/>
      <c r="F90" s="26"/>
    </row>
    <row r="91" customFormat="false" ht="16.8" hidden="false" customHeight="false" outlineLevel="0" collapsed="false">
      <c r="A91" s="25" t="s">
        <v>11</v>
      </c>
      <c r="B91" s="35" t="n">
        <f aca="false">SUM(B88:B90)</f>
        <v>149220</v>
      </c>
      <c r="C91" s="1"/>
      <c r="D91" s="1"/>
      <c r="E91" s="26"/>
      <c r="F91" s="26"/>
    </row>
    <row r="92" customFormat="false" ht="13.2" hidden="false" customHeight="false" outlineLevel="0" collapsed="false">
      <c r="A92" s="1"/>
      <c r="B92" s="1"/>
      <c r="C92" s="1"/>
      <c r="D92" s="1"/>
      <c r="E92" s="26"/>
      <c r="F92" s="26"/>
    </row>
    <row r="93" customFormat="false" ht="13.2" hidden="false" customHeight="false" outlineLevel="0" collapsed="false">
      <c r="A93" s="39" t="s">
        <v>23</v>
      </c>
      <c r="B93" s="39" t="s">
        <v>24</v>
      </c>
      <c r="C93" s="39" t="s">
        <v>25</v>
      </c>
      <c r="D93" s="39" t="s">
        <v>26</v>
      </c>
      <c r="E93" s="41" t="s">
        <v>27</v>
      </c>
      <c r="F93" s="41"/>
    </row>
    <row r="94" customFormat="false" ht="13.2" hidden="false" customHeight="false" outlineLevel="0" collapsed="false">
      <c r="A94" s="26"/>
      <c r="B94" s="26"/>
      <c r="C94" s="26"/>
      <c r="D94" s="26"/>
      <c r="E94" s="26"/>
      <c r="F94" s="39"/>
    </row>
    <row r="95" customFormat="false" ht="13.2" hidden="false" customHeight="false" outlineLevel="0" collapsed="false">
      <c r="A95" s="26"/>
      <c r="B95" s="26"/>
      <c r="C95" s="26"/>
      <c r="D95" s="26"/>
      <c r="E95" s="26"/>
    </row>
    <row r="96" customFormat="false" ht="13.2" hidden="false" customHeight="false" outlineLevel="0" collapsed="false">
      <c r="A96" s="26"/>
      <c r="B96" s="26"/>
      <c r="C96" s="26"/>
      <c r="D96" s="26"/>
      <c r="E96" s="26"/>
    </row>
    <row r="97" customFormat="false" ht="13.2" hidden="false" customHeight="false" outlineLevel="0" collapsed="false">
      <c r="A97" s="26"/>
      <c r="B97" s="26"/>
      <c r="C97" s="26"/>
      <c r="D97" s="26"/>
      <c r="E97" s="26"/>
    </row>
    <row r="98" customFormat="false" ht="13.2" hidden="false" customHeight="false" outlineLevel="0" collapsed="false">
      <c r="A98" s="39" t="s">
        <v>34</v>
      </c>
      <c r="B98" s="39"/>
      <c r="C98" s="39"/>
      <c r="D98" s="39"/>
      <c r="E98" s="41" t="s">
        <v>29</v>
      </c>
      <c r="F98" s="41"/>
    </row>
    <row r="103" customFormat="false" ht="18.6" hidden="false" customHeight="true" outlineLevel="0" collapsed="false">
      <c r="A103" s="118" t="s">
        <v>283</v>
      </c>
      <c r="B103" s="118"/>
      <c r="C103" s="118"/>
      <c r="D103" s="118"/>
      <c r="E103" s="118"/>
      <c r="F103" s="43"/>
    </row>
    <row r="104" customFormat="false" ht="13.8" hidden="false" customHeight="true" outlineLevel="0" collapsed="false">
      <c r="A104" s="119" t="s">
        <v>2</v>
      </c>
      <c r="B104" s="119"/>
      <c r="C104" s="119"/>
      <c r="D104" s="119"/>
      <c r="E104" s="119"/>
      <c r="F104" s="44"/>
    </row>
    <row r="105" customFormat="false" ht="16.8" hidden="false" customHeight="false" outlineLevel="0" collapsed="false">
      <c r="A105" s="13" t="s">
        <v>3</v>
      </c>
      <c r="B105" s="14"/>
      <c r="C105" s="14"/>
      <c r="D105" s="46"/>
      <c r="E105" s="46" t="s">
        <v>4</v>
      </c>
      <c r="F105" s="66"/>
    </row>
    <row r="106" customFormat="false" ht="33.6" hidden="false" customHeight="false" outlineLevel="0" collapsed="false">
      <c r="A106" s="17" t="s">
        <v>5</v>
      </c>
      <c r="B106" s="17" t="s">
        <v>5</v>
      </c>
      <c r="C106" s="17" t="s">
        <v>284</v>
      </c>
      <c r="D106" s="17" t="s">
        <v>7</v>
      </c>
      <c r="E106" s="17" t="s">
        <v>8</v>
      </c>
      <c r="F106" s="1"/>
    </row>
    <row r="107" customFormat="false" ht="16.8" hidden="false" customHeight="false" outlineLevel="0" collapsed="false">
      <c r="A107" s="19" t="s">
        <v>9</v>
      </c>
      <c r="B107" s="20" t="n">
        <f aca="false">E72</f>
        <v>915</v>
      </c>
      <c r="C107" s="20"/>
      <c r="D107" s="20"/>
      <c r="E107" s="47" t="n">
        <f aca="false">B107+C107-D107</f>
        <v>915</v>
      </c>
      <c r="F107" s="1"/>
    </row>
    <row r="108" customFormat="false" ht="33.6" hidden="false" customHeight="false" outlineLevel="0" collapsed="false">
      <c r="A108" s="97" t="s">
        <v>159</v>
      </c>
      <c r="B108" s="20" t="n">
        <f aca="false">E73</f>
        <v>76255</v>
      </c>
      <c r="C108" s="20" t="n">
        <v>21080</v>
      </c>
      <c r="D108" s="20"/>
      <c r="E108" s="47" t="n">
        <f aca="false">B108+C108-D108</f>
        <v>97335</v>
      </c>
      <c r="F108" s="1"/>
    </row>
    <row r="109" customFormat="false" ht="33.6" hidden="false" customHeight="false" outlineLevel="0" collapsed="false">
      <c r="A109" s="97" t="s">
        <v>202</v>
      </c>
      <c r="B109" s="20" t="n">
        <f aca="false">E74</f>
        <v>11765</v>
      </c>
      <c r="C109" s="20" t="n">
        <v>5045</v>
      </c>
      <c r="D109" s="20"/>
      <c r="E109" s="47" t="n">
        <f aca="false">B109+C109-D109</f>
        <v>16810</v>
      </c>
      <c r="F109" s="45"/>
    </row>
    <row r="110" customFormat="false" ht="16.8" hidden="false" customHeight="false" outlineLevel="0" collapsed="false">
      <c r="A110" s="19" t="s">
        <v>10</v>
      </c>
      <c r="B110" s="20" t="n">
        <f aca="false">E75</f>
        <v>847170</v>
      </c>
      <c r="C110" s="20" t="n">
        <v>423450</v>
      </c>
      <c r="D110" s="20"/>
      <c r="E110" s="47" t="n">
        <f aca="false">B110+C110-D110</f>
        <v>1270620</v>
      </c>
      <c r="F110" s="45"/>
    </row>
    <row r="111" customFormat="false" ht="16.8" hidden="false" customHeight="false" outlineLevel="0" collapsed="false">
      <c r="A111" s="21" t="s">
        <v>11</v>
      </c>
      <c r="B111" s="22" t="n">
        <f aca="false">SUM(B107:B110)</f>
        <v>936105</v>
      </c>
      <c r="C111" s="22" t="n">
        <f aca="false">SUM(C107:C110)</f>
        <v>449575</v>
      </c>
      <c r="D111" s="22" t="n">
        <f aca="false">SUM(D107:D110)</f>
        <v>0</v>
      </c>
      <c r="E111" s="22" t="n">
        <f aca="false">SUM(E107:E110)</f>
        <v>1385680</v>
      </c>
      <c r="F111" s="121"/>
    </row>
    <row r="112" customFormat="false" ht="16.8" hidden="false" customHeight="false" outlineLevel="0" collapsed="false">
      <c r="A112" s="64" t="s">
        <v>87</v>
      </c>
      <c r="B112" s="64"/>
      <c r="C112" s="64"/>
      <c r="D112" s="64"/>
      <c r="E112" s="64"/>
      <c r="F112" s="45"/>
    </row>
    <row r="113" customFormat="false" ht="16.8" hidden="false" customHeight="false" outlineLevel="0" collapsed="false">
      <c r="A113" s="13" t="s">
        <v>12</v>
      </c>
      <c r="B113" s="13"/>
      <c r="C113" s="13"/>
      <c r="D113" s="13"/>
      <c r="E113" s="24"/>
      <c r="F113" s="24"/>
    </row>
    <row r="114" customFormat="false" ht="67.2" hidden="false" customHeight="false" outlineLevel="0" collapsed="false">
      <c r="A114" s="25" t="s">
        <v>13</v>
      </c>
      <c r="B114" s="17" t="s">
        <v>285</v>
      </c>
      <c r="C114" s="17" t="s">
        <v>286</v>
      </c>
      <c r="D114" s="93" t="s">
        <v>138</v>
      </c>
      <c r="E114" s="120" t="s">
        <v>16</v>
      </c>
    </row>
    <row r="115" customFormat="false" ht="33.6" hidden="false" customHeight="false" outlineLevel="0" collapsed="false">
      <c r="A115" s="49" t="s">
        <v>49</v>
      </c>
      <c r="B115" s="20" t="n">
        <f aca="false">10000+8000+8800</f>
        <v>26800</v>
      </c>
      <c r="C115" s="20" t="n">
        <v>8700</v>
      </c>
      <c r="D115" s="20"/>
      <c r="E115" s="29"/>
    </row>
    <row r="116" customFormat="false" ht="16.8" hidden="false" customHeight="false" outlineLevel="0" collapsed="false">
      <c r="A116" s="49" t="s">
        <v>53</v>
      </c>
      <c r="B116" s="19" t="n">
        <f aca="false">61260+9850+10300</f>
        <v>81410</v>
      </c>
      <c r="C116" s="19" t="n">
        <f aca="false">78510-C117</f>
        <v>14470</v>
      </c>
      <c r="D116" s="19"/>
      <c r="E116" s="51"/>
    </row>
    <row r="117" customFormat="false" ht="33.6" hidden="false" customHeight="false" outlineLevel="0" collapsed="false">
      <c r="A117" s="49" t="s">
        <v>269</v>
      </c>
      <c r="B117" s="19" t="n">
        <f aca="false">51140+74880</f>
        <v>126020</v>
      </c>
      <c r="C117" s="19" t="n">
        <v>64040</v>
      </c>
      <c r="D117" s="19"/>
      <c r="E117" s="51"/>
    </row>
    <row r="118" customFormat="false" ht="16.8" hidden="false" customHeight="false" outlineLevel="0" collapsed="false">
      <c r="A118" s="53" t="s">
        <v>18</v>
      </c>
      <c r="B118" s="20"/>
      <c r="C118" s="20"/>
      <c r="D118" s="20"/>
      <c r="E118" s="20"/>
    </row>
    <row r="119" customFormat="false" ht="16.8" hidden="false" customHeight="false" outlineLevel="0" collapsed="false">
      <c r="A119" s="30" t="s">
        <v>11</v>
      </c>
      <c r="B119" s="89" t="n">
        <f aca="false">SUM(B115:B118)</f>
        <v>234230</v>
      </c>
      <c r="C119" s="94" t="n">
        <f aca="false">SUM(C115:C118)</f>
        <v>87210</v>
      </c>
      <c r="D119" s="89"/>
      <c r="E119" s="89"/>
    </row>
    <row r="120" customFormat="false" ht="16.8" hidden="false" customHeight="false" outlineLevel="0" collapsed="false">
      <c r="A120" s="55"/>
      <c r="B120" s="56"/>
      <c r="C120" s="100"/>
      <c r="F120" s="1"/>
    </row>
    <row r="121" customFormat="false" ht="16.8" hidden="false" customHeight="false" outlineLevel="0" collapsed="false">
      <c r="A121" s="13" t="s">
        <v>20</v>
      </c>
      <c r="B121" s="1"/>
      <c r="C121" s="1"/>
      <c r="D121" s="1"/>
      <c r="E121" s="1"/>
      <c r="F121" s="1"/>
    </row>
    <row r="122" customFormat="false" ht="16.8" hidden="false" customHeight="false" outlineLevel="0" collapsed="false">
      <c r="A122" s="17" t="s">
        <v>13</v>
      </c>
      <c r="B122" s="17" t="s">
        <v>21</v>
      </c>
      <c r="C122" s="18"/>
      <c r="D122" s="18"/>
      <c r="E122" s="1"/>
      <c r="F122" s="1"/>
    </row>
    <row r="123" customFormat="false" ht="16.8" hidden="false" customHeight="false" outlineLevel="0" collapsed="false">
      <c r="A123" s="33" t="s">
        <v>22</v>
      </c>
      <c r="B123" s="34" t="n">
        <v>30550</v>
      </c>
      <c r="C123" s="1"/>
      <c r="D123" s="1"/>
      <c r="E123" s="39"/>
      <c r="F123" s="1"/>
    </row>
    <row r="124" customFormat="false" ht="16.8" hidden="false" customHeight="false" outlineLevel="0" collapsed="false">
      <c r="A124" s="33" t="s">
        <v>17</v>
      </c>
      <c r="B124" s="34" t="n">
        <f aca="false">176070-B123-B125</f>
        <v>131270</v>
      </c>
      <c r="C124" s="1"/>
      <c r="D124" s="1"/>
      <c r="E124" s="26"/>
      <c r="F124" s="39"/>
    </row>
    <row r="125" customFormat="false" ht="16.8" hidden="false" customHeight="false" outlineLevel="0" collapsed="false">
      <c r="A125" s="33" t="s">
        <v>18</v>
      </c>
      <c r="B125" s="34" t="n">
        <v>14250</v>
      </c>
      <c r="C125" s="1"/>
      <c r="D125" s="1"/>
      <c r="E125" s="26"/>
      <c r="F125" s="26"/>
    </row>
    <row r="126" customFormat="false" ht="16.8" hidden="false" customHeight="false" outlineLevel="0" collapsed="false">
      <c r="A126" s="25" t="s">
        <v>11</v>
      </c>
      <c r="B126" s="35" t="n">
        <f aca="false">SUM(B123:B125)</f>
        <v>176070</v>
      </c>
      <c r="C126" s="1"/>
      <c r="D126" s="1"/>
      <c r="E126" s="26"/>
      <c r="F126" s="26"/>
    </row>
    <row r="127" customFormat="false" ht="13.2" hidden="false" customHeight="false" outlineLevel="0" collapsed="false">
      <c r="A127" s="1"/>
      <c r="B127" s="1"/>
      <c r="C127" s="1"/>
      <c r="D127" s="1"/>
      <c r="E127" s="26"/>
      <c r="F127" s="26"/>
    </row>
    <row r="128" customFormat="false" ht="13.2" hidden="false" customHeight="false" outlineLevel="0" collapsed="false">
      <c r="A128" s="39" t="s">
        <v>23</v>
      </c>
      <c r="B128" s="39" t="s">
        <v>24</v>
      </c>
      <c r="C128" s="39" t="s">
        <v>25</v>
      </c>
      <c r="D128" s="39" t="s">
        <v>26</v>
      </c>
      <c r="E128" s="41" t="s">
        <v>27</v>
      </c>
      <c r="F128" s="41"/>
    </row>
    <row r="129" customFormat="false" ht="13.2" hidden="false" customHeight="false" outlineLevel="0" collapsed="false">
      <c r="A129" s="26"/>
      <c r="B129" s="26"/>
      <c r="C129" s="26"/>
      <c r="D129" s="26"/>
      <c r="E129" s="26"/>
      <c r="F129" s="39"/>
    </row>
    <row r="130" customFormat="false" ht="13.2" hidden="false" customHeight="false" outlineLevel="0" collapsed="false">
      <c r="A130" s="26"/>
      <c r="B130" s="26"/>
      <c r="C130" s="26"/>
      <c r="D130" s="26"/>
      <c r="E130" s="26"/>
    </row>
    <row r="131" customFormat="false" ht="13.2" hidden="false" customHeight="false" outlineLevel="0" collapsed="false">
      <c r="A131" s="26"/>
      <c r="B131" s="26"/>
      <c r="C131" s="26"/>
      <c r="D131" s="26"/>
      <c r="E131" s="26"/>
    </row>
    <row r="132" customFormat="false" ht="13.2" hidden="false" customHeight="false" outlineLevel="0" collapsed="false">
      <c r="A132" s="26"/>
      <c r="B132" s="26"/>
      <c r="C132" s="26"/>
      <c r="D132" s="26"/>
      <c r="E132" s="26"/>
    </row>
    <row r="133" customFormat="false" ht="13.2" hidden="false" customHeight="false" outlineLevel="0" collapsed="false">
      <c r="A133" s="39" t="s">
        <v>34</v>
      </c>
      <c r="B133" s="39"/>
      <c r="C133" s="39"/>
      <c r="D133" s="39"/>
      <c r="E133" s="41" t="s">
        <v>29</v>
      </c>
      <c r="F133" s="41"/>
    </row>
    <row r="139" customFormat="false" ht="18.6" hidden="false" customHeight="true" outlineLevel="0" collapsed="false">
      <c r="A139" s="118" t="s">
        <v>287</v>
      </c>
      <c r="B139" s="118"/>
      <c r="C139" s="118"/>
      <c r="D139" s="118"/>
      <c r="E139" s="118"/>
      <c r="F139" s="43"/>
    </row>
    <row r="140" customFormat="false" ht="13.8" hidden="false" customHeight="true" outlineLevel="0" collapsed="false">
      <c r="A140" s="119" t="s">
        <v>2</v>
      </c>
      <c r="B140" s="119"/>
      <c r="C140" s="119"/>
      <c r="D140" s="119"/>
      <c r="E140" s="119"/>
      <c r="F140" s="44"/>
    </row>
    <row r="141" customFormat="false" ht="16.8" hidden="false" customHeight="false" outlineLevel="0" collapsed="false">
      <c r="A141" s="13" t="s">
        <v>3</v>
      </c>
      <c r="B141" s="14"/>
      <c r="C141" s="14"/>
      <c r="D141" s="46"/>
      <c r="E141" s="46" t="s">
        <v>4</v>
      </c>
      <c r="F141" s="66"/>
    </row>
    <row r="142" customFormat="false" ht="33.6" hidden="false" customHeight="false" outlineLevel="0" collapsed="false">
      <c r="A142" s="17" t="s">
        <v>5</v>
      </c>
      <c r="B142" s="17" t="s">
        <v>5</v>
      </c>
      <c r="C142" s="17" t="s">
        <v>288</v>
      </c>
      <c r="D142" s="17" t="s">
        <v>7</v>
      </c>
      <c r="E142" s="17" t="s">
        <v>8</v>
      </c>
      <c r="F142" s="1"/>
    </row>
    <row r="143" customFormat="false" ht="16.8" hidden="false" customHeight="false" outlineLevel="0" collapsed="false">
      <c r="A143" s="19" t="s">
        <v>9</v>
      </c>
      <c r="B143" s="20" t="n">
        <f aca="false">E107</f>
        <v>915</v>
      </c>
      <c r="C143" s="20"/>
      <c r="D143" s="20"/>
      <c r="E143" s="47" t="n">
        <f aca="false">B143+C143-D143</f>
        <v>915</v>
      </c>
      <c r="F143" s="1"/>
    </row>
    <row r="144" customFormat="false" ht="33.6" hidden="false" customHeight="false" outlineLevel="0" collapsed="false">
      <c r="A144" s="97" t="s">
        <v>159</v>
      </c>
      <c r="B144" s="20" t="n">
        <f aca="false">E108</f>
        <v>97335</v>
      </c>
      <c r="C144" s="20" t="n">
        <v>27990</v>
      </c>
      <c r="D144" s="20"/>
      <c r="E144" s="47" t="n">
        <f aca="false">B144+C144-D144</f>
        <v>125325</v>
      </c>
      <c r="F144" s="1"/>
    </row>
    <row r="145" customFormat="false" ht="33.6" hidden="false" customHeight="false" outlineLevel="0" collapsed="false">
      <c r="A145" s="97" t="s">
        <v>202</v>
      </c>
      <c r="B145" s="20" t="n">
        <f aca="false">E109</f>
        <v>16810</v>
      </c>
      <c r="C145" s="20" t="n">
        <v>10775</v>
      </c>
      <c r="D145" s="20"/>
      <c r="E145" s="47" t="n">
        <f aca="false">B145+C145-D145</f>
        <v>27585</v>
      </c>
      <c r="F145" s="45"/>
    </row>
    <row r="146" customFormat="false" ht="16.8" hidden="false" customHeight="false" outlineLevel="0" collapsed="false">
      <c r="A146" s="19" t="s">
        <v>10</v>
      </c>
      <c r="B146" s="20" t="n">
        <f aca="false">E110</f>
        <v>1270620</v>
      </c>
      <c r="C146" s="20" t="n">
        <v>518347</v>
      </c>
      <c r="D146" s="20"/>
      <c r="E146" s="47" t="n">
        <f aca="false">B146+C146-D146</f>
        <v>1788967</v>
      </c>
      <c r="F146" s="45"/>
    </row>
    <row r="147" customFormat="false" ht="16.8" hidden="false" customHeight="false" outlineLevel="0" collapsed="false">
      <c r="A147" s="21" t="s">
        <v>11</v>
      </c>
      <c r="B147" s="22" t="n">
        <f aca="false">SUM(B143:B146)</f>
        <v>1385680</v>
      </c>
      <c r="C147" s="22" t="n">
        <f aca="false">SUM(C143:C146)</f>
        <v>557112</v>
      </c>
      <c r="D147" s="22" t="n">
        <f aca="false">SUM(D143:D146)</f>
        <v>0</v>
      </c>
      <c r="E147" s="22" t="n">
        <f aca="false">SUM(E143:E146)</f>
        <v>1942792</v>
      </c>
      <c r="F147" s="121"/>
    </row>
    <row r="148" customFormat="false" ht="16.8" hidden="false" customHeight="false" outlineLevel="0" collapsed="false">
      <c r="A148" s="64" t="s">
        <v>87</v>
      </c>
      <c r="B148" s="64"/>
      <c r="C148" s="64"/>
      <c r="D148" s="64"/>
      <c r="E148" s="64"/>
      <c r="F148" s="45"/>
    </row>
    <row r="149" customFormat="false" ht="16.8" hidden="false" customHeight="false" outlineLevel="0" collapsed="false">
      <c r="A149" s="13" t="s">
        <v>12</v>
      </c>
      <c r="B149" s="13"/>
      <c r="C149" s="13"/>
      <c r="D149" s="13"/>
      <c r="E149" s="24"/>
      <c r="F149" s="24"/>
    </row>
    <row r="150" customFormat="false" ht="67.2" hidden="false" customHeight="false" outlineLevel="0" collapsed="false">
      <c r="A150" s="25" t="s">
        <v>13</v>
      </c>
      <c r="B150" s="17" t="s">
        <v>289</v>
      </c>
      <c r="C150" s="17" t="s">
        <v>290</v>
      </c>
      <c r="D150" s="93" t="s">
        <v>138</v>
      </c>
      <c r="E150" s="120" t="s">
        <v>16</v>
      </c>
    </row>
    <row r="151" customFormat="false" ht="33.6" hidden="false" customHeight="false" outlineLevel="0" collapsed="false">
      <c r="A151" s="49" t="s">
        <v>49</v>
      </c>
      <c r="B151" s="20" t="n">
        <v>35500</v>
      </c>
      <c r="C151" s="20" t="n">
        <v>7300</v>
      </c>
      <c r="D151" s="20"/>
      <c r="E151" s="29"/>
    </row>
    <row r="152" customFormat="false" ht="16.8" hidden="false" customHeight="false" outlineLevel="0" collapsed="false">
      <c r="A152" s="49" t="s">
        <v>53</v>
      </c>
      <c r="B152" s="19" t="n">
        <v>95880</v>
      </c>
      <c r="C152" s="19" t="n">
        <f aca="false">91900-C153</f>
        <v>42930</v>
      </c>
      <c r="D152" s="19"/>
      <c r="E152" s="51"/>
    </row>
    <row r="153" customFormat="false" ht="33.6" hidden="false" customHeight="false" outlineLevel="0" collapsed="false">
      <c r="A153" s="49" t="s">
        <v>269</v>
      </c>
      <c r="B153" s="19" t="n">
        <v>190060</v>
      </c>
      <c r="C153" s="19" t="n">
        <v>48970</v>
      </c>
      <c r="D153" s="19"/>
      <c r="E153" s="51"/>
    </row>
    <row r="154" customFormat="false" ht="16.8" hidden="false" customHeight="false" outlineLevel="0" collapsed="false">
      <c r="A154" s="53" t="s">
        <v>18</v>
      </c>
      <c r="B154" s="20"/>
      <c r="C154" s="20"/>
      <c r="D154" s="20"/>
      <c r="E154" s="20"/>
    </row>
    <row r="155" customFormat="false" ht="16.8" hidden="false" customHeight="false" outlineLevel="0" collapsed="false">
      <c r="A155" s="30" t="s">
        <v>11</v>
      </c>
      <c r="B155" s="89" t="n">
        <f aca="false">SUM(B151:B154)</f>
        <v>321440</v>
      </c>
      <c r="C155" s="94" t="n">
        <f aca="false">SUM(C151:C154)</f>
        <v>99200</v>
      </c>
      <c r="D155" s="89"/>
      <c r="E155" s="89"/>
    </row>
    <row r="156" customFormat="false" ht="16.8" hidden="false" customHeight="false" outlineLevel="0" collapsed="false">
      <c r="A156" s="55"/>
      <c r="B156" s="56"/>
      <c r="C156" s="100"/>
      <c r="F156" s="1"/>
    </row>
    <row r="157" customFormat="false" ht="16.8" hidden="false" customHeight="false" outlineLevel="0" collapsed="false">
      <c r="A157" s="13" t="s">
        <v>20</v>
      </c>
      <c r="B157" s="1"/>
      <c r="C157" s="1"/>
      <c r="D157" s="1"/>
      <c r="E157" s="1"/>
      <c r="F157" s="1"/>
    </row>
    <row r="158" customFormat="false" ht="16.8" hidden="false" customHeight="false" outlineLevel="0" collapsed="false">
      <c r="A158" s="17" t="s">
        <v>13</v>
      </c>
      <c r="B158" s="17" t="s">
        <v>21</v>
      </c>
      <c r="C158" s="18"/>
      <c r="D158" s="18"/>
      <c r="E158" s="1"/>
      <c r="F158" s="1"/>
    </row>
    <row r="159" customFormat="false" ht="16.8" hidden="false" customHeight="false" outlineLevel="0" collapsed="false">
      <c r="A159" s="33" t="s">
        <v>22</v>
      </c>
      <c r="B159" s="34" t="n">
        <v>37850</v>
      </c>
      <c r="C159" s="1"/>
      <c r="D159" s="1"/>
      <c r="E159" s="39"/>
      <c r="F159" s="1"/>
    </row>
    <row r="160" customFormat="false" ht="16.8" hidden="false" customHeight="false" outlineLevel="0" collapsed="false">
      <c r="A160" s="33" t="s">
        <v>17</v>
      </c>
      <c r="B160" s="34" t="n">
        <v>143170</v>
      </c>
      <c r="C160" s="1"/>
      <c r="D160" s="1"/>
      <c r="E160" s="26"/>
      <c r="F160" s="39"/>
    </row>
    <row r="161" customFormat="false" ht="16.8" hidden="false" customHeight="false" outlineLevel="0" collapsed="false">
      <c r="A161" s="33" t="s">
        <v>18</v>
      </c>
      <c r="B161" s="34" t="n">
        <v>14250</v>
      </c>
      <c r="C161" s="1"/>
      <c r="D161" s="1"/>
      <c r="E161" s="26"/>
      <c r="F161" s="26"/>
    </row>
    <row r="162" customFormat="false" ht="16.8" hidden="false" customHeight="false" outlineLevel="0" collapsed="false">
      <c r="A162" s="25" t="s">
        <v>11</v>
      </c>
      <c r="B162" s="35" t="n">
        <f aca="false">SUM(B159:B161)</f>
        <v>195270</v>
      </c>
      <c r="C162" s="1"/>
      <c r="D162" s="1"/>
      <c r="E162" s="26"/>
      <c r="F162" s="26"/>
    </row>
    <row r="163" customFormat="false" ht="13.2" hidden="false" customHeight="false" outlineLevel="0" collapsed="false">
      <c r="A163" s="1"/>
      <c r="B163" s="1"/>
      <c r="C163" s="1"/>
      <c r="D163" s="1"/>
      <c r="E163" s="26"/>
      <c r="F163" s="26"/>
    </row>
    <row r="164" customFormat="false" ht="13.2" hidden="false" customHeight="false" outlineLevel="0" collapsed="false">
      <c r="A164" s="39" t="s">
        <v>23</v>
      </c>
      <c r="B164" s="39" t="s">
        <v>24</v>
      </c>
      <c r="C164" s="39" t="s">
        <v>25</v>
      </c>
      <c r="D164" s="39" t="s">
        <v>26</v>
      </c>
      <c r="E164" s="41" t="s">
        <v>27</v>
      </c>
      <c r="F164" s="41"/>
    </row>
    <row r="165" customFormat="false" ht="13.2" hidden="false" customHeight="false" outlineLevel="0" collapsed="false">
      <c r="A165" s="26"/>
      <c r="B165" s="26"/>
      <c r="C165" s="26"/>
      <c r="D165" s="26"/>
      <c r="E165" s="26"/>
      <c r="F165" s="39"/>
    </row>
    <row r="166" customFormat="false" ht="13.2" hidden="false" customHeight="false" outlineLevel="0" collapsed="false">
      <c r="A166" s="26"/>
      <c r="B166" s="26"/>
      <c r="C166" s="26"/>
      <c r="D166" s="26"/>
      <c r="E166" s="26"/>
    </row>
    <row r="167" customFormat="false" ht="13.2" hidden="false" customHeight="false" outlineLevel="0" collapsed="false">
      <c r="A167" s="26"/>
      <c r="B167" s="26"/>
      <c r="C167" s="26"/>
      <c r="D167" s="26"/>
      <c r="E167" s="26"/>
    </row>
    <row r="168" customFormat="false" ht="13.2" hidden="false" customHeight="false" outlineLevel="0" collapsed="false">
      <c r="A168" s="26"/>
      <c r="B168" s="26"/>
      <c r="C168" s="26"/>
      <c r="D168" s="26"/>
      <c r="E168" s="26"/>
    </row>
    <row r="169" customFormat="false" ht="13.2" hidden="false" customHeight="false" outlineLevel="0" collapsed="false">
      <c r="A169" s="39" t="s">
        <v>34</v>
      </c>
      <c r="B169" s="39"/>
      <c r="C169" s="39"/>
      <c r="D169" s="39"/>
      <c r="E169" s="41" t="s">
        <v>29</v>
      </c>
      <c r="F169" s="41"/>
    </row>
    <row r="173" customFormat="false" ht="18.6" hidden="false" customHeight="true" outlineLevel="0" collapsed="false">
      <c r="A173" s="118" t="s">
        <v>291</v>
      </c>
      <c r="B173" s="118"/>
      <c r="C173" s="118"/>
      <c r="D173" s="118"/>
      <c r="E173" s="118"/>
      <c r="F173" s="43"/>
    </row>
    <row r="174" customFormat="false" ht="13.8" hidden="false" customHeight="true" outlineLevel="0" collapsed="false">
      <c r="A174" s="119" t="s">
        <v>2</v>
      </c>
      <c r="B174" s="119"/>
      <c r="C174" s="119"/>
      <c r="D174" s="119"/>
      <c r="E174" s="119"/>
      <c r="F174" s="44"/>
    </row>
    <row r="175" customFormat="false" ht="16.8" hidden="false" customHeight="false" outlineLevel="0" collapsed="false">
      <c r="A175" s="13" t="s">
        <v>3</v>
      </c>
      <c r="B175" s="14"/>
      <c r="C175" s="14"/>
      <c r="D175" s="46"/>
      <c r="E175" s="46" t="s">
        <v>4</v>
      </c>
      <c r="F175" s="66"/>
    </row>
    <row r="176" customFormat="false" ht="33.6" hidden="false" customHeight="false" outlineLevel="0" collapsed="false">
      <c r="A176" s="17" t="s">
        <v>5</v>
      </c>
      <c r="B176" s="17" t="s">
        <v>5</v>
      </c>
      <c r="C176" s="17" t="s">
        <v>292</v>
      </c>
      <c r="D176" s="17" t="s">
        <v>7</v>
      </c>
      <c r="E176" s="17" t="s">
        <v>8</v>
      </c>
      <c r="F176" s="1"/>
    </row>
    <row r="177" customFormat="false" ht="16.8" hidden="false" customHeight="false" outlineLevel="0" collapsed="false">
      <c r="A177" s="19" t="s">
        <v>9</v>
      </c>
      <c r="B177" s="20" t="n">
        <f aca="false">E143</f>
        <v>915</v>
      </c>
      <c r="C177" s="20" t="n">
        <v>995</v>
      </c>
      <c r="D177" s="20"/>
      <c r="E177" s="47" t="n">
        <f aca="false">B177+C177-D177</f>
        <v>1910</v>
      </c>
      <c r="F177" s="1"/>
    </row>
    <row r="178" customFormat="false" ht="33.6" hidden="false" customHeight="false" outlineLevel="0" collapsed="false">
      <c r="A178" s="97" t="s">
        <v>159</v>
      </c>
      <c r="B178" s="20" t="n">
        <f aca="false">E144</f>
        <v>125325</v>
      </c>
      <c r="C178" s="20" t="n">
        <v>26890</v>
      </c>
      <c r="D178" s="20"/>
      <c r="E178" s="47" t="n">
        <f aca="false">B178+C178-D178</f>
        <v>152215</v>
      </c>
      <c r="F178" s="1"/>
    </row>
    <row r="179" customFormat="false" ht="33.6" hidden="false" customHeight="false" outlineLevel="0" collapsed="false">
      <c r="A179" s="97" t="s">
        <v>202</v>
      </c>
      <c r="B179" s="20" t="n">
        <f aca="false">E145</f>
        <v>27585</v>
      </c>
      <c r="C179" s="20" t="n">
        <v>15085</v>
      </c>
      <c r="D179" s="20"/>
      <c r="E179" s="47" t="n">
        <f aca="false">B179+C179-D179</f>
        <v>42670</v>
      </c>
      <c r="F179" s="45"/>
    </row>
    <row r="180" customFormat="false" ht="16.8" hidden="false" customHeight="false" outlineLevel="0" collapsed="false">
      <c r="A180" s="19" t="s">
        <v>10</v>
      </c>
      <c r="B180" s="20" t="n">
        <f aca="false">E146</f>
        <v>1788967</v>
      </c>
      <c r="C180" s="20" t="n">
        <f aca="false">201150-C177</f>
        <v>200155</v>
      </c>
      <c r="D180" s="20"/>
      <c r="E180" s="47" t="n">
        <f aca="false">B180+C180-D180</f>
        <v>1989122</v>
      </c>
      <c r="F180" s="45"/>
    </row>
    <row r="181" customFormat="false" ht="16.8" hidden="false" customHeight="false" outlineLevel="0" collapsed="false">
      <c r="A181" s="21" t="s">
        <v>11</v>
      </c>
      <c r="B181" s="22" t="n">
        <f aca="false">SUM(B177:B180)</f>
        <v>1942792</v>
      </c>
      <c r="C181" s="22" t="n">
        <f aca="false">SUM(C177:C180)</f>
        <v>243125</v>
      </c>
      <c r="D181" s="22" t="n">
        <f aca="false">SUM(D177:D180)</f>
        <v>0</v>
      </c>
      <c r="E181" s="22" t="n">
        <f aca="false">SUM(E177:E180)</f>
        <v>2185917</v>
      </c>
      <c r="F181" s="121"/>
    </row>
    <row r="182" customFormat="false" ht="16.8" hidden="false" customHeight="false" outlineLevel="0" collapsed="false">
      <c r="A182" s="64" t="s">
        <v>87</v>
      </c>
      <c r="B182" s="64"/>
      <c r="C182" s="64"/>
      <c r="D182" s="64"/>
      <c r="E182" s="64"/>
      <c r="F182" s="45"/>
    </row>
    <row r="183" customFormat="false" ht="16.8" hidden="false" customHeight="false" outlineLevel="0" collapsed="false">
      <c r="A183" s="13" t="s">
        <v>12</v>
      </c>
      <c r="B183" s="13"/>
      <c r="C183" s="13"/>
      <c r="D183" s="13"/>
      <c r="E183" s="24"/>
      <c r="F183" s="24"/>
    </row>
    <row r="184" customFormat="false" ht="67.2" hidden="false" customHeight="false" outlineLevel="0" collapsed="false">
      <c r="A184" s="25" t="s">
        <v>13</v>
      </c>
      <c r="B184" s="17" t="s">
        <v>293</v>
      </c>
      <c r="C184" s="17" t="s">
        <v>290</v>
      </c>
      <c r="D184" s="93" t="s">
        <v>138</v>
      </c>
      <c r="E184" s="120" t="s">
        <v>16</v>
      </c>
    </row>
    <row r="185" customFormat="false" ht="33.6" hidden="false" customHeight="false" outlineLevel="0" collapsed="false">
      <c r="A185" s="49" t="s">
        <v>49</v>
      </c>
      <c r="B185" s="20" t="n">
        <f aca="false">B151+C151</f>
        <v>42800</v>
      </c>
      <c r="C185" s="20" t="n">
        <v>4700</v>
      </c>
      <c r="D185" s="20"/>
      <c r="E185" s="29"/>
    </row>
    <row r="186" customFormat="false" ht="16.8" hidden="false" customHeight="false" outlineLevel="0" collapsed="false">
      <c r="A186" s="49" t="s">
        <v>53</v>
      </c>
      <c r="B186" s="20" t="n">
        <f aca="false">B152+C152</f>
        <v>138810</v>
      </c>
      <c r="C186" s="19" t="n">
        <v>76600</v>
      </c>
      <c r="D186" s="19"/>
      <c r="E186" s="51"/>
    </row>
    <row r="187" customFormat="false" ht="33.6" hidden="false" customHeight="false" outlineLevel="0" collapsed="false">
      <c r="A187" s="49" t="s">
        <v>269</v>
      </c>
      <c r="B187" s="20" t="n">
        <f aca="false">B153+C153</f>
        <v>239030</v>
      </c>
      <c r="C187" s="19" t="n">
        <v>28360</v>
      </c>
      <c r="D187" s="19"/>
      <c r="E187" s="51"/>
    </row>
    <row r="188" customFormat="false" ht="16.8" hidden="false" customHeight="false" outlineLevel="0" collapsed="false">
      <c r="A188" s="53" t="s">
        <v>18</v>
      </c>
      <c r="B188" s="20" t="n">
        <f aca="false">B154+C154</f>
        <v>0</v>
      </c>
      <c r="C188" s="20"/>
      <c r="D188" s="20"/>
      <c r="E188" s="20"/>
    </row>
    <row r="189" customFormat="false" ht="16.8" hidden="false" customHeight="false" outlineLevel="0" collapsed="false">
      <c r="A189" s="30" t="s">
        <v>11</v>
      </c>
      <c r="B189" s="89" t="n">
        <f aca="false">SUM(B185:B188)</f>
        <v>420640</v>
      </c>
      <c r="C189" s="94" t="n">
        <f aca="false">SUM(C185:C188)</f>
        <v>109660</v>
      </c>
      <c r="D189" s="89"/>
      <c r="E189" s="89"/>
    </row>
    <row r="190" customFormat="false" ht="16.8" hidden="false" customHeight="false" outlineLevel="0" collapsed="false">
      <c r="A190" s="55"/>
      <c r="B190" s="56"/>
      <c r="C190" s="100"/>
      <c r="F190" s="1"/>
    </row>
    <row r="191" customFormat="false" ht="16.8" hidden="false" customHeight="false" outlineLevel="0" collapsed="false">
      <c r="A191" s="13" t="s">
        <v>20</v>
      </c>
      <c r="B191" s="1"/>
      <c r="C191" s="1"/>
      <c r="D191" s="1"/>
      <c r="E191" s="1"/>
      <c r="F191" s="1"/>
    </row>
    <row r="192" customFormat="false" ht="16.8" hidden="false" customHeight="false" outlineLevel="0" collapsed="false">
      <c r="A192" s="17" t="s">
        <v>13</v>
      </c>
      <c r="B192" s="17" t="s">
        <v>21</v>
      </c>
      <c r="C192" s="18"/>
      <c r="D192" s="18"/>
      <c r="E192" s="1"/>
      <c r="F192" s="1"/>
    </row>
    <row r="193" customFormat="false" ht="16.8" hidden="false" customHeight="false" outlineLevel="0" collapsed="false">
      <c r="A193" s="33" t="s">
        <v>22</v>
      </c>
      <c r="B193" s="34" t="n">
        <v>42550</v>
      </c>
      <c r="C193" s="1"/>
      <c r="D193" s="1"/>
      <c r="E193" s="39"/>
      <c r="F193" s="1"/>
    </row>
    <row r="194" customFormat="false" ht="16.8" hidden="false" customHeight="false" outlineLevel="0" collapsed="false">
      <c r="A194" s="33" t="s">
        <v>17</v>
      </c>
      <c r="B194" s="34" t="n">
        <v>233130</v>
      </c>
      <c r="C194" s="1"/>
      <c r="D194" s="1"/>
      <c r="E194" s="26"/>
      <c r="F194" s="39"/>
    </row>
    <row r="195" customFormat="false" ht="16.8" hidden="false" customHeight="false" outlineLevel="0" collapsed="false">
      <c r="A195" s="33" t="s">
        <v>18</v>
      </c>
      <c r="B195" s="34" t="n">
        <v>14250</v>
      </c>
      <c r="C195" s="1"/>
      <c r="D195" s="1"/>
      <c r="E195" s="26"/>
      <c r="F195" s="26"/>
    </row>
    <row r="196" customFormat="false" ht="16.8" hidden="false" customHeight="false" outlineLevel="0" collapsed="false">
      <c r="A196" s="25" t="s">
        <v>11</v>
      </c>
      <c r="B196" s="35" t="n">
        <f aca="false">SUM(B193:B195)</f>
        <v>289930</v>
      </c>
      <c r="C196" s="1"/>
      <c r="D196" s="1"/>
      <c r="E196" s="26"/>
      <c r="F196" s="26"/>
    </row>
    <row r="197" customFormat="false" ht="13.2" hidden="false" customHeight="false" outlineLevel="0" collapsed="false">
      <c r="A197" s="1"/>
      <c r="B197" s="1"/>
      <c r="C197" s="1"/>
      <c r="D197" s="1"/>
      <c r="E197" s="26"/>
      <c r="F197" s="26"/>
    </row>
    <row r="198" customFormat="false" ht="13.2" hidden="false" customHeight="false" outlineLevel="0" collapsed="false">
      <c r="A198" s="39" t="s">
        <v>23</v>
      </c>
      <c r="B198" s="39" t="s">
        <v>24</v>
      </c>
      <c r="C198" s="39" t="s">
        <v>25</v>
      </c>
      <c r="D198" s="39" t="s">
        <v>26</v>
      </c>
      <c r="E198" s="41" t="s">
        <v>27</v>
      </c>
      <c r="F198" s="41"/>
    </row>
    <row r="199" customFormat="false" ht="13.2" hidden="false" customHeight="false" outlineLevel="0" collapsed="false">
      <c r="A199" s="26"/>
      <c r="B199" s="26"/>
      <c r="C199" s="26"/>
      <c r="D199" s="26"/>
      <c r="E199" s="26"/>
      <c r="F199" s="39"/>
    </row>
    <row r="200" customFormat="false" ht="13.2" hidden="false" customHeight="false" outlineLevel="0" collapsed="false">
      <c r="A200" s="26"/>
      <c r="B200" s="26"/>
      <c r="C200" s="26"/>
      <c r="D200" s="26"/>
      <c r="E200" s="26"/>
    </row>
    <row r="201" customFormat="false" ht="13.2" hidden="false" customHeight="false" outlineLevel="0" collapsed="false">
      <c r="A201" s="26"/>
      <c r="B201" s="26"/>
      <c r="C201" s="26"/>
      <c r="D201" s="26"/>
      <c r="E201" s="26"/>
    </row>
    <row r="202" customFormat="false" ht="13.2" hidden="false" customHeight="false" outlineLevel="0" collapsed="false">
      <c r="A202" s="26"/>
      <c r="B202" s="26"/>
      <c r="C202" s="26"/>
      <c r="D202" s="26"/>
      <c r="E202" s="26"/>
    </row>
    <row r="203" customFormat="false" ht="13.2" hidden="false" customHeight="false" outlineLevel="0" collapsed="false">
      <c r="A203" s="39" t="s">
        <v>34</v>
      </c>
      <c r="B203" s="39"/>
      <c r="C203" s="39"/>
      <c r="D203" s="39"/>
      <c r="E203" s="41" t="s">
        <v>29</v>
      </c>
      <c r="F203" s="41"/>
    </row>
    <row r="207" customFormat="false" ht="18.6" hidden="false" customHeight="true" outlineLevel="0" collapsed="false">
      <c r="A207" s="118" t="s">
        <v>294</v>
      </c>
      <c r="B207" s="118"/>
      <c r="C207" s="118"/>
      <c r="D207" s="118"/>
      <c r="E207" s="118"/>
      <c r="F207" s="43"/>
    </row>
    <row r="208" customFormat="false" ht="13.8" hidden="false" customHeight="true" outlineLevel="0" collapsed="false">
      <c r="A208" s="119" t="s">
        <v>2</v>
      </c>
      <c r="B208" s="119"/>
      <c r="C208" s="119"/>
      <c r="D208" s="119"/>
      <c r="E208" s="119"/>
      <c r="F208" s="44"/>
    </row>
    <row r="209" customFormat="false" ht="16.8" hidden="false" customHeight="false" outlineLevel="0" collapsed="false">
      <c r="A209" s="13" t="s">
        <v>3</v>
      </c>
      <c r="B209" s="14"/>
      <c r="C209" s="14"/>
      <c r="D209" s="46"/>
      <c r="E209" s="46" t="s">
        <v>4</v>
      </c>
      <c r="F209" s="66"/>
    </row>
    <row r="210" customFormat="false" ht="33.6" hidden="false" customHeight="false" outlineLevel="0" collapsed="false">
      <c r="A210" s="17" t="s">
        <v>5</v>
      </c>
      <c r="B210" s="17" t="s">
        <v>5</v>
      </c>
      <c r="C210" s="17" t="s">
        <v>295</v>
      </c>
      <c r="D210" s="17" t="s">
        <v>7</v>
      </c>
      <c r="E210" s="17" t="s">
        <v>8</v>
      </c>
      <c r="F210" s="1"/>
    </row>
    <row r="211" customFormat="false" ht="16.8" hidden="false" customHeight="false" outlineLevel="0" collapsed="false">
      <c r="A211" s="19" t="s">
        <v>9</v>
      </c>
      <c r="B211" s="20" t="n">
        <f aca="false">E177</f>
        <v>1910</v>
      </c>
      <c r="C211" s="20" t="n">
        <v>210</v>
      </c>
      <c r="D211" s="20"/>
      <c r="E211" s="47" t="n">
        <f aca="false">B211+C211-D211</f>
        <v>2120</v>
      </c>
      <c r="F211" s="1"/>
    </row>
    <row r="212" customFormat="false" ht="33.6" hidden="false" customHeight="false" outlineLevel="0" collapsed="false">
      <c r="A212" s="97" t="s">
        <v>159</v>
      </c>
      <c r="B212" s="20" t="n">
        <f aca="false">E178</f>
        <v>152215</v>
      </c>
      <c r="C212" s="20" t="n">
        <v>23240</v>
      </c>
      <c r="D212" s="20"/>
      <c r="E212" s="47" t="n">
        <f aca="false">B212+C212-D212</f>
        <v>175455</v>
      </c>
      <c r="F212" s="1"/>
    </row>
    <row r="213" customFormat="false" ht="33.6" hidden="false" customHeight="false" outlineLevel="0" collapsed="false">
      <c r="A213" s="97" t="s">
        <v>202</v>
      </c>
      <c r="B213" s="20" t="n">
        <f aca="false">E179</f>
        <v>42670</v>
      </c>
      <c r="C213" s="20" t="n">
        <v>6010</v>
      </c>
      <c r="D213" s="20"/>
      <c r="E213" s="47" t="n">
        <f aca="false">B213+C213-D213</f>
        <v>48680</v>
      </c>
      <c r="F213" s="45"/>
    </row>
    <row r="214" customFormat="false" ht="16.8" hidden="false" customHeight="false" outlineLevel="0" collapsed="false">
      <c r="A214" s="19" t="s">
        <v>10</v>
      </c>
      <c r="B214" s="20" t="n">
        <f aca="false">E180</f>
        <v>1989122</v>
      </c>
      <c r="C214" s="20" t="n">
        <f aca="false">166996-C211</f>
        <v>166786</v>
      </c>
      <c r="D214" s="20"/>
      <c r="E214" s="47" t="n">
        <f aca="false">B214+C214-D214</f>
        <v>2155908</v>
      </c>
      <c r="F214" s="45"/>
    </row>
    <row r="215" customFormat="false" ht="16.8" hidden="false" customHeight="false" outlineLevel="0" collapsed="false">
      <c r="A215" s="21" t="s">
        <v>11</v>
      </c>
      <c r="B215" s="22" t="n">
        <f aca="false">SUM(B211:B214)</f>
        <v>2185917</v>
      </c>
      <c r="C215" s="22" t="n">
        <f aca="false">SUM(C211:C214)</f>
        <v>196246</v>
      </c>
      <c r="D215" s="22" t="n">
        <f aca="false">SUM(D211:D214)</f>
        <v>0</v>
      </c>
      <c r="E215" s="22" t="n">
        <f aca="false">SUM(E211:E214)</f>
        <v>2382163</v>
      </c>
      <c r="F215" s="121"/>
    </row>
    <row r="216" customFormat="false" ht="16.8" hidden="false" customHeight="false" outlineLevel="0" collapsed="false">
      <c r="A216" s="64" t="s">
        <v>87</v>
      </c>
      <c r="B216" s="64"/>
      <c r="C216" s="64"/>
      <c r="D216" s="64"/>
      <c r="E216" s="64"/>
      <c r="F216" s="45"/>
    </row>
    <row r="217" customFormat="false" ht="16.8" hidden="false" customHeight="false" outlineLevel="0" collapsed="false">
      <c r="A217" s="13" t="s">
        <v>12</v>
      </c>
      <c r="B217" s="13"/>
      <c r="C217" s="13"/>
      <c r="D217" s="13"/>
      <c r="E217" s="24"/>
      <c r="F217" s="24"/>
    </row>
    <row r="218" customFormat="false" ht="67.2" hidden="false" customHeight="false" outlineLevel="0" collapsed="false">
      <c r="A218" s="25" t="s">
        <v>13</v>
      </c>
      <c r="B218" s="17" t="s">
        <v>293</v>
      </c>
      <c r="C218" s="17" t="s">
        <v>290</v>
      </c>
      <c r="D218" s="93" t="s">
        <v>138</v>
      </c>
      <c r="E218" s="120" t="s">
        <v>16</v>
      </c>
    </row>
    <row r="219" customFormat="false" ht="33.6" hidden="false" customHeight="false" outlineLevel="0" collapsed="false">
      <c r="A219" s="49" t="s">
        <v>49</v>
      </c>
      <c r="B219" s="20" t="n">
        <f aca="false">B185+C185</f>
        <v>47500</v>
      </c>
      <c r="C219" s="20" t="n">
        <v>15200</v>
      </c>
      <c r="D219" s="20"/>
      <c r="E219" s="29"/>
    </row>
    <row r="220" customFormat="false" ht="16.8" hidden="false" customHeight="false" outlineLevel="0" collapsed="false">
      <c r="A220" s="49" t="s">
        <v>53</v>
      </c>
      <c r="B220" s="20" t="n">
        <f aca="false">B186+C186</f>
        <v>215410</v>
      </c>
      <c r="C220" s="19" t="n">
        <f aca="false">87410+2000</f>
        <v>89410</v>
      </c>
      <c r="D220" s="19"/>
      <c r="E220" s="51"/>
    </row>
    <row r="221" customFormat="false" ht="33.6" hidden="false" customHeight="false" outlineLevel="0" collapsed="false">
      <c r="A221" s="49" t="s">
        <v>269</v>
      </c>
      <c r="B221" s="20" t="n">
        <f aca="false">B187+C187</f>
        <v>267390</v>
      </c>
      <c r="C221" s="19" t="n">
        <v>1000</v>
      </c>
      <c r="D221" s="19"/>
      <c r="E221" s="51"/>
    </row>
    <row r="222" customFormat="false" ht="16.8" hidden="false" customHeight="false" outlineLevel="0" collapsed="false">
      <c r="A222" s="53" t="s">
        <v>18</v>
      </c>
      <c r="B222" s="20" t="n">
        <f aca="false">B188+C188</f>
        <v>0</v>
      </c>
      <c r="C222" s="20"/>
      <c r="D222" s="20"/>
      <c r="E222" s="20"/>
    </row>
    <row r="223" customFormat="false" ht="16.8" hidden="false" customHeight="false" outlineLevel="0" collapsed="false">
      <c r="A223" s="30" t="s">
        <v>11</v>
      </c>
      <c r="B223" s="89" t="n">
        <f aca="false">SUM(B219:B222)</f>
        <v>530300</v>
      </c>
      <c r="C223" s="94" t="n">
        <f aca="false">SUM(C219:C222)</f>
        <v>105610</v>
      </c>
      <c r="D223" s="89"/>
      <c r="E223" s="89"/>
    </row>
    <row r="224" customFormat="false" ht="16.8" hidden="false" customHeight="false" outlineLevel="0" collapsed="false">
      <c r="A224" s="55"/>
      <c r="B224" s="56"/>
      <c r="C224" s="100"/>
      <c r="F224" s="1"/>
    </row>
    <row r="225" customFormat="false" ht="16.8" hidden="false" customHeight="false" outlineLevel="0" collapsed="false">
      <c r="A225" s="13" t="s">
        <v>20</v>
      </c>
      <c r="B225" s="1"/>
      <c r="C225" s="1"/>
      <c r="D225" s="1"/>
      <c r="E225" s="1"/>
      <c r="F225" s="1"/>
    </row>
    <row r="226" customFormat="false" ht="16.8" hidden="false" customHeight="false" outlineLevel="0" collapsed="false">
      <c r="A226" s="17" t="s">
        <v>13</v>
      </c>
      <c r="B226" s="17" t="s">
        <v>21</v>
      </c>
      <c r="C226" s="18"/>
      <c r="D226" s="18"/>
      <c r="E226" s="1"/>
      <c r="F226" s="1"/>
    </row>
    <row r="227" customFormat="false" ht="16.8" hidden="false" customHeight="false" outlineLevel="0" collapsed="false">
      <c r="A227" s="33" t="s">
        <v>22</v>
      </c>
      <c r="B227" s="34" t="n">
        <v>57750</v>
      </c>
      <c r="C227" s="1"/>
      <c r="D227" s="1"/>
      <c r="E227" s="39"/>
      <c r="F227" s="1"/>
    </row>
    <row r="228" customFormat="false" ht="16.8" hidden="false" customHeight="false" outlineLevel="0" collapsed="false">
      <c r="A228" s="33" t="s">
        <v>17</v>
      </c>
      <c r="B228" s="34" t="n">
        <v>323540</v>
      </c>
      <c r="C228" s="1"/>
      <c r="D228" s="1"/>
      <c r="E228" s="26"/>
      <c r="F228" s="39"/>
    </row>
    <row r="229" customFormat="false" ht="16.8" hidden="false" customHeight="false" outlineLevel="0" collapsed="false">
      <c r="A229" s="33" t="s">
        <v>18</v>
      </c>
      <c r="B229" s="34" t="n">
        <v>14250</v>
      </c>
      <c r="C229" s="1"/>
      <c r="D229" s="1"/>
      <c r="E229" s="26"/>
      <c r="F229" s="26"/>
    </row>
    <row r="230" customFormat="false" ht="16.8" hidden="false" customHeight="false" outlineLevel="0" collapsed="false">
      <c r="A230" s="25" t="s">
        <v>11</v>
      </c>
      <c r="B230" s="35" t="n">
        <f aca="false">SUM(B227:B229)</f>
        <v>395540</v>
      </c>
      <c r="C230" s="1"/>
      <c r="D230" s="1"/>
      <c r="E230" s="123"/>
      <c r="F230" s="26"/>
    </row>
    <row r="231" customFormat="false" ht="13.2" hidden="false" customHeight="false" outlineLevel="0" collapsed="false">
      <c r="A231" s="1"/>
      <c r="B231" s="1"/>
      <c r="C231" s="1"/>
      <c r="D231" s="1"/>
      <c r="E231" s="26"/>
      <c r="F231" s="26"/>
    </row>
    <row r="232" customFormat="false" ht="13.2" hidden="false" customHeight="false" outlineLevel="0" collapsed="false">
      <c r="A232" s="39" t="s">
        <v>23</v>
      </c>
      <c r="B232" s="39" t="s">
        <v>24</v>
      </c>
      <c r="C232" s="39" t="s">
        <v>25</v>
      </c>
      <c r="D232" s="39" t="s">
        <v>26</v>
      </c>
      <c r="E232" s="41" t="s">
        <v>27</v>
      </c>
      <c r="F232" s="41"/>
    </row>
    <row r="233" customFormat="false" ht="13.2" hidden="false" customHeight="false" outlineLevel="0" collapsed="false">
      <c r="A233" s="26"/>
      <c r="B233" s="26"/>
      <c r="C233" s="26"/>
      <c r="D233" s="26"/>
      <c r="E233" s="26"/>
      <c r="F233" s="39"/>
    </row>
    <row r="234" customFormat="false" ht="13.2" hidden="false" customHeight="false" outlineLevel="0" collapsed="false">
      <c r="A234" s="26"/>
      <c r="B234" s="26"/>
      <c r="C234" s="26"/>
      <c r="D234" s="26"/>
      <c r="E234" s="26"/>
    </row>
    <row r="235" customFormat="false" ht="13.2" hidden="false" customHeight="false" outlineLevel="0" collapsed="false">
      <c r="A235" s="26"/>
      <c r="B235" s="26"/>
      <c r="C235" s="26"/>
      <c r="D235" s="26"/>
      <c r="E235" s="26"/>
    </row>
    <row r="236" customFormat="false" ht="13.2" hidden="false" customHeight="false" outlineLevel="0" collapsed="false">
      <c r="A236" s="26"/>
      <c r="B236" s="26"/>
      <c r="C236" s="26"/>
      <c r="D236" s="26"/>
      <c r="E236" s="26"/>
    </row>
    <row r="237" customFormat="false" ht="13.2" hidden="false" customHeight="false" outlineLevel="0" collapsed="false">
      <c r="A237" s="39" t="s">
        <v>34</v>
      </c>
      <c r="B237" s="39"/>
      <c r="C237" s="39"/>
      <c r="D237" s="39"/>
      <c r="E237" s="41" t="s">
        <v>29</v>
      </c>
      <c r="F237" s="41"/>
    </row>
    <row r="241" customFormat="false" ht="18.6" hidden="false" customHeight="true" outlineLevel="0" collapsed="false">
      <c r="A241" s="118" t="s">
        <v>296</v>
      </c>
      <c r="B241" s="118"/>
      <c r="C241" s="118"/>
      <c r="D241" s="118"/>
      <c r="E241" s="118"/>
      <c r="F241" s="43"/>
    </row>
    <row r="242" customFormat="false" ht="13.8" hidden="false" customHeight="true" outlineLevel="0" collapsed="false">
      <c r="A242" s="119" t="s">
        <v>2</v>
      </c>
      <c r="B242" s="119"/>
      <c r="C242" s="119"/>
      <c r="D242" s="119"/>
      <c r="E242" s="119"/>
      <c r="F242" s="44"/>
    </row>
    <row r="243" customFormat="false" ht="16.8" hidden="false" customHeight="false" outlineLevel="0" collapsed="false">
      <c r="A243" s="13" t="s">
        <v>3</v>
      </c>
      <c r="B243" s="14"/>
      <c r="C243" s="14"/>
      <c r="D243" s="46"/>
      <c r="E243" s="46" t="s">
        <v>4</v>
      </c>
      <c r="F243" s="66"/>
    </row>
    <row r="244" customFormat="false" ht="33.6" hidden="false" customHeight="false" outlineLevel="0" collapsed="false">
      <c r="A244" s="17" t="s">
        <v>5</v>
      </c>
      <c r="B244" s="17" t="s">
        <v>5</v>
      </c>
      <c r="C244" s="17" t="s">
        <v>297</v>
      </c>
      <c r="D244" s="17" t="s">
        <v>7</v>
      </c>
      <c r="E244" s="17" t="s">
        <v>8</v>
      </c>
      <c r="F244" s="1"/>
    </row>
    <row r="245" customFormat="false" ht="16.8" hidden="false" customHeight="false" outlineLevel="0" collapsed="false">
      <c r="A245" s="19" t="s">
        <v>9</v>
      </c>
      <c r="B245" s="20" t="n">
        <f aca="false">E211</f>
        <v>2120</v>
      </c>
      <c r="C245" s="20"/>
      <c r="D245" s="20"/>
      <c r="E245" s="47" t="n">
        <f aca="false">B245+C245-D245</f>
        <v>2120</v>
      </c>
      <c r="F245" s="1"/>
    </row>
    <row r="246" customFormat="false" ht="33.6" hidden="false" customHeight="false" outlineLevel="0" collapsed="false">
      <c r="A246" s="97" t="s">
        <v>159</v>
      </c>
      <c r="B246" s="20" t="n">
        <f aca="false">E212</f>
        <v>175455</v>
      </c>
      <c r="C246" s="20" t="n">
        <v>30905</v>
      </c>
      <c r="D246" s="20"/>
      <c r="E246" s="47" t="n">
        <f aca="false">B246+C246-D246</f>
        <v>206360</v>
      </c>
      <c r="F246" s="1"/>
    </row>
    <row r="247" customFormat="false" ht="33.6" hidden="false" customHeight="false" outlineLevel="0" collapsed="false">
      <c r="A247" s="97" t="s">
        <v>202</v>
      </c>
      <c r="B247" s="20" t="n">
        <f aca="false">E213</f>
        <v>48680</v>
      </c>
      <c r="C247" s="20" t="n">
        <v>4365</v>
      </c>
      <c r="D247" s="20"/>
      <c r="E247" s="47" t="n">
        <f aca="false">B247+C247-D247</f>
        <v>53045</v>
      </c>
      <c r="F247" s="45"/>
    </row>
    <row r="248" customFormat="false" ht="16.8" hidden="false" customHeight="false" outlineLevel="0" collapsed="false">
      <c r="A248" s="19" t="s">
        <v>10</v>
      </c>
      <c r="B248" s="20" t="n">
        <f aca="false">E214</f>
        <v>2155908</v>
      </c>
      <c r="C248" s="20" t="n">
        <v>183895</v>
      </c>
      <c r="D248" s="20"/>
      <c r="E248" s="47" t="n">
        <f aca="false">B248+C248-D248</f>
        <v>2339803</v>
      </c>
      <c r="F248" s="45"/>
    </row>
    <row r="249" customFormat="false" ht="16.8" hidden="false" customHeight="false" outlineLevel="0" collapsed="false">
      <c r="A249" s="21" t="s">
        <v>11</v>
      </c>
      <c r="B249" s="22" t="n">
        <f aca="false">SUM(B245:B248)</f>
        <v>2382163</v>
      </c>
      <c r="C249" s="22" t="n">
        <f aca="false">SUM(C245:C248)</f>
        <v>219165</v>
      </c>
      <c r="D249" s="22" t="n">
        <f aca="false">SUM(D245:D248)</f>
        <v>0</v>
      </c>
      <c r="E249" s="22" t="n">
        <f aca="false">SUM(E245:E248)</f>
        <v>2601328</v>
      </c>
      <c r="F249" s="121"/>
    </row>
    <row r="250" customFormat="false" ht="16.8" hidden="false" customHeight="false" outlineLevel="0" collapsed="false">
      <c r="A250" s="64" t="s">
        <v>87</v>
      </c>
      <c r="B250" s="64"/>
      <c r="C250" s="64"/>
      <c r="D250" s="64"/>
      <c r="E250" s="64"/>
      <c r="F250" s="45"/>
    </row>
    <row r="251" customFormat="false" ht="16.8" hidden="false" customHeight="false" outlineLevel="0" collapsed="false">
      <c r="A251" s="13" t="s">
        <v>12</v>
      </c>
      <c r="B251" s="13"/>
      <c r="C251" s="13"/>
      <c r="D251" s="13"/>
      <c r="E251" s="24"/>
      <c r="F251" s="24"/>
    </row>
    <row r="252" customFormat="false" ht="67.2" hidden="false" customHeight="false" outlineLevel="0" collapsed="false">
      <c r="A252" s="25" t="s">
        <v>13</v>
      </c>
      <c r="B252" s="17" t="s">
        <v>298</v>
      </c>
      <c r="C252" s="17" t="s">
        <v>299</v>
      </c>
      <c r="D252" s="93" t="s">
        <v>138</v>
      </c>
      <c r="E252" s="120" t="s">
        <v>16</v>
      </c>
    </row>
    <row r="253" customFormat="false" ht="33.6" hidden="false" customHeight="false" outlineLevel="0" collapsed="false">
      <c r="A253" s="49" t="s">
        <v>49</v>
      </c>
      <c r="B253" s="20" t="n">
        <f aca="false">40200+15200</f>
        <v>55400</v>
      </c>
      <c r="C253" s="20" t="n">
        <v>8650</v>
      </c>
      <c r="D253" s="20"/>
      <c r="E253" s="29"/>
    </row>
    <row r="254" customFormat="false" ht="16.8" hidden="false" customHeight="false" outlineLevel="0" collapsed="false">
      <c r="A254" s="49" t="s">
        <v>53</v>
      </c>
      <c r="B254" s="20" t="n">
        <f aca="false">215410+89410</f>
        <v>304820</v>
      </c>
      <c r="C254" s="19" t="n">
        <f aca="false">88340+1200</f>
        <v>89540</v>
      </c>
      <c r="D254" s="19"/>
      <c r="E254" s="51"/>
    </row>
    <row r="255" customFormat="false" ht="33.6" hidden="false" customHeight="false" outlineLevel="0" collapsed="false">
      <c r="A255" s="49" t="s">
        <v>269</v>
      </c>
      <c r="B255" s="20" t="n">
        <f aca="false">267390+1000</f>
        <v>268390</v>
      </c>
      <c r="C255" s="19" t="n">
        <v>9720</v>
      </c>
      <c r="D255" s="19"/>
      <c r="E255" s="51"/>
    </row>
    <row r="256" customFormat="false" ht="16.8" hidden="false" customHeight="false" outlineLevel="0" collapsed="false">
      <c r="A256" s="53" t="s">
        <v>18</v>
      </c>
      <c r="B256" s="20" t="n">
        <f aca="false">B222+C222</f>
        <v>0</v>
      </c>
      <c r="C256" s="20"/>
      <c r="D256" s="20"/>
      <c r="E256" s="20"/>
    </row>
    <row r="257" customFormat="false" ht="16.8" hidden="false" customHeight="false" outlineLevel="0" collapsed="false">
      <c r="A257" s="30" t="s">
        <v>11</v>
      </c>
      <c r="B257" s="89" t="n">
        <f aca="false">SUM(B253:B256)</f>
        <v>628610</v>
      </c>
      <c r="C257" s="94" t="n">
        <f aca="false">SUM(C253:C256)</f>
        <v>107910</v>
      </c>
      <c r="D257" s="89"/>
      <c r="E257" s="89"/>
    </row>
    <row r="258" customFormat="false" ht="16.8" hidden="false" customHeight="false" outlineLevel="0" collapsed="false">
      <c r="A258" s="55"/>
      <c r="B258" s="56"/>
      <c r="C258" s="100"/>
      <c r="F258" s="1"/>
    </row>
    <row r="259" customFormat="false" ht="16.8" hidden="false" customHeight="false" outlineLevel="0" collapsed="false">
      <c r="A259" s="13" t="s">
        <v>20</v>
      </c>
      <c r="B259" s="1"/>
      <c r="C259" s="1"/>
      <c r="D259" s="1"/>
      <c r="E259" s="1"/>
      <c r="F259" s="1"/>
    </row>
    <row r="260" customFormat="false" ht="16.8" hidden="false" customHeight="false" outlineLevel="0" collapsed="false">
      <c r="A260" s="17" t="s">
        <v>13</v>
      </c>
      <c r="B260" s="17" t="s">
        <v>21</v>
      </c>
      <c r="C260" s="18"/>
      <c r="D260" s="18"/>
      <c r="E260" s="1"/>
      <c r="F260" s="1"/>
    </row>
    <row r="261" customFormat="false" ht="16.8" hidden="false" customHeight="false" outlineLevel="0" collapsed="false">
      <c r="A261" s="33" t="s">
        <v>22</v>
      </c>
      <c r="B261" s="34" t="n">
        <v>66400</v>
      </c>
      <c r="C261" s="1"/>
      <c r="D261" s="1"/>
      <c r="E261" s="39"/>
      <c r="F261" s="1"/>
    </row>
    <row r="262" customFormat="false" ht="16.8" hidden="false" customHeight="false" outlineLevel="0" collapsed="false">
      <c r="A262" s="33" t="s">
        <v>17</v>
      </c>
      <c r="B262" s="34" t="n">
        <f aca="false">383450-B261-14250</f>
        <v>302800</v>
      </c>
      <c r="C262" s="1"/>
      <c r="D262" s="1"/>
      <c r="E262" s="26"/>
      <c r="F262" s="39"/>
    </row>
    <row r="263" customFormat="false" ht="16.8" hidden="false" customHeight="false" outlineLevel="0" collapsed="false">
      <c r="A263" s="33" t="s">
        <v>18</v>
      </c>
      <c r="B263" s="34" t="n">
        <v>14250</v>
      </c>
      <c r="C263" s="1"/>
      <c r="D263" s="1"/>
      <c r="E263" s="26"/>
      <c r="F263" s="26"/>
    </row>
    <row r="264" customFormat="false" ht="16.8" hidden="false" customHeight="false" outlineLevel="0" collapsed="false">
      <c r="A264" s="25" t="s">
        <v>11</v>
      </c>
      <c r="B264" s="35" t="n">
        <f aca="false">SUM(B261:B263)</f>
        <v>383450</v>
      </c>
      <c r="C264" s="1"/>
      <c r="D264" s="1"/>
      <c r="E264" s="123"/>
      <c r="F264" s="26"/>
    </row>
    <row r="265" customFormat="false" ht="13.2" hidden="false" customHeight="false" outlineLevel="0" collapsed="false">
      <c r="A265" s="1"/>
      <c r="B265" s="1"/>
      <c r="C265" s="1"/>
      <c r="D265" s="1"/>
      <c r="E265" s="26"/>
      <c r="F265" s="26"/>
    </row>
    <row r="266" customFormat="false" ht="13.2" hidden="false" customHeight="false" outlineLevel="0" collapsed="false">
      <c r="A266" s="39" t="s">
        <v>23</v>
      </c>
      <c r="B266" s="39" t="s">
        <v>24</v>
      </c>
      <c r="C266" s="39" t="s">
        <v>25</v>
      </c>
      <c r="D266" s="39" t="s">
        <v>26</v>
      </c>
      <c r="E266" s="41" t="s">
        <v>27</v>
      </c>
      <c r="F266" s="41"/>
    </row>
    <row r="267" customFormat="false" ht="13.2" hidden="false" customHeight="false" outlineLevel="0" collapsed="false">
      <c r="A267" s="26"/>
      <c r="B267" s="26"/>
      <c r="C267" s="26"/>
      <c r="D267" s="26"/>
      <c r="E267" s="26"/>
      <c r="F267" s="39"/>
    </row>
    <row r="268" customFormat="false" ht="13.2" hidden="false" customHeight="false" outlineLevel="0" collapsed="false">
      <c r="A268" s="26"/>
      <c r="B268" s="26"/>
      <c r="C268" s="26"/>
      <c r="D268" s="26"/>
      <c r="E268" s="26"/>
    </row>
    <row r="269" customFormat="false" ht="13.2" hidden="false" customHeight="false" outlineLevel="0" collapsed="false">
      <c r="A269" s="26"/>
      <c r="B269" s="26"/>
      <c r="C269" s="26"/>
      <c r="D269" s="26"/>
      <c r="E269" s="26"/>
    </row>
    <row r="270" customFormat="false" ht="13.2" hidden="false" customHeight="false" outlineLevel="0" collapsed="false">
      <c r="A270" s="26"/>
      <c r="B270" s="26"/>
      <c r="C270" s="26"/>
      <c r="D270" s="26"/>
      <c r="E270" s="26"/>
    </row>
    <row r="271" customFormat="false" ht="13.2" hidden="false" customHeight="false" outlineLevel="0" collapsed="false">
      <c r="A271" s="39" t="s">
        <v>34</v>
      </c>
      <c r="B271" s="39"/>
      <c r="C271" s="39"/>
      <c r="D271" s="39"/>
      <c r="E271" s="41" t="s">
        <v>29</v>
      </c>
      <c r="F271" s="41"/>
    </row>
    <row r="275" customFormat="false" ht="18.6" hidden="false" customHeight="true" outlineLevel="0" collapsed="false">
      <c r="A275" s="118" t="s">
        <v>300</v>
      </c>
      <c r="B275" s="118"/>
      <c r="C275" s="118"/>
      <c r="D275" s="118"/>
      <c r="E275" s="118"/>
      <c r="F275" s="43"/>
    </row>
    <row r="276" customFormat="false" ht="13.8" hidden="false" customHeight="true" outlineLevel="0" collapsed="false">
      <c r="A276" s="119" t="s">
        <v>2</v>
      </c>
      <c r="B276" s="119"/>
      <c r="C276" s="119"/>
      <c r="D276" s="119"/>
      <c r="E276" s="119"/>
      <c r="F276" s="44"/>
    </row>
    <row r="277" customFormat="false" ht="16.8" hidden="false" customHeight="false" outlineLevel="0" collapsed="false">
      <c r="A277" s="13" t="s">
        <v>3</v>
      </c>
      <c r="B277" s="14"/>
      <c r="C277" s="14"/>
      <c r="D277" s="46"/>
      <c r="E277" s="46" t="s">
        <v>4</v>
      </c>
      <c r="F277" s="66"/>
    </row>
    <row r="278" customFormat="false" ht="33.6" hidden="false" customHeight="false" outlineLevel="0" collapsed="false">
      <c r="A278" s="17" t="s">
        <v>5</v>
      </c>
      <c r="B278" s="17" t="s">
        <v>5</v>
      </c>
      <c r="C278" s="17" t="s">
        <v>301</v>
      </c>
      <c r="D278" s="17" t="s">
        <v>7</v>
      </c>
      <c r="E278" s="17" t="s">
        <v>8</v>
      </c>
      <c r="F278" s="1"/>
    </row>
    <row r="279" customFormat="false" ht="16.8" hidden="false" customHeight="false" outlineLevel="0" collapsed="false">
      <c r="A279" s="19" t="s">
        <v>9</v>
      </c>
      <c r="B279" s="20" t="n">
        <f aca="false">E245</f>
        <v>2120</v>
      </c>
      <c r="C279" s="20"/>
      <c r="D279" s="20"/>
      <c r="E279" s="47" t="n">
        <f aca="false">B279+C279-D279</f>
        <v>2120</v>
      </c>
      <c r="F279" s="1"/>
    </row>
    <row r="280" customFormat="false" ht="33.6" hidden="false" customHeight="false" outlineLevel="0" collapsed="false">
      <c r="A280" s="97" t="s">
        <v>159</v>
      </c>
      <c r="B280" s="20" t="n">
        <f aca="false">E246</f>
        <v>206360</v>
      </c>
      <c r="C280" s="20" t="n">
        <v>24370</v>
      </c>
      <c r="D280" s="20"/>
      <c r="E280" s="47" t="n">
        <f aca="false">B280+C280-D280</f>
        <v>230730</v>
      </c>
      <c r="F280" s="1"/>
    </row>
    <row r="281" customFormat="false" ht="33.6" hidden="false" customHeight="false" outlineLevel="0" collapsed="false">
      <c r="A281" s="97" t="s">
        <v>202</v>
      </c>
      <c r="B281" s="20" t="n">
        <f aca="false">E247</f>
        <v>53045</v>
      </c>
      <c r="C281" s="20" t="n">
        <v>3430</v>
      </c>
      <c r="D281" s="20"/>
      <c r="E281" s="47" t="n">
        <f aca="false">B281+C281-D281</f>
        <v>56475</v>
      </c>
      <c r="F281" s="45"/>
    </row>
    <row r="282" customFormat="false" ht="16.8" hidden="false" customHeight="false" outlineLevel="0" collapsed="false">
      <c r="A282" s="19" t="s">
        <v>10</v>
      </c>
      <c r="B282" s="20" t="n">
        <f aca="false">E248</f>
        <v>2339803</v>
      </c>
      <c r="C282" s="20" t="n">
        <v>161719</v>
      </c>
      <c r="D282" s="20"/>
      <c r="E282" s="47" t="n">
        <f aca="false">B282+C282-D282</f>
        <v>2501522</v>
      </c>
      <c r="F282" s="45"/>
    </row>
    <row r="283" customFormat="false" ht="16.8" hidden="false" customHeight="false" outlineLevel="0" collapsed="false">
      <c r="A283" s="21" t="s">
        <v>11</v>
      </c>
      <c r="B283" s="22" t="n">
        <f aca="false">SUM(B279:B282)</f>
        <v>2601328</v>
      </c>
      <c r="C283" s="22" t="n">
        <f aca="false">SUM(C279:C282)</f>
        <v>189519</v>
      </c>
      <c r="D283" s="22" t="n">
        <f aca="false">SUM(D279:D282)</f>
        <v>0</v>
      </c>
      <c r="E283" s="22" t="n">
        <f aca="false">SUM(E279:E282)</f>
        <v>2790847</v>
      </c>
      <c r="F283" s="121"/>
    </row>
    <row r="284" customFormat="false" ht="16.8" hidden="false" customHeight="false" outlineLevel="0" collapsed="false">
      <c r="A284" s="64" t="s">
        <v>87</v>
      </c>
      <c r="B284" s="64"/>
      <c r="C284" s="64"/>
      <c r="D284" s="64"/>
      <c r="E284" s="64"/>
      <c r="F284" s="45"/>
    </row>
    <row r="285" customFormat="false" ht="16.8" hidden="false" customHeight="false" outlineLevel="0" collapsed="false">
      <c r="A285" s="13" t="s">
        <v>12</v>
      </c>
      <c r="B285" s="13"/>
      <c r="C285" s="13"/>
      <c r="D285" s="13"/>
      <c r="E285" s="24"/>
      <c r="F285" s="24"/>
    </row>
    <row r="286" customFormat="false" ht="67.2" hidden="false" customHeight="false" outlineLevel="0" collapsed="false">
      <c r="A286" s="25" t="s">
        <v>13</v>
      </c>
      <c r="B286" s="17" t="s">
        <v>302</v>
      </c>
      <c r="C286" s="17" t="s">
        <v>303</v>
      </c>
      <c r="D286" s="93" t="s">
        <v>138</v>
      </c>
      <c r="E286" s="120" t="s">
        <v>16</v>
      </c>
    </row>
    <row r="287" customFormat="false" ht="33.6" hidden="false" customHeight="false" outlineLevel="0" collapsed="false">
      <c r="A287" s="49" t="s">
        <v>49</v>
      </c>
      <c r="B287" s="20" t="n">
        <f aca="false">40200+15200+C253+7300</f>
        <v>71350</v>
      </c>
      <c r="C287" s="20" t="n">
        <v>7400</v>
      </c>
      <c r="D287" s="20"/>
      <c r="E287" s="29"/>
    </row>
    <row r="288" customFormat="false" ht="16.8" hidden="false" customHeight="false" outlineLevel="0" collapsed="false">
      <c r="A288" s="49" t="s">
        <v>53</v>
      </c>
      <c r="B288" s="20" t="n">
        <f aca="false">215410+89410+C254+1320</f>
        <v>395680</v>
      </c>
      <c r="C288" s="19" t="n">
        <v>20800</v>
      </c>
      <c r="D288" s="19"/>
      <c r="E288" s="51"/>
    </row>
    <row r="289" customFormat="false" ht="33.6" hidden="false" customHeight="false" outlineLevel="0" collapsed="false">
      <c r="A289" s="49" t="s">
        <v>269</v>
      </c>
      <c r="B289" s="20" t="n">
        <f aca="false">267390+1000+C255</f>
        <v>278110</v>
      </c>
      <c r="C289" s="19" t="n">
        <v>17280</v>
      </c>
      <c r="D289" s="19"/>
      <c r="E289" s="51"/>
    </row>
    <row r="290" customFormat="false" ht="16.8" hidden="false" customHeight="false" outlineLevel="0" collapsed="false">
      <c r="A290" s="53" t="s">
        <v>18</v>
      </c>
      <c r="B290" s="20" t="n">
        <f aca="false">B256+C256</f>
        <v>0</v>
      </c>
      <c r="C290" s="20"/>
      <c r="D290" s="20"/>
      <c r="E290" s="20"/>
    </row>
    <row r="291" customFormat="false" ht="16.8" hidden="false" customHeight="false" outlineLevel="0" collapsed="false">
      <c r="A291" s="30" t="s">
        <v>11</v>
      </c>
      <c r="B291" s="89" t="n">
        <f aca="false">SUM(B287:B290)</f>
        <v>745140</v>
      </c>
      <c r="C291" s="94" t="n">
        <f aca="false">SUM(C287:C290)</f>
        <v>45480</v>
      </c>
      <c r="D291" s="89"/>
      <c r="E291" s="89"/>
    </row>
    <row r="292" customFormat="false" ht="16.8" hidden="false" customHeight="false" outlineLevel="0" collapsed="false">
      <c r="A292" s="55"/>
      <c r="B292" s="56"/>
      <c r="C292" s="100"/>
      <c r="F292" s="1"/>
    </row>
    <row r="293" customFormat="false" ht="16.8" hidden="false" customHeight="false" outlineLevel="0" collapsed="false">
      <c r="A293" s="13" t="s">
        <v>20</v>
      </c>
      <c r="B293" s="1"/>
      <c r="C293" s="1"/>
      <c r="D293" s="1"/>
      <c r="E293" s="1"/>
      <c r="F293" s="1"/>
    </row>
    <row r="294" customFormat="false" ht="16.8" hidden="false" customHeight="false" outlineLevel="0" collapsed="false">
      <c r="A294" s="17" t="s">
        <v>13</v>
      </c>
      <c r="B294" s="17" t="s">
        <v>21</v>
      </c>
      <c r="C294" s="18"/>
      <c r="D294" s="18"/>
      <c r="E294" s="1"/>
      <c r="F294" s="1"/>
    </row>
    <row r="295" customFormat="false" ht="16.8" hidden="false" customHeight="false" outlineLevel="0" collapsed="false">
      <c r="A295" s="33" t="s">
        <v>22</v>
      </c>
      <c r="B295" s="34" t="n">
        <v>73800</v>
      </c>
      <c r="C295" s="1"/>
      <c r="D295" s="1"/>
      <c r="E295" s="39"/>
      <c r="F295" s="1"/>
    </row>
    <row r="296" customFormat="false" ht="16.8" hidden="false" customHeight="false" outlineLevel="0" collapsed="false">
      <c r="A296" s="33" t="s">
        <v>17</v>
      </c>
      <c r="B296" s="34" t="n">
        <v>262200</v>
      </c>
      <c r="C296" s="1"/>
      <c r="D296" s="1"/>
      <c r="E296" s="26"/>
      <c r="F296" s="39"/>
    </row>
    <row r="297" customFormat="false" ht="16.8" hidden="false" customHeight="false" outlineLevel="0" collapsed="false">
      <c r="A297" s="33" t="s">
        <v>18</v>
      </c>
      <c r="B297" s="34" t="n">
        <v>14250</v>
      </c>
      <c r="C297" s="1"/>
      <c r="D297" s="1"/>
      <c r="E297" s="26"/>
      <c r="F297" s="26"/>
    </row>
    <row r="298" customFormat="false" ht="16.8" hidden="false" customHeight="false" outlineLevel="0" collapsed="false">
      <c r="A298" s="25" t="s">
        <v>11</v>
      </c>
      <c r="B298" s="35" t="n">
        <f aca="false">SUM(B295:B297)</f>
        <v>350250</v>
      </c>
      <c r="C298" s="1"/>
      <c r="D298" s="1"/>
      <c r="E298" s="123"/>
      <c r="F298" s="26"/>
    </row>
    <row r="299" customFormat="false" ht="13.2" hidden="false" customHeight="false" outlineLevel="0" collapsed="false">
      <c r="A299" s="1"/>
      <c r="B299" s="1"/>
      <c r="C299" s="1"/>
      <c r="D299" s="1"/>
      <c r="E299" s="26"/>
      <c r="F299" s="26"/>
    </row>
    <row r="300" customFormat="false" ht="13.2" hidden="false" customHeight="false" outlineLevel="0" collapsed="false">
      <c r="A300" s="39" t="s">
        <v>23</v>
      </c>
      <c r="B300" s="39" t="s">
        <v>24</v>
      </c>
      <c r="C300" s="39" t="s">
        <v>25</v>
      </c>
      <c r="D300" s="39" t="s">
        <v>26</v>
      </c>
      <c r="E300" s="41" t="s">
        <v>27</v>
      </c>
      <c r="F300" s="41"/>
    </row>
    <row r="301" customFormat="false" ht="13.2" hidden="false" customHeight="false" outlineLevel="0" collapsed="false">
      <c r="A301" s="26"/>
      <c r="B301" s="26"/>
      <c r="C301" s="26"/>
      <c r="D301" s="26"/>
      <c r="E301" s="26"/>
      <c r="F301" s="39"/>
    </row>
    <row r="302" customFormat="false" ht="13.2" hidden="false" customHeight="false" outlineLevel="0" collapsed="false">
      <c r="A302" s="26"/>
      <c r="B302" s="26"/>
      <c r="C302" s="26"/>
      <c r="D302" s="26"/>
      <c r="E302" s="26"/>
    </row>
    <row r="303" customFormat="false" ht="13.2" hidden="false" customHeight="false" outlineLevel="0" collapsed="false">
      <c r="A303" s="26"/>
      <c r="B303" s="26"/>
      <c r="C303" s="26"/>
      <c r="D303" s="26"/>
      <c r="E303" s="26"/>
    </row>
    <row r="304" customFormat="false" ht="13.2" hidden="false" customHeight="false" outlineLevel="0" collapsed="false">
      <c r="A304" s="26"/>
      <c r="B304" s="26"/>
      <c r="C304" s="26"/>
      <c r="D304" s="26"/>
      <c r="E304" s="26"/>
    </row>
    <row r="305" customFormat="false" ht="13.2" hidden="false" customHeight="false" outlineLevel="0" collapsed="false">
      <c r="A305" s="39" t="s">
        <v>34</v>
      </c>
      <c r="B305" s="39"/>
      <c r="C305" s="39"/>
      <c r="D305" s="39"/>
      <c r="E305" s="41" t="s">
        <v>29</v>
      </c>
      <c r="F305" s="41"/>
    </row>
    <row r="310" customFormat="false" ht="18.6" hidden="false" customHeight="true" outlineLevel="0" collapsed="false">
      <c r="A310" s="118" t="s">
        <v>304</v>
      </c>
      <c r="B310" s="118"/>
      <c r="C310" s="118"/>
      <c r="D310" s="118"/>
      <c r="E310" s="118"/>
      <c r="F310" s="43"/>
    </row>
    <row r="311" customFormat="false" ht="13.8" hidden="false" customHeight="true" outlineLevel="0" collapsed="false">
      <c r="A311" s="119" t="s">
        <v>2</v>
      </c>
      <c r="B311" s="119"/>
      <c r="C311" s="119"/>
      <c r="D311" s="119"/>
      <c r="E311" s="119"/>
      <c r="F311" s="44"/>
    </row>
    <row r="312" customFormat="false" ht="16.8" hidden="false" customHeight="false" outlineLevel="0" collapsed="false">
      <c r="A312" s="13" t="s">
        <v>3</v>
      </c>
      <c r="B312" s="14"/>
      <c r="C312" s="14"/>
      <c r="D312" s="46"/>
      <c r="E312" s="46" t="s">
        <v>4</v>
      </c>
      <c r="F312" s="66"/>
    </row>
    <row r="313" customFormat="false" ht="33.6" hidden="false" customHeight="false" outlineLevel="0" collapsed="false">
      <c r="A313" s="17" t="s">
        <v>5</v>
      </c>
      <c r="B313" s="17" t="s">
        <v>5</v>
      </c>
      <c r="C313" s="17" t="s">
        <v>305</v>
      </c>
      <c r="D313" s="17" t="s">
        <v>7</v>
      </c>
      <c r="E313" s="17" t="s">
        <v>8</v>
      </c>
      <c r="F313" s="1"/>
    </row>
    <row r="314" customFormat="false" ht="16.8" hidden="false" customHeight="false" outlineLevel="0" collapsed="false">
      <c r="A314" s="19" t="s">
        <v>9</v>
      </c>
      <c r="B314" s="20" t="n">
        <f aca="false">E279</f>
        <v>2120</v>
      </c>
      <c r="C314" s="20" t="n">
        <v>600</v>
      </c>
      <c r="D314" s="20" t="n">
        <v>2720</v>
      </c>
      <c r="E314" s="47" t="n">
        <f aca="false">B314+C314-D314</f>
        <v>0</v>
      </c>
      <c r="F314" s="1"/>
    </row>
    <row r="315" customFormat="false" ht="33.6" hidden="false" customHeight="false" outlineLevel="0" collapsed="false">
      <c r="A315" s="97" t="s">
        <v>159</v>
      </c>
      <c r="B315" s="20" t="n">
        <f aca="false">E280</f>
        <v>230730</v>
      </c>
      <c r="C315" s="20" t="n">
        <v>28580</v>
      </c>
      <c r="D315" s="20" t="n">
        <v>259310</v>
      </c>
      <c r="E315" s="47" t="n">
        <f aca="false">B315+C315-D315</f>
        <v>0</v>
      </c>
      <c r="F315" s="1"/>
    </row>
    <row r="316" customFormat="false" ht="33.6" hidden="false" customHeight="false" outlineLevel="0" collapsed="false">
      <c r="A316" s="97" t="s">
        <v>202</v>
      </c>
      <c r="B316" s="20" t="n">
        <f aca="false">E281</f>
        <v>56475</v>
      </c>
      <c r="C316" s="20" t="n">
        <v>4895</v>
      </c>
      <c r="D316" s="20" t="n">
        <v>61370</v>
      </c>
      <c r="E316" s="47" t="n">
        <f aca="false">B316+C316-D316</f>
        <v>0</v>
      </c>
      <c r="F316" s="45"/>
    </row>
    <row r="317" customFormat="false" ht="16.8" hidden="false" customHeight="false" outlineLevel="0" collapsed="false">
      <c r="A317" s="19" t="s">
        <v>10</v>
      </c>
      <c r="B317" s="20" t="n">
        <f aca="false">E282</f>
        <v>2501522</v>
      </c>
      <c r="C317" s="20" t="n">
        <f aca="false">28656-C314</f>
        <v>28056</v>
      </c>
      <c r="D317" s="20" t="n">
        <v>2529578</v>
      </c>
      <c r="E317" s="47" t="n">
        <f aca="false">B317+C317-D317</f>
        <v>0</v>
      </c>
      <c r="F317" s="45"/>
    </row>
    <row r="318" customFormat="false" ht="16.8" hidden="false" customHeight="false" outlineLevel="0" collapsed="false">
      <c r="A318" s="21" t="s">
        <v>11</v>
      </c>
      <c r="B318" s="22" t="n">
        <f aca="false">SUM(B314:B317)</f>
        <v>2790847</v>
      </c>
      <c r="C318" s="22" t="n">
        <f aca="false">SUM(C314:C317)</f>
        <v>62131</v>
      </c>
      <c r="D318" s="22" t="n">
        <f aca="false">SUM(D314:D317)</f>
        <v>2852978</v>
      </c>
      <c r="E318" s="22" t="n">
        <f aca="false">SUM(E314:E317)</f>
        <v>0</v>
      </c>
      <c r="F318" s="121"/>
    </row>
    <row r="319" customFormat="false" ht="16.8" hidden="false" customHeight="false" outlineLevel="0" collapsed="false">
      <c r="A319" s="13" t="s">
        <v>12</v>
      </c>
      <c r="B319" s="13"/>
      <c r="C319" s="13"/>
      <c r="D319" s="13"/>
      <c r="E319" s="24"/>
      <c r="F319" s="24"/>
    </row>
    <row r="320" customFormat="false" ht="67.2" hidden="false" customHeight="false" outlineLevel="0" collapsed="false">
      <c r="A320" s="25" t="s">
        <v>13</v>
      </c>
      <c r="B320" s="17" t="s">
        <v>306</v>
      </c>
      <c r="C320" s="17" t="s">
        <v>307</v>
      </c>
      <c r="D320" s="93" t="s">
        <v>138</v>
      </c>
      <c r="E320" s="120" t="s">
        <v>16</v>
      </c>
    </row>
    <row r="321" customFormat="false" ht="33.6" hidden="false" customHeight="false" outlineLevel="0" collapsed="false">
      <c r="A321" s="49" t="s">
        <v>49</v>
      </c>
      <c r="B321" s="20" t="n">
        <f aca="false">B287+C287</f>
        <v>78750</v>
      </c>
      <c r="C321" s="20" t="n">
        <v>14800</v>
      </c>
      <c r="D321" s="20"/>
      <c r="E321" s="29" t="n">
        <f aca="false">(D314+D315)/(B321+C321)</f>
        <v>2.80096205237841</v>
      </c>
    </row>
    <row r="322" customFormat="false" ht="16.8" hidden="false" customHeight="false" outlineLevel="0" collapsed="false">
      <c r="A322" s="49" t="s">
        <v>53</v>
      </c>
      <c r="B322" s="20" t="n">
        <f aca="false">B288+C288</f>
        <v>416480</v>
      </c>
      <c r="C322" s="19" t="n">
        <v>3650</v>
      </c>
      <c r="D322" s="19"/>
      <c r="E322" s="122" t="n">
        <f aca="false">(D316+D317)/(B322+C322+B323+C323)</f>
        <v>3.46457531022679</v>
      </c>
    </row>
    <row r="323" customFormat="false" ht="33.6" hidden="false" customHeight="false" outlineLevel="0" collapsed="false">
      <c r="A323" s="49" t="s">
        <v>269</v>
      </c>
      <c r="B323" s="20" t="n">
        <f aca="false">B289+C289</f>
        <v>295390</v>
      </c>
      <c r="C323" s="19" t="n">
        <v>32320</v>
      </c>
      <c r="D323" s="19"/>
      <c r="E323" s="122"/>
    </row>
    <row r="324" customFormat="false" ht="16.8" hidden="false" customHeight="false" outlineLevel="0" collapsed="false">
      <c r="A324" s="53" t="s">
        <v>18</v>
      </c>
      <c r="B324" s="20" t="n">
        <f aca="false">B290+C290</f>
        <v>0</v>
      </c>
      <c r="C324" s="20"/>
      <c r="D324" s="20"/>
      <c r="E324" s="20"/>
    </row>
    <row r="325" customFormat="false" ht="16.8" hidden="false" customHeight="false" outlineLevel="0" collapsed="false">
      <c r="A325" s="30" t="s">
        <v>11</v>
      </c>
      <c r="B325" s="94" t="n">
        <f aca="false">SUM(B321:B324)</f>
        <v>790620</v>
      </c>
      <c r="C325" s="94" t="n">
        <f aca="false">SUM(C321:C324)</f>
        <v>50770</v>
      </c>
      <c r="D325" s="89"/>
      <c r="E325" s="89" t="n">
        <f aca="false">D318/(B325+C325)</f>
        <v>3.39079142846956</v>
      </c>
    </row>
    <row r="326" customFormat="false" ht="16.8" hidden="false" customHeight="false" outlineLevel="0" collapsed="false">
      <c r="A326" s="55"/>
      <c r="B326" s="56"/>
      <c r="C326" s="100"/>
      <c r="F326" s="1"/>
    </row>
    <row r="327" customFormat="false" ht="16.8" hidden="false" customHeight="false" outlineLevel="0" collapsed="false">
      <c r="A327" s="13" t="s">
        <v>20</v>
      </c>
      <c r="B327" s="1"/>
      <c r="C327" s="1"/>
      <c r="D327" s="1"/>
      <c r="E327" s="1"/>
      <c r="F327" s="1"/>
    </row>
    <row r="328" customFormat="false" ht="16.8" hidden="false" customHeight="false" outlineLevel="0" collapsed="false">
      <c r="A328" s="17" t="s">
        <v>13</v>
      </c>
      <c r="B328" s="17" t="s">
        <v>21</v>
      </c>
      <c r="C328" s="18"/>
      <c r="D328" s="18"/>
      <c r="E328" s="1"/>
      <c r="F328" s="1"/>
    </row>
    <row r="329" customFormat="false" ht="16.8" hidden="false" customHeight="false" outlineLevel="0" collapsed="false">
      <c r="A329" s="33" t="s">
        <v>22</v>
      </c>
      <c r="B329" s="34" t="n">
        <v>88600</v>
      </c>
      <c r="C329" s="1"/>
      <c r="D329" s="1"/>
      <c r="E329" s="39"/>
      <c r="F329" s="1"/>
    </row>
    <row r="330" customFormat="false" ht="16.8" hidden="false" customHeight="false" outlineLevel="0" collapsed="false">
      <c r="A330" s="33" t="s">
        <v>17</v>
      </c>
      <c r="B330" s="34" t="n">
        <f aca="false">315020-B329-B331</f>
        <v>212170</v>
      </c>
      <c r="C330" s="1"/>
      <c r="D330" s="1"/>
      <c r="E330" s="26"/>
      <c r="F330" s="39"/>
    </row>
    <row r="331" customFormat="false" ht="16.8" hidden="false" customHeight="false" outlineLevel="0" collapsed="false">
      <c r="A331" s="33" t="s">
        <v>18</v>
      </c>
      <c r="B331" s="34" t="n">
        <v>14250</v>
      </c>
      <c r="C331" s="1"/>
      <c r="D331" s="1"/>
      <c r="E331" s="26"/>
      <c r="F331" s="26"/>
    </row>
    <row r="332" customFormat="false" ht="16.8" hidden="false" customHeight="false" outlineLevel="0" collapsed="false">
      <c r="A332" s="25" t="s">
        <v>11</v>
      </c>
      <c r="B332" s="35" t="n">
        <f aca="false">SUM(B329:B331)</f>
        <v>315020</v>
      </c>
      <c r="C332" s="1"/>
      <c r="D332" s="1"/>
      <c r="E332" s="123"/>
      <c r="F332" s="26"/>
    </row>
    <row r="333" customFormat="false" ht="13.2" hidden="false" customHeight="false" outlineLevel="0" collapsed="false">
      <c r="A333" s="1"/>
      <c r="B333" s="1"/>
      <c r="C333" s="1"/>
      <c r="D333" s="1"/>
      <c r="E333" s="26"/>
      <c r="F333" s="26"/>
    </row>
    <row r="334" customFormat="false" ht="13.2" hidden="false" customHeight="false" outlineLevel="0" collapsed="false">
      <c r="A334" s="39" t="s">
        <v>23</v>
      </c>
      <c r="B334" s="39" t="s">
        <v>24</v>
      </c>
      <c r="C334" s="39" t="s">
        <v>25</v>
      </c>
      <c r="D334" s="39" t="s">
        <v>26</v>
      </c>
      <c r="E334" s="41" t="s">
        <v>27</v>
      </c>
      <c r="F334" s="41"/>
    </row>
    <row r="335" customFormat="false" ht="13.2" hidden="false" customHeight="false" outlineLevel="0" collapsed="false">
      <c r="A335" s="26"/>
      <c r="B335" s="26"/>
      <c r="C335" s="26"/>
      <c r="D335" s="26"/>
      <c r="E335" s="26"/>
      <c r="F335" s="39"/>
    </row>
    <row r="336" customFormat="false" ht="13.2" hidden="false" customHeight="false" outlineLevel="0" collapsed="false">
      <c r="A336" s="26"/>
      <c r="B336" s="26"/>
      <c r="C336" s="26"/>
      <c r="D336" s="26"/>
      <c r="E336" s="26"/>
    </row>
    <row r="337" customFormat="false" ht="13.2" hidden="false" customHeight="false" outlineLevel="0" collapsed="false">
      <c r="A337" s="26"/>
      <c r="B337" s="26"/>
      <c r="C337" s="26"/>
      <c r="D337" s="26"/>
      <c r="E337" s="26"/>
    </row>
    <row r="338" customFormat="false" ht="13.2" hidden="false" customHeight="false" outlineLevel="0" collapsed="false">
      <c r="A338" s="26"/>
      <c r="B338" s="26"/>
      <c r="C338" s="26"/>
      <c r="D338" s="26"/>
      <c r="E338" s="26"/>
    </row>
    <row r="339" customFormat="false" ht="13.2" hidden="false" customHeight="false" outlineLevel="0" collapsed="false">
      <c r="A339" s="39" t="s">
        <v>34</v>
      </c>
      <c r="B339" s="39"/>
      <c r="C339" s="39"/>
      <c r="D339" s="39"/>
      <c r="E339" s="41" t="s">
        <v>29</v>
      </c>
      <c r="F339" s="41"/>
    </row>
    <row r="343" customFormat="false" ht="18.6" hidden="false" customHeight="true" outlineLevel="0" collapsed="false">
      <c r="A343" s="118" t="s">
        <v>308</v>
      </c>
      <c r="B343" s="118"/>
      <c r="C343" s="118"/>
      <c r="D343" s="118"/>
      <c r="E343" s="118"/>
      <c r="F343" s="43"/>
    </row>
    <row r="344" customFormat="false" ht="13.8" hidden="false" customHeight="true" outlineLevel="0" collapsed="false">
      <c r="A344" s="119" t="s">
        <v>2</v>
      </c>
      <c r="B344" s="119"/>
      <c r="C344" s="119"/>
      <c r="D344" s="119"/>
      <c r="E344" s="119"/>
      <c r="F344" s="44"/>
    </row>
    <row r="345" customFormat="false" ht="16.8" hidden="false" customHeight="false" outlineLevel="0" collapsed="false">
      <c r="A345" s="13" t="s">
        <v>3</v>
      </c>
      <c r="B345" s="14"/>
      <c r="C345" s="14"/>
      <c r="D345" s="46"/>
      <c r="E345" s="46" t="s">
        <v>4</v>
      </c>
      <c r="F345" s="66"/>
    </row>
    <row r="346" customFormat="false" ht="33.6" hidden="false" customHeight="false" outlineLevel="0" collapsed="false">
      <c r="A346" s="17" t="s">
        <v>5</v>
      </c>
      <c r="B346" s="17" t="s">
        <v>5</v>
      </c>
      <c r="C346" s="17" t="s">
        <v>309</v>
      </c>
      <c r="D346" s="17" t="s">
        <v>7</v>
      </c>
      <c r="E346" s="17" t="s">
        <v>8</v>
      </c>
      <c r="F346" s="1"/>
    </row>
    <row r="347" customFormat="false" ht="16.8" hidden="false" customHeight="false" outlineLevel="0" collapsed="false">
      <c r="A347" s="19" t="s">
        <v>9</v>
      </c>
      <c r="B347" s="20"/>
      <c r="C347" s="20" t="n">
        <v>692</v>
      </c>
      <c r="D347" s="20" t="n">
        <v>692</v>
      </c>
      <c r="E347" s="47" t="n">
        <f aca="false">B347+C347-D347</f>
        <v>0</v>
      </c>
      <c r="F347" s="1"/>
    </row>
    <row r="348" customFormat="false" ht="33.6" hidden="false" customHeight="false" outlineLevel="0" collapsed="false">
      <c r="A348" s="97" t="s">
        <v>159</v>
      </c>
      <c r="B348" s="20"/>
      <c r="C348" s="20" t="n">
        <v>22105</v>
      </c>
      <c r="D348" s="20" t="n">
        <v>22105</v>
      </c>
      <c r="E348" s="47" t="n">
        <f aca="false">B348+C348-D348</f>
        <v>0</v>
      </c>
      <c r="F348" s="1"/>
    </row>
    <row r="349" customFormat="false" ht="33.6" hidden="false" customHeight="false" outlineLevel="0" collapsed="false">
      <c r="A349" s="97" t="s">
        <v>202</v>
      </c>
      <c r="B349" s="20"/>
      <c r="C349" s="20" t="n">
        <v>3010</v>
      </c>
      <c r="D349" s="20" t="n">
        <v>3010</v>
      </c>
      <c r="E349" s="47" t="n">
        <f aca="false">B349+C349-D349</f>
        <v>0</v>
      </c>
      <c r="F349" s="45"/>
    </row>
    <row r="350" customFormat="false" ht="16.8" hidden="false" customHeight="false" outlineLevel="0" collapsed="false">
      <c r="A350" s="19" t="s">
        <v>10</v>
      </c>
      <c r="B350" s="20"/>
      <c r="C350" s="20" t="n">
        <v>6564</v>
      </c>
      <c r="D350" s="20" t="n">
        <f aca="false">6564-150</f>
        <v>6414</v>
      </c>
      <c r="E350" s="47" t="n">
        <f aca="false">B350+C350-D350</f>
        <v>150</v>
      </c>
      <c r="F350" s="45"/>
    </row>
    <row r="351" customFormat="false" ht="16.8" hidden="false" customHeight="false" outlineLevel="0" collapsed="false">
      <c r="A351" s="21" t="s">
        <v>11</v>
      </c>
      <c r="B351" s="22" t="n">
        <f aca="false">SUM(B347:B350)</f>
        <v>0</v>
      </c>
      <c r="C351" s="22" t="n">
        <f aca="false">SUM(C347:C350)</f>
        <v>32371</v>
      </c>
      <c r="D351" s="22" t="n">
        <f aca="false">SUM(D347:D350)</f>
        <v>32221</v>
      </c>
      <c r="E351" s="22" t="n">
        <f aca="false">SUM(E347:E350)</f>
        <v>150</v>
      </c>
      <c r="F351" s="121"/>
    </row>
    <row r="352" customFormat="false" ht="16.8" hidden="false" customHeight="false" outlineLevel="0" collapsed="false">
      <c r="A352" s="13" t="s">
        <v>12</v>
      </c>
      <c r="B352" s="13"/>
      <c r="C352" s="13"/>
      <c r="D352" s="13"/>
      <c r="E352" s="24"/>
      <c r="F352" s="24"/>
    </row>
    <row r="353" customFormat="false" ht="67.2" hidden="false" customHeight="false" outlineLevel="0" collapsed="false">
      <c r="A353" s="25" t="s">
        <v>13</v>
      </c>
      <c r="B353" s="17" t="s">
        <v>310</v>
      </c>
      <c r="C353" s="93" t="s">
        <v>138</v>
      </c>
      <c r="D353" s="120" t="s">
        <v>16</v>
      </c>
    </row>
    <row r="354" customFormat="false" ht="21.75" hidden="false" customHeight="true" outlineLevel="0" collapsed="false">
      <c r="A354" s="49" t="s">
        <v>49</v>
      </c>
      <c r="B354" s="20" t="n">
        <v>9700</v>
      </c>
      <c r="C354" s="20"/>
      <c r="D354" s="29"/>
    </row>
    <row r="355" customFormat="false" ht="16.8" hidden="false" customHeight="false" outlineLevel="0" collapsed="false">
      <c r="A355" s="49" t="s">
        <v>53</v>
      </c>
      <c r="B355" s="20" t="n">
        <v>2100</v>
      </c>
      <c r="C355" s="19"/>
      <c r="D355" s="51"/>
    </row>
    <row r="356" customFormat="false" ht="33.6" hidden="false" customHeight="false" outlineLevel="0" collapsed="false">
      <c r="A356" s="49" t="s">
        <v>269</v>
      </c>
      <c r="B356" s="20"/>
      <c r="C356" s="19"/>
      <c r="D356" s="51"/>
    </row>
    <row r="357" customFormat="false" ht="16.8" hidden="false" customHeight="false" outlineLevel="0" collapsed="false">
      <c r="A357" s="53" t="s">
        <v>18</v>
      </c>
      <c r="B357" s="20"/>
      <c r="C357" s="20"/>
      <c r="D357" s="20"/>
    </row>
    <row r="358" customFormat="false" ht="16.8" hidden="false" customHeight="false" outlineLevel="0" collapsed="false">
      <c r="A358" s="30" t="s">
        <v>11</v>
      </c>
      <c r="B358" s="94" t="n">
        <f aca="false">SUM(B354:B357)</f>
        <v>11800</v>
      </c>
      <c r="C358" s="89"/>
      <c r="D358" s="89" t="n">
        <f aca="false">D351/B358</f>
        <v>2.73059322033898</v>
      </c>
    </row>
    <row r="359" s="125" customFormat="true" ht="16.8" hidden="false" customHeight="false" outlineLevel="0" collapsed="false">
      <c r="A359" s="67" t="s">
        <v>311</v>
      </c>
      <c r="B359" s="57"/>
      <c r="C359" s="124"/>
      <c r="F359" s="1"/>
    </row>
    <row r="360" customFormat="false" ht="16.8" hidden="false" customHeight="false" outlineLevel="0" collapsed="false">
      <c r="A360" s="13" t="s">
        <v>20</v>
      </c>
      <c r="B360" s="1"/>
      <c r="C360" s="1"/>
      <c r="D360" s="1"/>
      <c r="E360" s="1"/>
      <c r="F360" s="1"/>
    </row>
    <row r="361" customFormat="false" ht="16.8" hidden="false" customHeight="false" outlineLevel="0" collapsed="false">
      <c r="A361" s="17" t="s">
        <v>13</v>
      </c>
      <c r="B361" s="17" t="s">
        <v>21</v>
      </c>
      <c r="C361" s="18"/>
      <c r="D361" s="18"/>
      <c r="E361" s="1"/>
      <c r="F361" s="1"/>
    </row>
    <row r="362" customFormat="false" ht="16.8" hidden="false" customHeight="false" outlineLevel="0" collapsed="false">
      <c r="A362" s="33" t="s">
        <v>22</v>
      </c>
      <c r="B362" s="34" t="n">
        <v>58300</v>
      </c>
      <c r="C362" s="1"/>
      <c r="D362" s="1"/>
      <c r="E362" s="39"/>
      <c r="F362" s="1"/>
    </row>
    <row r="363" customFormat="false" ht="16.8" hidden="false" customHeight="false" outlineLevel="0" collapsed="false">
      <c r="A363" s="33" t="s">
        <v>17</v>
      </c>
      <c r="B363" s="34" t="n">
        <f aca="false">196820-B362-B364</f>
        <v>124270</v>
      </c>
      <c r="C363" s="1"/>
      <c r="D363" s="1"/>
      <c r="E363" s="26"/>
      <c r="F363" s="39"/>
    </row>
    <row r="364" customFormat="false" ht="16.8" hidden="false" customHeight="false" outlineLevel="0" collapsed="false">
      <c r="A364" s="33" t="s">
        <v>18</v>
      </c>
      <c r="B364" s="34" t="n">
        <v>14250</v>
      </c>
      <c r="C364" s="1"/>
      <c r="D364" s="1"/>
      <c r="E364" s="26"/>
      <c r="F364" s="26"/>
    </row>
    <row r="365" customFormat="false" ht="16.8" hidden="false" customHeight="false" outlineLevel="0" collapsed="false">
      <c r="A365" s="25" t="s">
        <v>11</v>
      </c>
      <c r="B365" s="35" t="n">
        <f aca="false">SUM(B362:B364)</f>
        <v>196820</v>
      </c>
      <c r="C365" s="1"/>
      <c r="D365" s="1"/>
      <c r="E365" s="123"/>
      <c r="F365" s="26"/>
    </row>
    <row r="366" customFormat="false" ht="13.2" hidden="false" customHeight="false" outlineLevel="0" collapsed="false">
      <c r="A366" s="1"/>
      <c r="B366" s="1"/>
      <c r="C366" s="1"/>
      <c r="D366" s="1"/>
      <c r="E366" s="26"/>
      <c r="F366" s="26"/>
    </row>
    <row r="367" customFormat="false" ht="13.2" hidden="false" customHeight="false" outlineLevel="0" collapsed="false">
      <c r="A367" s="39" t="s">
        <v>23</v>
      </c>
      <c r="B367" s="39" t="s">
        <v>24</v>
      </c>
      <c r="C367" s="39" t="s">
        <v>25</v>
      </c>
      <c r="D367" s="39" t="s">
        <v>26</v>
      </c>
      <c r="E367" s="41" t="s">
        <v>27</v>
      </c>
      <c r="F367" s="41"/>
    </row>
    <row r="368" customFormat="false" ht="13.2" hidden="false" customHeight="false" outlineLevel="0" collapsed="false">
      <c r="A368" s="26"/>
      <c r="B368" s="26"/>
      <c r="C368" s="26"/>
      <c r="D368" s="26"/>
      <c r="E368" s="26"/>
      <c r="F368" s="39"/>
    </row>
    <row r="369" customFormat="false" ht="13.2" hidden="false" customHeight="false" outlineLevel="0" collapsed="false">
      <c r="A369" s="26"/>
      <c r="B369" s="26"/>
      <c r="C369" s="26"/>
      <c r="D369" s="26"/>
      <c r="E369" s="26"/>
    </row>
    <row r="370" customFormat="false" ht="13.2" hidden="false" customHeight="false" outlineLevel="0" collapsed="false">
      <c r="A370" s="26"/>
      <c r="B370" s="26"/>
      <c r="C370" s="26"/>
      <c r="D370" s="26"/>
      <c r="E370" s="26"/>
    </row>
    <row r="371" customFormat="false" ht="13.2" hidden="false" customHeight="false" outlineLevel="0" collapsed="false">
      <c r="A371" s="26"/>
      <c r="B371" s="26"/>
      <c r="C371" s="26"/>
      <c r="D371" s="26"/>
      <c r="E371" s="26"/>
    </row>
    <row r="372" customFormat="false" ht="13.2" hidden="false" customHeight="false" outlineLevel="0" collapsed="false">
      <c r="A372" s="39" t="s">
        <v>34</v>
      </c>
      <c r="B372" s="39"/>
      <c r="C372" s="39"/>
      <c r="D372" s="39"/>
      <c r="E372" s="41" t="s">
        <v>29</v>
      </c>
      <c r="F372" s="41"/>
    </row>
    <row r="376" customFormat="false" ht="18.6" hidden="false" customHeight="true" outlineLevel="0" collapsed="false">
      <c r="A376" s="118" t="s">
        <v>312</v>
      </c>
      <c r="B376" s="118"/>
      <c r="C376" s="118"/>
      <c r="D376" s="118"/>
      <c r="E376" s="118"/>
      <c r="F376" s="43"/>
    </row>
    <row r="377" customFormat="false" ht="13.8" hidden="false" customHeight="true" outlineLevel="0" collapsed="false">
      <c r="A377" s="119" t="s">
        <v>2</v>
      </c>
      <c r="B377" s="119"/>
      <c r="C377" s="119"/>
      <c r="D377" s="119"/>
      <c r="E377" s="119"/>
      <c r="F377" s="44"/>
    </row>
    <row r="378" customFormat="false" ht="16.8" hidden="false" customHeight="false" outlineLevel="0" collapsed="false">
      <c r="A378" s="13" t="s">
        <v>3</v>
      </c>
      <c r="B378" s="14"/>
      <c r="C378" s="14"/>
      <c r="D378" s="46"/>
      <c r="E378" s="46" t="s">
        <v>4</v>
      </c>
      <c r="F378" s="66"/>
    </row>
    <row r="379" customFormat="false" ht="33.6" hidden="false" customHeight="false" outlineLevel="0" collapsed="false">
      <c r="A379" s="17" t="s">
        <v>5</v>
      </c>
      <c r="B379" s="17" t="s">
        <v>5</v>
      </c>
      <c r="C379" s="17" t="s">
        <v>313</v>
      </c>
      <c r="D379" s="17" t="s">
        <v>7</v>
      </c>
      <c r="E379" s="17" t="s">
        <v>8</v>
      </c>
      <c r="F379" s="1"/>
    </row>
    <row r="380" customFormat="false" ht="16.8" hidden="false" customHeight="false" outlineLevel="0" collapsed="false">
      <c r="A380" s="19" t="s">
        <v>9</v>
      </c>
      <c r="B380" s="20"/>
      <c r="C380" s="20" t="n">
        <v>430</v>
      </c>
      <c r="D380" s="20" t="n">
        <v>430</v>
      </c>
      <c r="E380" s="47" t="n">
        <f aca="false">B380+C380-D380</f>
        <v>0</v>
      </c>
      <c r="F380" s="1"/>
    </row>
    <row r="381" customFormat="false" ht="33.6" hidden="false" customHeight="false" outlineLevel="0" collapsed="false">
      <c r="A381" s="97" t="s">
        <v>159</v>
      </c>
      <c r="B381" s="20"/>
      <c r="C381" s="20" t="n">
        <v>19390</v>
      </c>
      <c r="D381" s="20" t="n">
        <v>19390</v>
      </c>
      <c r="E381" s="47" t="n">
        <f aca="false">B381+C381-D381</f>
        <v>0</v>
      </c>
      <c r="F381" s="1"/>
    </row>
    <row r="382" customFormat="false" ht="33.6" hidden="false" customHeight="false" outlineLevel="0" collapsed="false">
      <c r="A382" s="97" t="s">
        <v>202</v>
      </c>
      <c r="B382" s="20"/>
      <c r="C382" s="20" t="n">
        <v>1455</v>
      </c>
      <c r="D382" s="20" t="n">
        <v>1455</v>
      </c>
      <c r="E382" s="47" t="n">
        <f aca="false">B382+C382-D382</f>
        <v>0</v>
      </c>
      <c r="F382" s="45"/>
    </row>
    <row r="383" customFormat="false" ht="16.8" hidden="false" customHeight="false" outlineLevel="0" collapsed="false">
      <c r="A383" s="19" t="s">
        <v>10</v>
      </c>
      <c r="B383" s="20" t="n">
        <v>150</v>
      </c>
      <c r="C383" s="20" t="n">
        <f aca="false">108818-C380</f>
        <v>108388</v>
      </c>
      <c r="D383" s="20" t="n">
        <v>108538</v>
      </c>
      <c r="E383" s="47" t="n">
        <f aca="false">B383+C383-D383</f>
        <v>0</v>
      </c>
      <c r="F383" s="45"/>
    </row>
    <row r="384" customFormat="false" ht="16.8" hidden="false" customHeight="false" outlineLevel="0" collapsed="false">
      <c r="A384" s="21" t="s">
        <v>11</v>
      </c>
      <c r="B384" s="22" t="n">
        <f aca="false">SUM(B380:B383)</f>
        <v>150</v>
      </c>
      <c r="C384" s="22" t="n">
        <f aca="false">SUM(C380:C383)</f>
        <v>129663</v>
      </c>
      <c r="D384" s="22" t="n">
        <f aca="false">SUM(D380:D383)</f>
        <v>129813</v>
      </c>
      <c r="E384" s="22" t="n">
        <f aca="false">SUM(E380:E383)</f>
        <v>0</v>
      </c>
      <c r="F384" s="121"/>
    </row>
    <row r="385" customFormat="false" ht="16.8" hidden="false" customHeight="false" outlineLevel="0" collapsed="false">
      <c r="A385" s="13" t="s">
        <v>12</v>
      </c>
      <c r="B385" s="13"/>
      <c r="C385" s="13"/>
      <c r="D385" s="13"/>
      <c r="E385" s="24"/>
      <c r="F385" s="24"/>
    </row>
    <row r="386" customFormat="false" ht="67.2" hidden="false" customHeight="false" outlineLevel="0" collapsed="false">
      <c r="A386" s="25" t="s">
        <v>13</v>
      </c>
      <c r="B386" s="17" t="s">
        <v>314</v>
      </c>
      <c r="C386" s="93" t="s">
        <v>138</v>
      </c>
      <c r="D386" s="120" t="s">
        <v>16</v>
      </c>
    </row>
    <row r="387" customFormat="false" ht="33.6" hidden="false" customHeight="false" outlineLevel="0" collapsed="false">
      <c r="A387" s="49" t="s">
        <v>49</v>
      </c>
      <c r="B387" s="20" t="n">
        <v>8350</v>
      </c>
      <c r="C387" s="20"/>
      <c r="D387" s="29"/>
    </row>
    <row r="388" customFormat="false" ht="16.8" hidden="false" customHeight="false" outlineLevel="0" collapsed="false">
      <c r="A388" s="49" t="s">
        <v>53</v>
      </c>
      <c r="B388" s="20"/>
      <c r="C388" s="19"/>
      <c r="D388" s="51"/>
    </row>
    <row r="389" customFormat="false" ht="33.6" hidden="false" customHeight="false" outlineLevel="0" collapsed="false">
      <c r="A389" s="49" t="s">
        <v>269</v>
      </c>
      <c r="B389" s="20" t="n">
        <v>30520</v>
      </c>
      <c r="C389" s="19"/>
      <c r="D389" s="51"/>
    </row>
    <row r="390" customFormat="false" ht="16.8" hidden="false" customHeight="false" outlineLevel="0" collapsed="false">
      <c r="A390" s="53" t="s">
        <v>18</v>
      </c>
      <c r="B390" s="20"/>
      <c r="C390" s="20"/>
      <c r="D390" s="20"/>
    </row>
    <row r="391" customFormat="false" ht="16.8" hidden="false" customHeight="false" outlineLevel="0" collapsed="false">
      <c r="A391" s="30" t="s">
        <v>11</v>
      </c>
      <c r="B391" s="94" t="n">
        <f aca="false">SUM(B387:B390)</f>
        <v>38870</v>
      </c>
      <c r="C391" s="89"/>
      <c r="D391" s="89" t="n">
        <f aca="false">D384/B391</f>
        <v>3.33967069719578</v>
      </c>
    </row>
    <row r="392" customFormat="false" ht="16.8" hidden="false" customHeight="false" outlineLevel="0" collapsed="false">
      <c r="A392" s="13" t="s">
        <v>20</v>
      </c>
      <c r="B392" s="1"/>
      <c r="C392" s="1"/>
      <c r="D392" s="1"/>
      <c r="E392" s="1"/>
      <c r="F392" s="1"/>
    </row>
    <row r="393" customFormat="false" ht="16.8" hidden="false" customHeight="false" outlineLevel="0" collapsed="false">
      <c r="A393" s="17" t="s">
        <v>13</v>
      </c>
      <c r="B393" s="17" t="s">
        <v>21</v>
      </c>
      <c r="C393" s="18"/>
      <c r="D393" s="18"/>
      <c r="E393" s="1"/>
      <c r="F393" s="1"/>
    </row>
    <row r="394" customFormat="false" ht="16.8" hidden="false" customHeight="false" outlineLevel="0" collapsed="false">
      <c r="A394" s="33" t="s">
        <v>22</v>
      </c>
      <c r="B394" s="34" t="n">
        <v>66650</v>
      </c>
      <c r="C394" s="1"/>
      <c r="D394" s="1"/>
      <c r="E394" s="39"/>
      <c r="F394" s="1"/>
    </row>
    <row r="395" customFormat="false" ht="16.8" hidden="false" customHeight="false" outlineLevel="0" collapsed="false">
      <c r="A395" s="33" t="s">
        <v>17</v>
      </c>
      <c r="B395" s="34" t="n">
        <f aca="false">235690-B394-B396</f>
        <v>154790</v>
      </c>
      <c r="C395" s="1"/>
      <c r="D395" s="1"/>
      <c r="E395" s="26"/>
      <c r="F395" s="39"/>
    </row>
    <row r="396" customFormat="false" ht="16.8" hidden="false" customHeight="false" outlineLevel="0" collapsed="false">
      <c r="A396" s="33" t="s">
        <v>18</v>
      </c>
      <c r="B396" s="34" t="n">
        <v>14250</v>
      </c>
      <c r="C396" s="1"/>
      <c r="D396" s="1"/>
      <c r="E396" s="26"/>
      <c r="F396" s="26"/>
    </row>
    <row r="397" customFormat="false" ht="16.8" hidden="false" customHeight="false" outlineLevel="0" collapsed="false">
      <c r="A397" s="25" t="s">
        <v>11</v>
      </c>
      <c r="B397" s="35" t="n">
        <f aca="false">SUM(B394:B396)</f>
        <v>235690</v>
      </c>
      <c r="C397" s="1"/>
      <c r="D397" s="1"/>
      <c r="E397" s="123"/>
      <c r="F397" s="26"/>
    </row>
    <row r="398" customFormat="false" ht="13.2" hidden="false" customHeight="false" outlineLevel="0" collapsed="false">
      <c r="A398" s="1"/>
      <c r="B398" s="1"/>
      <c r="C398" s="1"/>
      <c r="D398" s="1"/>
      <c r="E398" s="26"/>
      <c r="F398" s="26"/>
    </row>
    <row r="399" customFormat="false" ht="13.2" hidden="false" customHeight="false" outlineLevel="0" collapsed="false">
      <c r="A399" s="39" t="s">
        <v>23</v>
      </c>
      <c r="B399" s="39" t="s">
        <v>24</v>
      </c>
      <c r="C399" s="39" t="s">
        <v>25</v>
      </c>
      <c r="D399" s="39" t="s">
        <v>26</v>
      </c>
      <c r="E399" s="41" t="s">
        <v>27</v>
      </c>
      <c r="F399" s="41"/>
    </row>
    <row r="400" customFormat="false" ht="13.2" hidden="false" customHeight="false" outlineLevel="0" collapsed="false">
      <c r="A400" s="26"/>
      <c r="B400" s="26"/>
      <c r="C400" s="26"/>
      <c r="D400" s="26"/>
      <c r="E400" s="26"/>
      <c r="F400" s="39"/>
    </row>
    <row r="401" customFormat="false" ht="13.2" hidden="false" customHeight="false" outlineLevel="0" collapsed="false">
      <c r="A401" s="26"/>
      <c r="B401" s="26"/>
      <c r="C401" s="26"/>
      <c r="D401" s="26"/>
      <c r="E401" s="26"/>
    </row>
    <row r="402" customFormat="false" ht="13.2" hidden="false" customHeight="false" outlineLevel="0" collapsed="false">
      <c r="A402" s="26"/>
      <c r="B402" s="26"/>
      <c r="C402" s="26"/>
      <c r="D402" s="26"/>
      <c r="E402" s="26"/>
    </row>
    <row r="403" customFormat="false" ht="13.2" hidden="false" customHeight="false" outlineLevel="0" collapsed="false">
      <c r="A403" s="26"/>
      <c r="B403" s="26"/>
      <c r="C403" s="26"/>
      <c r="D403" s="26"/>
      <c r="E403" s="26"/>
    </row>
    <row r="404" customFormat="false" ht="13.2" hidden="false" customHeight="false" outlineLevel="0" collapsed="false">
      <c r="A404" s="39" t="s">
        <v>34</v>
      </c>
      <c r="B404" s="39"/>
      <c r="C404" s="39"/>
      <c r="D404" s="39"/>
      <c r="E404" s="41" t="s">
        <v>29</v>
      </c>
      <c r="F404" s="41"/>
    </row>
    <row r="409" customFormat="false" ht="18.6" hidden="false" customHeight="true" outlineLevel="0" collapsed="false">
      <c r="A409" s="118" t="s">
        <v>315</v>
      </c>
      <c r="B409" s="118"/>
      <c r="C409" s="118"/>
      <c r="D409" s="118"/>
      <c r="E409" s="118"/>
      <c r="F409" s="43"/>
    </row>
    <row r="410" customFormat="false" ht="13.8" hidden="false" customHeight="true" outlineLevel="0" collapsed="false">
      <c r="A410" s="119" t="s">
        <v>2</v>
      </c>
      <c r="B410" s="119"/>
      <c r="C410" s="119"/>
      <c r="D410" s="119"/>
      <c r="E410" s="119"/>
      <c r="F410" s="44"/>
    </row>
    <row r="411" customFormat="false" ht="16.8" hidden="false" customHeight="false" outlineLevel="0" collapsed="false">
      <c r="A411" s="13" t="s">
        <v>3</v>
      </c>
      <c r="B411" s="14"/>
      <c r="C411" s="14"/>
      <c r="D411" s="46"/>
      <c r="E411" s="46" t="s">
        <v>4</v>
      </c>
      <c r="F411" s="66"/>
    </row>
    <row r="412" customFormat="false" ht="33.6" hidden="false" customHeight="false" outlineLevel="0" collapsed="false">
      <c r="A412" s="17" t="s">
        <v>5</v>
      </c>
      <c r="B412" s="17" t="s">
        <v>5</v>
      </c>
      <c r="C412" s="17" t="s">
        <v>316</v>
      </c>
      <c r="D412" s="17" t="s">
        <v>7</v>
      </c>
      <c r="E412" s="17" t="s">
        <v>8</v>
      </c>
      <c r="F412" s="1"/>
    </row>
    <row r="413" customFormat="false" ht="16.8" hidden="false" customHeight="false" outlineLevel="0" collapsed="false">
      <c r="A413" s="19" t="s">
        <v>9</v>
      </c>
      <c r="B413" s="20"/>
      <c r="C413" s="20"/>
      <c r="D413" s="20"/>
      <c r="E413" s="47" t="n">
        <f aca="false">B413+C413-D413</f>
        <v>0</v>
      </c>
      <c r="F413" s="1"/>
    </row>
    <row r="414" customFormat="false" ht="33.6" hidden="false" customHeight="false" outlineLevel="0" collapsed="false">
      <c r="A414" s="97" t="s">
        <v>159</v>
      </c>
      <c r="B414" s="20"/>
      <c r="C414" s="20" t="n">
        <v>34205</v>
      </c>
      <c r="D414" s="20"/>
      <c r="E414" s="47" t="n">
        <f aca="false">B414+C414-D414</f>
        <v>34205</v>
      </c>
      <c r="F414" s="1"/>
    </row>
    <row r="415" customFormat="false" ht="33.6" hidden="false" customHeight="false" outlineLevel="0" collapsed="false">
      <c r="A415" s="97" t="s">
        <v>202</v>
      </c>
      <c r="B415" s="20"/>
      <c r="C415" s="20" t="n">
        <v>4855</v>
      </c>
      <c r="D415" s="20"/>
      <c r="E415" s="47" t="n">
        <f aca="false">B415+C415-D415</f>
        <v>4855</v>
      </c>
      <c r="F415" s="45"/>
    </row>
    <row r="416" customFormat="false" ht="16.8" hidden="false" customHeight="false" outlineLevel="0" collapsed="false">
      <c r="A416" s="19" t="s">
        <v>10</v>
      </c>
      <c r="B416" s="20"/>
      <c r="C416" s="20" t="n">
        <v>163712</v>
      </c>
      <c r="D416" s="20"/>
      <c r="E416" s="47" t="n">
        <f aca="false">B416+C416-D416</f>
        <v>163712</v>
      </c>
      <c r="F416" s="45"/>
    </row>
    <row r="417" customFormat="false" ht="16.8" hidden="false" customHeight="false" outlineLevel="0" collapsed="false">
      <c r="A417" s="21" t="s">
        <v>11</v>
      </c>
      <c r="B417" s="22" t="n">
        <f aca="false">SUM(B413:B416)</f>
        <v>0</v>
      </c>
      <c r="C417" s="22" t="n">
        <f aca="false">SUM(C413:C416)</f>
        <v>202772</v>
      </c>
      <c r="D417" s="22" t="n">
        <f aca="false">SUM(D413:D416)</f>
        <v>0</v>
      </c>
      <c r="E417" s="22" t="n">
        <f aca="false">SUM(E413:E416)</f>
        <v>202772</v>
      </c>
      <c r="F417" s="121"/>
    </row>
    <row r="418" customFormat="false" ht="16.8" hidden="false" customHeight="false" outlineLevel="0" collapsed="false">
      <c r="A418" s="126" t="s">
        <v>317</v>
      </c>
      <c r="B418" s="126"/>
      <c r="C418" s="126"/>
      <c r="D418" s="126"/>
      <c r="E418" s="126"/>
      <c r="F418" s="121"/>
    </row>
    <row r="419" customFormat="false" ht="16.8" hidden="false" customHeight="false" outlineLevel="0" collapsed="false">
      <c r="A419" s="13" t="s">
        <v>12</v>
      </c>
      <c r="B419" s="13"/>
      <c r="C419" s="13"/>
      <c r="D419" s="13"/>
      <c r="E419" s="24"/>
      <c r="F419" s="24"/>
    </row>
    <row r="420" customFormat="false" ht="67.2" hidden="false" customHeight="false" outlineLevel="0" collapsed="false">
      <c r="A420" s="25" t="s">
        <v>13</v>
      </c>
      <c r="B420" s="17" t="s">
        <v>318</v>
      </c>
      <c r="C420" s="93" t="s">
        <v>138</v>
      </c>
      <c r="D420" s="120" t="s">
        <v>16</v>
      </c>
    </row>
    <row r="421" customFormat="false" ht="33.6" hidden="false" customHeight="false" outlineLevel="0" collapsed="false">
      <c r="A421" s="49" t="s">
        <v>49</v>
      </c>
      <c r="B421" s="20" t="n">
        <v>17000</v>
      </c>
      <c r="C421" s="20"/>
      <c r="D421" s="29"/>
    </row>
    <row r="422" customFormat="false" ht="16.8" hidden="false" customHeight="false" outlineLevel="0" collapsed="false">
      <c r="A422" s="49" t="s">
        <v>53</v>
      </c>
      <c r="B422" s="20" t="n">
        <v>30500</v>
      </c>
      <c r="C422" s="19"/>
      <c r="D422" s="51"/>
    </row>
    <row r="423" customFormat="false" ht="33.6" hidden="false" customHeight="false" outlineLevel="0" collapsed="false">
      <c r="A423" s="49" t="s">
        <v>269</v>
      </c>
      <c r="B423" s="20"/>
      <c r="C423" s="19"/>
      <c r="D423" s="51"/>
    </row>
    <row r="424" customFormat="false" ht="16.8" hidden="false" customHeight="false" outlineLevel="0" collapsed="false">
      <c r="A424" s="53" t="s">
        <v>18</v>
      </c>
      <c r="B424" s="20"/>
      <c r="C424" s="20"/>
      <c r="D424" s="20"/>
    </row>
    <row r="425" customFormat="false" ht="16.8" hidden="false" customHeight="false" outlineLevel="0" collapsed="false">
      <c r="A425" s="30" t="s">
        <v>11</v>
      </c>
      <c r="B425" s="94" t="n">
        <f aca="false">SUM(B421:B424)</f>
        <v>47500</v>
      </c>
      <c r="C425" s="89"/>
      <c r="D425" s="89" t="n">
        <f aca="false">D417/B425</f>
        <v>0</v>
      </c>
    </row>
    <row r="426" customFormat="false" ht="16.8" hidden="false" customHeight="false" outlineLevel="0" collapsed="false">
      <c r="A426" s="13" t="s">
        <v>20</v>
      </c>
      <c r="B426" s="1"/>
      <c r="C426" s="1"/>
      <c r="D426" s="1"/>
      <c r="E426" s="1"/>
      <c r="F426" s="1"/>
    </row>
    <row r="427" customFormat="false" ht="16.8" hidden="false" customHeight="false" outlineLevel="0" collapsed="false">
      <c r="A427" s="17" t="s">
        <v>13</v>
      </c>
      <c r="B427" s="17" t="s">
        <v>21</v>
      </c>
      <c r="C427" s="18"/>
      <c r="D427" s="18"/>
      <c r="E427" s="1"/>
      <c r="F427" s="1"/>
    </row>
    <row r="428" customFormat="false" ht="16.8" hidden="false" customHeight="false" outlineLevel="0" collapsed="false">
      <c r="A428" s="33" t="s">
        <v>22</v>
      </c>
      <c r="B428" s="34" t="n">
        <v>55046</v>
      </c>
      <c r="C428" s="1"/>
      <c r="D428" s="1"/>
      <c r="E428" s="39"/>
      <c r="F428" s="1"/>
    </row>
    <row r="429" customFormat="false" ht="16.8" hidden="false" customHeight="false" outlineLevel="0" collapsed="false">
      <c r="A429" s="33" t="s">
        <v>17</v>
      </c>
      <c r="B429" s="34" t="n">
        <v>185140</v>
      </c>
      <c r="C429" s="1"/>
      <c r="D429" s="1"/>
      <c r="E429" s="26"/>
      <c r="F429" s="39"/>
    </row>
    <row r="430" customFormat="false" ht="16.8" hidden="false" customHeight="false" outlineLevel="0" collapsed="false">
      <c r="A430" s="33" t="s">
        <v>18</v>
      </c>
      <c r="B430" s="34" t="n">
        <v>14250</v>
      </c>
      <c r="C430" s="1"/>
      <c r="D430" s="1"/>
      <c r="E430" s="26"/>
      <c r="F430" s="26"/>
    </row>
    <row r="431" customFormat="false" ht="16.8" hidden="false" customHeight="false" outlineLevel="0" collapsed="false">
      <c r="A431" s="25" t="s">
        <v>11</v>
      </c>
      <c r="B431" s="35" t="n">
        <f aca="false">SUM(B428:B430)</f>
        <v>254436</v>
      </c>
      <c r="C431" s="1"/>
      <c r="D431" s="1"/>
      <c r="E431" s="123"/>
      <c r="F431" s="26"/>
    </row>
    <row r="432" customFormat="false" ht="13.2" hidden="false" customHeight="false" outlineLevel="0" collapsed="false">
      <c r="A432" s="1"/>
      <c r="B432" s="1"/>
      <c r="C432" s="1"/>
      <c r="D432" s="1"/>
      <c r="E432" s="26"/>
      <c r="F432" s="26"/>
    </row>
    <row r="433" customFormat="false" ht="13.2" hidden="false" customHeight="false" outlineLevel="0" collapsed="false">
      <c r="A433" s="39" t="s">
        <v>23</v>
      </c>
      <c r="B433" s="39" t="s">
        <v>24</v>
      </c>
      <c r="C433" s="39" t="s">
        <v>25</v>
      </c>
      <c r="D433" s="39" t="s">
        <v>26</v>
      </c>
      <c r="E433" s="41" t="s">
        <v>27</v>
      </c>
      <c r="F433" s="41"/>
    </row>
    <row r="434" customFormat="false" ht="13.2" hidden="false" customHeight="false" outlineLevel="0" collapsed="false">
      <c r="A434" s="26"/>
      <c r="B434" s="26"/>
      <c r="C434" s="26"/>
      <c r="D434" s="26"/>
      <c r="E434" s="26"/>
      <c r="F434" s="39"/>
    </row>
    <row r="435" customFormat="false" ht="13.2" hidden="false" customHeight="false" outlineLevel="0" collapsed="false">
      <c r="A435" s="26"/>
      <c r="B435" s="26"/>
      <c r="C435" s="26"/>
      <c r="D435" s="26"/>
      <c r="E435" s="26"/>
    </row>
    <row r="436" customFormat="false" ht="13.2" hidden="false" customHeight="false" outlineLevel="0" collapsed="false">
      <c r="A436" s="26"/>
      <c r="B436" s="26"/>
      <c r="C436" s="26"/>
      <c r="D436" s="26"/>
      <c r="E436" s="26"/>
    </row>
    <row r="437" customFormat="false" ht="13.2" hidden="false" customHeight="false" outlineLevel="0" collapsed="false">
      <c r="A437" s="26"/>
      <c r="B437" s="26"/>
      <c r="C437" s="26"/>
      <c r="D437" s="26"/>
      <c r="E437" s="26"/>
    </row>
    <row r="438" customFormat="false" ht="13.2" hidden="false" customHeight="false" outlineLevel="0" collapsed="false">
      <c r="A438" s="39" t="s">
        <v>34</v>
      </c>
      <c r="B438" s="39"/>
      <c r="C438" s="39"/>
      <c r="D438" s="39"/>
      <c r="E438" s="41" t="s">
        <v>29</v>
      </c>
      <c r="F438" s="41"/>
    </row>
    <row r="443" customFormat="false" ht="18.6" hidden="false" customHeight="true" outlineLevel="0" collapsed="false">
      <c r="A443" s="118" t="s">
        <v>319</v>
      </c>
      <c r="B443" s="118"/>
      <c r="C443" s="118"/>
      <c r="D443" s="118"/>
      <c r="E443" s="118"/>
      <c r="F443" s="43"/>
    </row>
    <row r="444" customFormat="false" ht="13.8" hidden="false" customHeight="true" outlineLevel="0" collapsed="false">
      <c r="A444" s="119" t="s">
        <v>2</v>
      </c>
      <c r="B444" s="119"/>
      <c r="C444" s="119"/>
      <c r="D444" s="119"/>
      <c r="E444" s="119"/>
      <c r="F444" s="44"/>
    </row>
    <row r="445" customFormat="false" ht="16.8" hidden="false" customHeight="false" outlineLevel="0" collapsed="false">
      <c r="A445" s="13" t="s">
        <v>3</v>
      </c>
      <c r="B445" s="14"/>
      <c r="C445" s="14"/>
      <c r="D445" s="46"/>
      <c r="E445" s="46" t="s">
        <v>4</v>
      </c>
      <c r="F445" s="66"/>
    </row>
    <row r="446" customFormat="false" ht="33.6" hidden="false" customHeight="false" outlineLevel="0" collapsed="false">
      <c r="A446" s="17" t="s">
        <v>5</v>
      </c>
      <c r="B446" s="17" t="s">
        <v>5</v>
      </c>
      <c r="C446" s="17" t="s">
        <v>320</v>
      </c>
      <c r="D446" s="17" t="s">
        <v>7</v>
      </c>
      <c r="E446" s="17" t="s">
        <v>8</v>
      </c>
      <c r="F446" s="1"/>
    </row>
    <row r="447" customFormat="false" ht="16.8" hidden="false" customHeight="false" outlineLevel="0" collapsed="false">
      <c r="A447" s="19" t="s">
        <v>9</v>
      </c>
      <c r="B447" s="20" t="n">
        <f aca="false">E413</f>
        <v>0</v>
      </c>
      <c r="C447" s="20"/>
      <c r="D447" s="20"/>
      <c r="E447" s="47" t="n">
        <f aca="false">B447+C447-D447</f>
        <v>0</v>
      </c>
      <c r="F447" s="1"/>
    </row>
    <row r="448" customFormat="false" ht="33.6" hidden="false" customHeight="false" outlineLevel="0" collapsed="false">
      <c r="A448" s="97" t="s">
        <v>159</v>
      </c>
      <c r="B448" s="20" t="n">
        <f aca="false">E414</f>
        <v>34205</v>
      </c>
      <c r="C448" s="20" t="n">
        <v>36810</v>
      </c>
      <c r="D448" s="20"/>
      <c r="E448" s="47" t="n">
        <f aca="false">B448+C448-D448</f>
        <v>71015</v>
      </c>
      <c r="F448" s="1"/>
    </row>
    <row r="449" customFormat="false" ht="33.6" hidden="false" customHeight="false" outlineLevel="0" collapsed="false">
      <c r="A449" s="97" t="s">
        <v>202</v>
      </c>
      <c r="B449" s="20" t="n">
        <f aca="false">E415</f>
        <v>4855</v>
      </c>
      <c r="C449" s="20" t="n">
        <v>1925</v>
      </c>
      <c r="D449" s="20"/>
      <c r="E449" s="47" t="n">
        <f aca="false">B449+C449-D449</f>
        <v>6780</v>
      </c>
      <c r="F449" s="45"/>
    </row>
    <row r="450" customFormat="false" ht="16.8" hidden="false" customHeight="false" outlineLevel="0" collapsed="false">
      <c r="A450" s="19" t="s">
        <v>10</v>
      </c>
      <c r="B450" s="20" t="n">
        <f aca="false">E416</f>
        <v>163712</v>
      </c>
      <c r="C450" s="20" t="n">
        <v>108596</v>
      </c>
      <c r="D450" s="20"/>
      <c r="E450" s="47" t="n">
        <f aca="false">B450+C450-D450</f>
        <v>272308</v>
      </c>
      <c r="F450" s="45"/>
    </row>
    <row r="451" customFormat="false" ht="16.8" hidden="false" customHeight="false" outlineLevel="0" collapsed="false">
      <c r="A451" s="21" t="s">
        <v>11</v>
      </c>
      <c r="B451" s="22" t="n">
        <f aca="false">SUM(B447:B450)</f>
        <v>202772</v>
      </c>
      <c r="C451" s="22" t="n">
        <f aca="false">SUM(C447:C450)</f>
        <v>147331</v>
      </c>
      <c r="D451" s="22" t="n">
        <f aca="false">SUM(D447:D450)</f>
        <v>0</v>
      </c>
      <c r="E451" s="22" t="n">
        <f aca="false">SUM(E447:E450)</f>
        <v>350103</v>
      </c>
      <c r="F451" s="121"/>
    </row>
    <row r="452" customFormat="false" ht="16.8" hidden="false" customHeight="false" outlineLevel="0" collapsed="false">
      <c r="A452" s="126" t="s">
        <v>317</v>
      </c>
      <c r="B452" s="126"/>
      <c r="C452" s="126"/>
      <c r="D452" s="126"/>
      <c r="E452" s="126"/>
      <c r="F452" s="121"/>
    </row>
    <row r="453" customFormat="false" ht="16.8" hidden="false" customHeight="false" outlineLevel="0" collapsed="false">
      <c r="A453" s="13" t="s">
        <v>12</v>
      </c>
      <c r="B453" s="13"/>
      <c r="C453" s="13"/>
      <c r="D453" s="13"/>
      <c r="E453" s="24"/>
      <c r="F453" s="24"/>
    </row>
    <row r="454" customFormat="false" ht="67.2" hidden="false" customHeight="false" outlineLevel="0" collapsed="false">
      <c r="A454" s="25" t="s">
        <v>13</v>
      </c>
      <c r="B454" s="17" t="s">
        <v>318</v>
      </c>
      <c r="C454" s="17" t="s">
        <v>321</v>
      </c>
      <c r="D454" s="93" t="s">
        <v>138</v>
      </c>
      <c r="E454" s="120" t="s">
        <v>16</v>
      </c>
    </row>
    <row r="455" customFormat="false" ht="33.6" hidden="false" customHeight="false" outlineLevel="0" collapsed="false">
      <c r="A455" s="49" t="s">
        <v>49</v>
      </c>
      <c r="B455" s="20" t="n">
        <v>17000</v>
      </c>
      <c r="C455" s="20" t="n">
        <v>18450</v>
      </c>
      <c r="D455" s="20"/>
      <c r="E455" s="29"/>
    </row>
    <row r="456" customFormat="false" ht="16.8" hidden="false" customHeight="false" outlineLevel="0" collapsed="false">
      <c r="A456" s="49" t="s">
        <v>53</v>
      </c>
      <c r="B456" s="20" t="n">
        <v>30500</v>
      </c>
      <c r="C456" s="20" t="n">
        <v>3550</v>
      </c>
      <c r="D456" s="19"/>
      <c r="E456" s="51"/>
    </row>
    <row r="457" customFormat="false" ht="33.6" hidden="false" customHeight="false" outlineLevel="0" collapsed="false">
      <c r="A457" s="49" t="s">
        <v>269</v>
      </c>
      <c r="B457" s="20"/>
      <c r="C457" s="20" t="n">
        <v>18450</v>
      </c>
      <c r="D457" s="19"/>
      <c r="E457" s="51"/>
    </row>
    <row r="458" customFormat="false" ht="16.8" hidden="false" customHeight="false" outlineLevel="0" collapsed="false">
      <c r="A458" s="53" t="s">
        <v>18</v>
      </c>
      <c r="B458" s="20"/>
      <c r="C458" s="20"/>
      <c r="D458" s="20"/>
      <c r="E458" s="20"/>
    </row>
    <row r="459" customFormat="false" ht="16.8" hidden="false" customHeight="false" outlineLevel="0" collapsed="false">
      <c r="A459" s="30" t="s">
        <v>11</v>
      </c>
      <c r="B459" s="94" t="n">
        <f aca="false">SUM(B455:B458)</f>
        <v>47500</v>
      </c>
      <c r="C459" s="94" t="n">
        <f aca="false">SUM(C455:C458)</f>
        <v>40450</v>
      </c>
      <c r="D459" s="89"/>
      <c r="E459" s="89" t="n">
        <f aca="false">D451/(B459+C459)</f>
        <v>0</v>
      </c>
    </row>
    <row r="460" customFormat="false" ht="16.8" hidden="false" customHeight="false" outlineLevel="0" collapsed="false">
      <c r="A460" s="13" t="s">
        <v>20</v>
      </c>
      <c r="B460" s="1"/>
      <c r="C460" s="1"/>
      <c r="D460" s="1"/>
      <c r="E460" s="1"/>
      <c r="F460" s="1"/>
    </row>
    <row r="461" customFormat="false" ht="16.8" hidden="false" customHeight="false" outlineLevel="0" collapsed="false">
      <c r="A461" s="17" t="s">
        <v>13</v>
      </c>
      <c r="B461" s="17" t="s">
        <v>21</v>
      </c>
      <c r="C461" s="18"/>
      <c r="D461" s="18"/>
      <c r="E461" s="1"/>
      <c r="F461" s="1"/>
    </row>
    <row r="462" customFormat="false" ht="16.8" hidden="false" customHeight="false" outlineLevel="0" collapsed="false">
      <c r="A462" s="33" t="s">
        <v>22</v>
      </c>
      <c r="B462" s="34" t="n">
        <v>73496</v>
      </c>
      <c r="C462" s="1"/>
      <c r="D462" s="1"/>
      <c r="E462" s="39"/>
      <c r="F462" s="1"/>
    </row>
    <row r="463" customFormat="false" ht="16.8" hidden="false" customHeight="false" outlineLevel="0" collapsed="false">
      <c r="A463" s="33" t="s">
        <v>17</v>
      </c>
      <c r="B463" s="34" t="n">
        <v>203330</v>
      </c>
      <c r="C463" s="1"/>
      <c r="D463" s="1"/>
      <c r="E463" s="26"/>
      <c r="F463" s="39"/>
    </row>
    <row r="464" customFormat="false" ht="16.8" hidden="false" customHeight="false" outlineLevel="0" collapsed="false">
      <c r="A464" s="33" t="s">
        <v>18</v>
      </c>
      <c r="B464" s="34" t="n">
        <v>14250</v>
      </c>
      <c r="C464" s="1"/>
      <c r="D464" s="1"/>
      <c r="E464" s="26"/>
      <c r="F464" s="26"/>
    </row>
    <row r="465" customFormat="false" ht="16.8" hidden="false" customHeight="false" outlineLevel="0" collapsed="false">
      <c r="A465" s="25" t="s">
        <v>11</v>
      </c>
      <c r="B465" s="35" t="n">
        <f aca="false">SUM(B462:B464)</f>
        <v>291076</v>
      </c>
      <c r="C465" s="1"/>
      <c r="D465" s="1"/>
      <c r="E465" s="123"/>
      <c r="F465" s="26"/>
    </row>
    <row r="466" customFormat="false" ht="13.2" hidden="false" customHeight="false" outlineLevel="0" collapsed="false">
      <c r="A466" s="1"/>
      <c r="B466" s="1"/>
      <c r="C466" s="1"/>
      <c r="D466" s="1"/>
      <c r="E466" s="26"/>
      <c r="F466" s="26"/>
    </row>
    <row r="467" customFormat="false" ht="13.2" hidden="false" customHeight="false" outlineLevel="0" collapsed="false">
      <c r="A467" s="39" t="s">
        <v>23</v>
      </c>
      <c r="B467" s="39" t="s">
        <v>24</v>
      </c>
      <c r="C467" s="39" t="s">
        <v>25</v>
      </c>
      <c r="D467" s="39" t="s">
        <v>26</v>
      </c>
      <c r="E467" s="41" t="s">
        <v>27</v>
      </c>
      <c r="F467" s="41"/>
    </row>
    <row r="468" customFormat="false" ht="13.2" hidden="false" customHeight="false" outlineLevel="0" collapsed="false">
      <c r="A468" s="26"/>
      <c r="B468" s="26"/>
      <c r="C468" s="26"/>
      <c r="D468" s="26"/>
      <c r="E468" s="26"/>
      <c r="F468" s="39"/>
    </row>
    <row r="469" customFormat="false" ht="13.2" hidden="false" customHeight="false" outlineLevel="0" collapsed="false">
      <c r="A469" s="26"/>
      <c r="B469" s="26"/>
      <c r="C469" s="26"/>
      <c r="D469" s="26"/>
      <c r="E469" s="26"/>
    </row>
    <row r="470" customFormat="false" ht="13.2" hidden="false" customHeight="false" outlineLevel="0" collapsed="false">
      <c r="A470" s="26"/>
      <c r="B470" s="26"/>
      <c r="C470" s="26"/>
      <c r="D470" s="26"/>
      <c r="E470" s="26"/>
    </row>
    <row r="471" customFormat="false" ht="13.2" hidden="false" customHeight="false" outlineLevel="0" collapsed="false">
      <c r="A471" s="26"/>
      <c r="B471" s="26"/>
      <c r="C471" s="26"/>
      <c r="D471" s="26"/>
      <c r="E471" s="26"/>
    </row>
    <row r="472" customFormat="false" ht="13.2" hidden="false" customHeight="false" outlineLevel="0" collapsed="false">
      <c r="A472" s="39" t="s">
        <v>34</v>
      </c>
      <c r="B472" s="39"/>
      <c r="C472" s="39"/>
      <c r="D472" s="39"/>
      <c r="E472" s="41" t="s">
        <v>29</v>
      </c>
      <c r="F472" s="41"/>
    </row>
    <row r="475" customFormat="false" ht="18.6" hidden="false" customHeight="true" outlineLevel="0" collapsed="false">
      <c r="A475" s="118" t="s">
        <v>322</v>
      </c>
      <c r="B475" s="118"/>
      <c r="C475" s="118"/>
      <c r="D475" s="118"/>
      <c r="E475" s="118"/>
      <c r="F475" s="43"/>
    </row>
    <row r="476" customFormat="false" ht="13.8" hidden="false" customHeight="true" outlineLevel="0" collapsed="false">
      <c r="A476" s="119" t="s">
        <v>2</v>
      </c>
      <c r="B476" s="119"/>
      <c r="C476" s="119"/>
      <c r="D476" s="119"/>
      <c r="E476" s="119"/>
      <c r="F476" s="44"/>
    </row>
    <row r="477" customFormat="false" ht="16.8" hidden="false" customHeight="false" outlineLevel="0" collapsed="false">
      <c r="A477" s="13" t="s">
        <v>3</v>
      </c>
      <c r="B477" s="14"/>
      <c r="C477" s="14"/>
      <c r="D477" s="46"/>
      <c r="E477" s="46" t="s">
        <v>4</v>
      </c>
      <c r="F477" s="66"/>
    </row>
    <row r="478" customFormat="false" ht="33.6" hidden="false" customHeight="false" outlineLevel="0" collapsed="false">
      <c r="A478" s="17" t="s">
        <v>5</v>
      </c>
      <c r="B478" s="17" t="s">
        <v>5</v>
      </c>
      <c r="C478" s="17" t="s">
        <v>323</v>
      </c>
      <c r="D478" s="17" t="s">
        <v>7</v>
      </c>
      <c r="E478" s="17" t="s">
        <v>8</v>
      </c>
      <c r="F478" s="1"/>
    </row>
    <row r="479" customFormat="false" ht="16.8" hidden="false" customHeight="false" outlineLevel="0" collapsed="false">
      <c r="A479" s="19" t="s">
        <v>9</v>
      </c>
      <c r="B479" s="20" t="n">
        <f aca="false">E447</f>
        <v>0</v>
      </c>
      <c r="C479" s="20" t="n">
        <v>600</v>
      </c>
      <c r="D479" s="20" t="n">
        <v>600</v>
      </c>
      <c r="E479" s="47" t="n">
        <f aca="false">B479+C479-D479</f>
        <v>0</v>
      </c>
      <c r="F479" s="1"/>
    </row>
    <row r="480" customFormat="false" ht="33.6" hidden="false" customHeight="false" outlineLevel="0" collapsed="false">
      <c r="A480" s="97" t="s">
        <v>159</v>
      </c>
      <c r="B480" s="20" t="n">
        <f aca="false">E448</f>
        <v>71015</v>
      </c>
      <c r="C480" s="20" t="n">
        <v>29585</v>
      </c>
      <c r="D480" s="20" t="n">
        <v>100600</v>
      </c>
      <c r="E480" s="47" t="n">
        <f aca="false">B480+C480-D480</f>
        <v>0</v>
      </c>
      <c r="F480" s="1"/>
    </row>
    <row r="481" customFormat="false" ht="33.6" hidden="false" customHeight="false" outlineLevel="0" collapsed="false">
      <c r="A481" s="97" t="s">
        <v>202</v>
      </c>
      <c r="B481" s="20" t="n">
        <f aca="false">E449</f>
        <v>6780</v>
      </c>
      <c r="C481" s="20" t="n">
        <v>1380</v>
      </c>
      <c r="D481" s="20" t="n">
        <v>8160</v>
      </c>
      <c r="E481" s="47" t="n">
        <f aca="false">B481+C481-D481</f>
        <v>0</v>
      </c>
      <c r="F481" s="45"/>
    </row>
    <row r="482" customFormat="false" ht="16.8" hidden="false" customHeight="false" outlineLevel="0" collapsed="false">
      <c r="A482" s="19" t="s">
        <v>10</v>
      </c>
      <c r="B482" s="20" t="n">
        <f aca="false">E450</f>
        <v>272308</v>
      </c>
      <c r="C482" s="20" t="n">
        <f aca="false">55110-C479</f>
        <v>54510</v>
      </c>
      <c r="D482" s="20" t="n">
        <v>326818</v>
      </c>
      <c r="E482" s="47" t="n">
        <f aca="false">B482+C482-D482</f>
        <v>0</v>
      </c>
      <c r="F482" s="45"/>
    </row>
    <row r="483" customFormat="false" ht="16.8" hidden="false" customHeight="false" outlineLevel="0" collapsed="false">
      <c r="A483" s="21" t="s">
        <v>11</v>
      </c>
      <c r="B483" s="22" t="n">
        <f aca="false">SUM(B479:B482)</f>
        <v>350103</v>
      </c>
      <c r="C483" s="22" t="n">
        <f aca="false">SUM(C479:C482)</f>
        <v>86075</v>
      </c>
      <c r="D483" s="22" t="n">
        <f aca="false">SUM(D479:D482)</f>
        <v>436178</v>
      </c>
      <c r="E483" s="22" t="n">
        <f aca="false">SUM(E479:E482)</f>
        <v>0</v>
      </c>
      <c r="F483" s="121"/>
    </row>
    <row r="484" customFormat="false" ht="16.8" hidden="false" customHeight="false" outlineLevel="0" collapsed="false">
      <c r="A484" s="13" t="s">
        <v>12</v>
      </c>
      <c r="B484" s="13"/>
      <c r="C484" s="13"/>
      <c r="D484" s="13"/>
      <c r="E484" s="24"/>
      <c r="F484" s="24"/>
    </row>
    <row r="485" customFormat="false" ht="67.2" hidden="false" customHeight="false" outlineLevel="0" collapsed="false">
      <c r="A485" s="25" t="s">
        <v>13</v>
      </c>
      <c r="B485" s="17" t="s">
        <v>324</v>
      </c>
      <c r="C485" s="17" t="s">
        <v>325</v>
      </c>
      <c r="D485" s="93" t="s">
        <v>138</v>
      </c>
      <c r="E485" s="120" t="s">
        <v>16</v>
      </c>
    </row>
    <row r="486" customFormat="false" ht="33.6" hidden="false" customHeight="false" outlineLevel="0" collapsed="false">
      <c r="A486" s="49" t="s">
        <v>49</v>
      </c>
      <c r="B486" s="20" t="n">
        <f aca="false">B455+C455</f>
        <v>35450</v>
      </c>
      <c r="C486" s="20" t="n">
        <v>15050</v>
      </c>
      <c r="D486" s="20"/>
      <c r="E486" s="29"/>
    </row>
    <row r="487" customFormat="false" ht="16.8" hidden="false" customHeight="false" outlineLevel="0" collapsed="false">
      <c r="A487" s="49" t="s">
        <v>53</v>
      </c>
      <c r="B487" s="20" t="n">
        <f aca="false">B456+C456</f>
        <v>34050</v>
      </c>
      <c r="C487" s="20" t="n">
        <v>750</v>
      </c>
      <c r="D487" s="19"/>
      <c r="E487" s="51"/>
    </row>
    <row r="488" customFormat="false" ht="33.6" hidden="false" customHeight="false" outlineLevel="0" collapsed="false">
      <c r="A488" s="49" t="s">
        <v>269</v>
      </c>
      <c r="B488" s="20" t="n">
        <f aca="false">B457+C457</f>
        <v>18450</v>
      </c>
      <c r="C488" s="20" t="n">
        <v>32190</v>
      </c>
      <c r="D488" s="19"/>
      <c r="E488" s="51"/>
    </row>
    <row r="489" customFormat="false" ht="16.8" hidden="false" customHeight="false" outlineLevel="0" collapsed="false">
      <c r="A489" s="53" t="s">
        <v>18</v>
      </c>
      <c r="B489" s="20" t="n">
        <f aca="false">B458+C458</f>
        <v>0</v>
      </c>
      <c r="C489" s="20"/>
      <c r="D489" s="20"/>
      <c r="E489" s="20"/>
    </row>
    <row r="490" customFormat="false" ht="16.8" hidden="false" customHeight="false" outlineLevel="0" collapsed="false">
      <c r="A490" s="30" t="s">
        <v>11</v>
      </c>
      <c r="B490" s="94" t="n">
        <f aca="false">SUM(B486:B489)</f>
        <v>87950</v>
      </c>
      <c r="C490" s="94" t="n">
        <f aca="false">SUM(C486:C489)</f>
        <v>47990</v>
      </c>
      <c r="D490" s="89"/>
      <c r="E490" s="89" t="n">
        <f aca="false">D483/(B490+C490)</f>
        <v>3.20860673826688</v>
      </c>
    </row>
    <row r="491" customFormat="false" ht="16.8" hidden="false" customHeight="false" outlineLevel="0" collapsed="false">
      <c r="A491" s="13" t="s">
        <v>20</v>
      </c>
      <c r="B491" s="1"/>
      <c r="C491" s="1"/>
      <c r="D491" s="1"/>
      <c r="E491" s="1"/>
      <c r="F491" s="1"/>
    </row>
    <row r="492" customFormat="false" ht="16.8" hidden="false" customHeight="false" outlineLevel="0" collapsed="false">
      <c r="A492" s="17" t="s">
        <v>13</v>
      </c>
      <c r="B492" s="17" t="s">
        <v>21</v>
      </c>
      <c r="C492" s="18"/>
      <c r="D492" s="18"/>
      <c r="E492" s="1"/>
      <c r="F492" s="1"/>
    </row>
    <row r="493" customFormat="false" ht="16.8" hidden="false" customHeight="false" outlineLevel="0" collapsed="false">
      <c r="A493" s="33" t="s">
        <v>22</v>
      </c>
      <c r="B493" s="34" t="n">
        <v>88546</v>
      </c>
      <c r="C493" s="1"/>
      <c r="D493" s="1"/>
      <c r="E493" s="39"/>
      <c r="F493" s="1"/>
    </row>
    <row r="494" customFormat="false" ht="16.8" hidden="false" customHeight="false" outlineLevel="0" collapsed="false">
      <c r="A494" s="33" t="s">
        <v>17</v>
      </c>
      <c r="B494" s="34" t="n">
        <v>233390</v>
      </c>
      <c r="C494" s="1"/>
      <c r="D494" s="1"/>
      <c r="E494" s="26"/>
      <c r="F494" s="39"/>
    </row>
    <row r="495" customFormat="false" ht="16.8" hidden="false" customHeight="false" outlineLevel="0" collapsed="false">
      <c r="A495" s="33" t="s">
        <v>18</v>
      </c>
      <c r="B495" s="34" t="n">
        <v>14250</v>
      </c>
      <c r="C495" s="1"/>
      <c r="D495" s="1"/>
      <c r="E495" s="26"/>
      <c r="F495" s="26"/>
    </row>
    <row r="496" customFormat="false" ht="16.8" hidden="false" customHeight="false" outlineLevel="0" collapsed="false">
      <c r="A496" s="25" t="s">
        <v>11</v>
      </c>
      <c r="B496" s="35" t="n">
        <f aca="false">SUM(B493:B495)</f>
        <v>336186</v>
      </c>
      <c r="C496" s="1"/>
      <c r="D496" s="1"/>
      <c r="E496" s="123"/>
      <c r="F496" s="26"/>
    </row>
    <row r="497" customFormat="false" ht="13.2" hidden="false" customHeight="false" outlineLevel="0" collapsed="false">
      <c r="A497" s="1"/>
      <c r="B497" s="1"/>
      <c r="C497" s="1"/>
      <c r="D497" s="1"/>
      <c r="E497" s="26"/>
      <c r="F497" s="26"/>
    </row>
    <row r="498" customFormat="false" ht="13.2" hidden="false" customHeight="false" outlineLevel="0" collapsed="false">
      <c r="A498" s="39" t="s">
        <v>23</v>
      </c>
      <c r="B498" s="39" t="s">
        <v>24</v>
      </c>
      <c r="C498" s="39" t="s">
        <v>25</v>
      </c>
      <c r="D498" s="39" t="s">
        <v>26</v>
      </c>
      <c r="E498" s="41" t="s">
        <v>27</v>
      </c>
      <c r="F498" s="41"/>
    </row>
    <row r="499" customFormat="false" ht="13.2" hidden="false" customHeight="false" outlineLevel="0" collapsed="false">
      <c r="A499" s="26"/>
      <c r="B499" s="26"/>
      <c r="C499" s="26"/>
      <c r="D499" s="26"/>
      <c r="E499" s="26"/>
      <c r="F499" s="39"/>
    </row>
    <row r="500" customFormat="false" ht="13.2" hidden="false" customHeight="false" outlineLevel="0" collapsed="false">
      <c r="A500" s="26"/>
      <c r="B500" s="26"/>
      <c r="C500" s="26"/>
      <c r="D500" s="26"/>
      <c r="E500" s="26"/>
    </row>
    <row r="501" customFormat="false" ht="13.2" hidden="false" customHeight="false" outlineLevel="0" collapsed="false">
      <c r="A501" s="26"/>
      <c r="B501" s="26"/>
      <c r="C501" s="26"/>
      <c r="D501" s="26"/>
      <c r="E501" s="26"/>
    </row>
    <row r="502" customFormat="false" ht="13.2" hidden="false" customHeight="false" outlineLevel="0" collapsed="false">
      <c r="A502" s="26"/>
      <c r="B502" s="26"/>
      <c r="C502" s="26"/>
      <c r="D502" s="26"/>
      <c r="E502" s="26"/>
    </row>
    <row r="503" customFormat="false" ht="13.2" hidden="false" customHeight="false" outlineLevel="0" collapsed="false">
      <c r="A503" s="39" t="s">
        <v>34</v>
      </c>
      <c r="B503" s="39"/>
      <c r="C503" s="39"/>
      <c r="D503" s="39"/>
      <c r="E503" s="41" t="s">
        <v>29</v>
      </c>
      <c r="F503" s="41"/>
    </row>
    <row r="506" customFormat="false" ht="18.6" hidden="false" customHeight="true" outlineLevel="0" collapsed="false">
      <c r="A506" s="118" t="s">
        <v>326</v>
      </c>
      <c r="B506" s="118"/>
      <c r="C506" s="118"/>
      <c r="D506" s="118"/>
      <c r="E506" s="118"/>
      <c r="F506" s="43"/>
    </row>
    <row r="507" customFormat="false" ht="13.8" hidden="false" customHeight="true" outlineLevel="0" collapsed="false">
      <c r="A507" s="119" t="s">
        <v>2</v>
      </c>
      <c r="B507" s="119"/>
      <c r="C507" s="119"/>
      <c r="D507" s="119"/>
      <c r="E507" s="119"/>
      <c r="F507" s="44"/>
    </row>
    <row r="508" customFormat="false" ht="16.8" hidden="false" customHeight="false" outlineLevel="0" collapsed="false">
      <c r="A508" s="13" t="s">
        <v>3</v>
      </c>
      <c r="B508" s="14"/>
      <c r="C508" s="14"/>
      <c r="D508" s="46"/>
      <c r="E508" s="46" t="s">
        <v>4</v>
      </c>
      <c r="F508" s="66"/>
    </row>
    <row r="509" customFormat="false" ht="33.6" hidden="false" customHeight="false" outlineLevel="0" collapsed="false">
      <c r="A509" s="17" t="s">
        <v>5</v>
      </c>
      <c r="B509" s="17" t="s">
        <v>5</v>
      </c>
      <c r="C509" s="17" t="s">
        <v>327</v>
      </c>
      <c r="D509" s="17" t="s">
        <v>7</v>
      </c>
      <c r="E509" s="17" t="s">
        <v>8</v>
      </c>
      <c r="F509" s="1"/>
    </row>
    <row r="510" customFormat="false" ht="16.8" hidden="false" customHeight="false" outlineLevel="0" collapsed="false">
      <c r="A510" s="19" t="s">
        <v>9</v>
      </c>
      <c r="B510" s="20"/>
      <c r="C510" s="20"/>
      <c r="D510" s="20"/>
      <c r="E510" s="47" t="n">
        <f aca="false">B510+C510-D510</f>
        <v>0</v>
      </c>
      <c r="F510" s="1"/>
    </row>
    <row r="511" customFormat="false" ht="33.6" hidden="false" customHeight="false" outlineLevel="0" collapsed="false">
      <c r="A511" s="97" t="s">
        <v>159</v>
      </c>
      <c r="B511" s="20"/>
      <c r="C511" s="20" t="n">
        <v>36005</v>
      </c>
      <c r="D511" s="20"/>
      <c r="E511" s="47" t="n">
        <f aca="false">B511+C511-D511</f>
        <v>36005</v>
      </c>
      <c r="F511" s="1"/>
    </row>
    <row r="512" customFormat="false" ht="33.6" hidden="false" customHeight="false" outlineLevel="0" collapsed="false">
      <c r="A512" s="97" t="s">
        <v>202</v>
      </c>
      <c r="B512" s="20"/>
      <c r="C512" s="20" t="n">
        <v>820</v>
      </c>
      <c r="D512" s="20"/>
      <c r="E512" s="47" t="n">
        <f aca="false">B512+C512-D512</f>
        <v>820</v>
      </c>
      <c r="F512" s="45"/>
    </row>
    <row r="513" customFormat="false" ht="16.8" hidden="false" customHeight="false" outlineLevel="0" collapsed="false">
      <c r="A513" s="19" t="s">
        <v>10</v>
      </c>
      <c r="B513" s="20"/>
      <c r="C513" s="20" t="n">
        <v>93941</v>
      </c>
      <c r="D513" s="20"/>
      <c r="E513" s="47" t="n">
        <f aca="false">B513+C513-D513</f>
        <v>93941</v>
      </c>
      <c r="F513" s="45"/>
    </row>
    <row r="514" customFormat="false" ht="16.8" hidden="false" customHeight="false" outlineLevel="0" collapsed="false">
      <c r="A514" s="21" t="s">
        <v>11</v>
      </c>
      <c r="B514" s="22" t="n">
        <f aca="false">SUM(B510:B513)</f>
        <v>0</v>
      </c>
      <c r="C514" s="22" t="n">
        <f aca="false">SUM(C510:C513)</f>
        <v>130766</v>
      </c>
      <c r="D514" s="22" t="n">
        <f aca="false">SUM(D510:D513)</f>
        <v>0</v>
      </c>
      <c r="E514" s="22" t="n">
        <f aca="false">SUM(E510:E513)</f>
        <v>130766</v>
      </c>
      <c r="F514" s="121"/>
    </row>
    <row r="515" customFormat="false" ht="16.8" hidden="false" customHeight="false" outlineLevel="0" collapsed="false">
      <c r="A515" s="126" t="s">
        <v>242</v>
      </c>
      <c r="B515" s="126"/>
      <c r="C515" s="126"/>
      <c r="D515" s="126"/>
      <c r="E515" s="126"/>
      <c r="F515" s="121"/>
    </row>
    <row r="516" customFormat="false" ht="16.8" hidden="false" customHeight="false" outlineLevel="0" collapsed="false">
      <c r="A516" s="13" t="s">
        <v>12</v>
      </c>
      <c r="B516" s="13"/>
      <c r="C516" s="13"/>
      <c r="D516" s="13"/>
      <c r="E516" s="24"/>
      <c r="F516" s="24"/>
    </row>
    <row r="517" customFormat="false" ht="67.2" hidden="false" customHeight="false" outlineLevel="0" collapsed="false">
      <c r="A517" s="25" t="s">
        <v>13</v>
      </c>
      <c r="B517" s="17" t="s">
        <v>328</v>
      </c>
      <c r="C517" s="93" t="s">
        <v>138</v>
      </c>
      <c r="D517" s="120" t="s">
        <v>16</v>
      </c>
    </row>
    <row r="518" customFormat="false" ht="33.6" hidden="false" customHeight="false" outlineLevel="0" collapsed="false">
      <c r="A518" s="49" t="s">
        <v>49</v>
      </c>
      <c r="B518" s="20" t="n">
        <v>15450</v>
      </c>
      <c r="C518" s="20" t="n">
        <v>50</v>
      </c>
      <c r="D518" s="29"/>
    </row>
    <row r="519" customFormat="false" ht="16.8" hidden="false" customHeight="false" outlineLevel="0" collapsed="false">
      <c r="A519" s="49" t="s">
        <v>53</v>
      </c>
      <c r="B519" s="20" t="n">
        <v>28950</v>
      </c>
      <c r="C519" s="51" t="n">
        <v>61.1</v>
      </c>
      <c r="D519" s="51"/>
    </row>
    <row r="520" customFormat="false" ht="33.6" hidden="false" customHeight="false" outlineLevel="0" collapsed="false">
      <c r="A520" s="49" t="s">
        <v>269</v>
      </c>
      <c r="B520" s="20"/>
      <c r="C520" s="19"/>
      <c r="D520" s="51"/>
    </row>
    <row r="521" customFormat="false" ht="16.8" hidden="false" customHeight="false" outlineLevel="0" collapsed="false">
      <c r="A521" s="53" t="s">
        <v>18</v>
      </c>
      <c r="B521" s="20"/>
      <c r="C521" s="20"/>
      <c r="D521" s="20"/>
    </row>
    <row r="522" customFormat="false" ht="16.8" hidden="false" customHeight="false" outlineLevel="0" collapsed="false">
      <c r="A522" s="30" t="s">
        <v>11</v>
      </c>
      <c r="B522" s="94" t="n">
        <f aca="false">SUM(B518:B521)</f>
        <v>44400</v>
      </c>
      <c r="C522" s="94"/>
      <c r="D522" s="89"/>
      <c r="E522" s="100" t="n">
        <f aca="false">D514/(B522+C522)</f>
        <v>0</v>
      </c>
    </row>
    <row r="523" customFormat="false" ht="16.8" hidden="false" customHeight="false" outlineLevel="0" collapsed="false">
      <c r="A523" s="13" t="s">
        <v>20</v>
      </c>
      <c r="B523" s="1"/>
      <c r="C523" s="1"/>
      <c r="D523" s="1"/>
      <c r="E523" s="1"/>
      <c r="F523" s="1"/>
    </row>
    <row r="524" customFormat="false" ht="16.8" hidden="false" customHeight="false" outlineLevel="0" collapsed="false">
      <c r="A524" s="17" t="s">
        <v>13</v>
      </c>
      <c r="B524" s="17" t="s">
        <v>21</v>
      </c>
      <c r="C524" s="18"/>
      <c r="D524" s="18"/>
      <c r="E524" s="1"/>
      <c r="F524" s="1"/>
    </row>
    <row r="525" customFormat="false" ht="16.8" hidden="false" customHeight="false" outlineLevel="0" collapsed="false">
      <c r="A525" s="33" t="s">
        <v>22</v>
      </c>
      <c r="B525" s="34" t="n">
        <f aca="false">104846-850</f>
        <v>103996</v>
      </c>
      <c r="C525" s="1"/>
      <c r="D525" s="1"/>
      <c r="E525" s="39"/>
      <c r="F525" s="1"/>
    </row>
    <row r="526" customFormat="false" ht="16.8" hidden="false" customHeight="false" outlineLevel="0" collapsed="false">
      <c r="A526" s="33" t="s">
        <v>17</v>
      </c>
      <c r="B526" s="34" t="n">
        <v>239840</v>
      </c>
      <c r="C526" s="1"/>
      <c r="D526" s="1"/>
      <c r="E526" s="26"/>
      <c r="F526" s="39"/>
    </row>
    <row r="527" customFormat="false" ht="16.8" hidden="false" customHeight="false" outlineLevel="0" collapsed="false">
      <c r="A527" s="33" t="s">
        <v>18</v>
      </c>
      <c r="B527" s="34" t="n">
        <v>14250</v>
      </c>
      <c r="C527" s="1"/>
      <c r="D527" s="1"/>
      <c r="E527" s="26"/>
      <c r="F527" s="26"/>
    </row>
    <row r="528" customFormat="false" ht="16.8" hidden="false" customHeight="false" outlineLevel="0" collapsed="false">
      <c r="A528" s="25" t="s">
        <v>11</v>
      </c>
      <c r="B528" s="35" t="n">
        <f aca="false">SUM(B525:B527)</f>
        <v>358086</v>
      </c>
      <c r="C528" s="1"/>
      <c r="D528" s="1"/>
      <c r="E528" s="123"/>
      <c r="F528" s="26"/>
    </row>
    <row r="529" customFormat="false" ht="13.2" hidden="false" customHeight="false" outlineLevel="0" collapsed="false">
      <c r="A529" s="1"/>
      <c r="B529" s="1"/>
      <c r="C529" s="1"/>
      <c r="D529" s="1"/>
      <c r="E529" s="26"/>
      <c r="F529" s="26"/>
    </row>
    <row r="530" customFormat="false" ht="13.2" hidden="false" customHeight="false" outlineLevel="0" collapsed="false">
      <c r="A530" s="39" t="s">
        <v>23</v>
      </c>
      <c r="B530" s="39" t="s">
        <v>24</v>
      </c>
      <c r="C530" s="39" t="s">
        <v>25</v>
      </c>
      <c r="D530" s="39" t="s">
        <v>26</v>
      </c>
      <c r="E530" s="41" t="s">
        <v>27</v>
      </c>
      <c r="F530" s="41"/>
    </row>
    <row r="531" customFormat="false" ht="13.2" hidden="false" customHeight="false" outlineLevel="0" collapsed="false">
      <c r="A531" s="26"/>
      <c r="B531" s="26"/>
      <c r="C531" s="26"/>
      <c r="D531" s="26"/>
      <c r="E531" s="26"/>
      <c r="F531" s="39"/>
    </row>
    <row r="532" customFormat="false" ht="13.2" hidden="false" customHeight="false" outlineLevel="0" collapsed="false">
      <c r="A532" s="26"/>
      <c r="B532" s="26"/>
      <c r="C532" s="26"/>
      <c r="D532" s="26"/>
      <c r="E532" s="26"/>
    </row>
    <row r="533" customFormat="false" ht="13.2" hidden="false" customHeight="false" outlineLevel="0" collapsed="false">
      <c r="A533" s="26"/>
      <c r="B533" s="26"/>
      <c r="C533" s="26"/>
      <c r="D533" s="26"/>
      <c r="E533" s="26"/>
    </row>
    <row r="534" customFormat="false" ht="13.2" hidden="false" customHeight="false" outlineLevel="0" collapsed="false">
      <c r="A534" s="26"/>
      <c r="B534" s="26"/>
      <c r="C534" s="26"/>
      <c r="D534" s="26"/>
      <c r="E534" s="26"/>
    </row>
    <row r="535" customFormat="false" ht="13.2" hidden="false" customHeight="false" outlineLevel="0" collapsed="false">
      <c r="A535" s="39" t="s">
        <v>34</v>
      </c>
      <c r="B535" s="39"/>
      <c r="C535" s="39"/>
      <c r="D535" s="39"/>
      <c r="E535" s="41" t="s">
        <v>29</v>
      </c>
      <c r="F535" s="41"/>
    </row>
    <row r="541" customFormat="false" ht="18.6" hidden="false" customHeight="true" outlineLevel="0" collapsed="false">
      <c r="A541" s="118" t="s">
        <v>329</v>
      </c>
      <c r="B541" s="118"/>
      <c r="C541" s="118"/>
      <c r="D541" s="118"/>
      <c r="E541" s="118"/>
      <c r="F541" s="43"/>
    </row>
    <row r="542" customFormat="false" ht="13.8" hidden="false" customHeight="true" outlineLevel="0" collapsed="false">
      <c r="A542" s="119" t="s">
        <v>2</v>
      </c>
      <c r="B542" s="119"/>
      <c r="C542" s="119"/>
      <c r="D542" s="119"/>
      <c r="E542" s="119"/>
      <c r="F542" s="44"/>
    </row>
    <row r="543" customFormat="false" ht="16.8" hidden="false" customHeight="false" outlineLevel="0" collapsed="false">
      <c r="A543" s="13" t="s">
        <v>3</v>
      </c>
      <c r="B543" s="14"/>
      <c r="C543" s="14"/>
      <c r="D543" s="46"/>
      <c r="E543" s="46" t="s">
        <v>4</v>
      </c>
      <c r="F543" s="66"/>
    </row>
    <row r="544" customFormat="false" ht="33.6" hidden="false" customHeight="false" outlineLevel="0" collapsed="false">
      <c r="A544" s="17" t="s">
        <v>5</v>
      </c>
      <c r="B544" s="17" t="s">
        <v>5</v>
      </c>
      <c r="C544" s="17" t="s">
        <v>330</v>
      </c>
      <c r="D544" s="17" t="s">
        <v>7</v>
      </c>
      <c r="E544" s="17" t="s">
        <v>8</v>
      </c>
      <c r="F544" s="1"/>
    </row>
    <row r="545" customFormat="false" ht="16.8" hidden="false" customHeight="false" outlineLevel="0" collapsed="false">
      <c r="A545" s="19" t="s">
        <v>9</v>
      </c>
      <c r="B545" s="20" t="n">
        <f aca="false">E510</f>
        <v>0</v>
      </c>
      <c r="C545" s="20"/>
      <c r="D545" s="20" t="n">
        <f aca="false">B545+C545</f>
        <v>0</v>
      </c>
      <c r="E545" s="47" t="n">
        <f aca="false">B545+C545-D545</f>
        <v>0</v>
      </c>
      <c r="F545" s="1"/>
    </row>
    <row r="546" customFormat="false" ht="33.6" hidden="false" customHeight="false" outlineLevel="0" collapsed="false">
      <c r="A546" s="97" t="s">
        <v>159</v>
      </c>
      <c r="B546" s="20" t="n">
        <f aca="false">E511</f>
        <v>36005</v>
      </c>
      <c r="C546" s="20" t="n">
        <v>17280</v>
      </c>
      <c r="D546" s="20" t="n">
        <f aca="false">B546+C546</f>
        <v>53285</v>
      </c>
      <c r="E546" s="47" t="n">
        <f aca="false">B546+C546-D546</f>
        <v>0</v>
      </c>
      <c r="F546" s="1"/>
    </row>
    <row r="547" customFormat="false" ht="33.6" hidden="false" customHeight="false" outlineLevel="0" collapsed="false">
      <c r="A547" s="97" t="s">
        <v>202</v>
      </c>
      <c r="B547" s="20" t="n">
        <f aca="false">E512</f>
        <v>820</v>
      </c>
      <c r="C547" s="20" t="n">
        <v>1360</v>
      </c>
      <c r="D547" s="20" t="n">
        <f aca="false">B547+C547</f>
        <v>2180</v>
      </c>
      <c r="E547" s="47" t="n">
        <f aca="false">B547+C547-D547</f>
        <v>0</v>
      </c>
      <c r="F547" s="45"/>
    </row>
    <row r="548" customFormat="false" ht="16.8" hidden="false" customHeight="false" outlineLevel="0" collapsed="false">
      <c r="A548" s="19" t="s">
        <v>10</v>
      </c>
      <c r="B548" s="20" t="n">
        <f aca="false">E513</f>
        <v>93941</v>
      </c>
      <c r="C548" s="20" t="n">
        <v>29907</v>
      </c>
      <c r="D548" s="20" t="n">
        <f aca="false">B548+C548</f>
        <v>123848</v>
      </c>
      <c r="E548" s="47" t="n">
        <f aca="false">B548+C548-D548</f>
        <v>0</v>
      </c>
      <c r="F548" s="45"/>
    </row>
    <row r="549" customFormat="false" ht="16.8" hidden="false" customHeight="false" outlineLevel="0" collapsed="false">
      <c r="A549" s="21" t="s">
        <v>11</v>
      </c>
      <c r="B549" s="22" t="n">
        <f aca="false">SUM(B545:B548)</f>
        <v>130766</v>
      </c>
      <c r="C549" s="22" t="n">
        <f aca="false">SUM(C545:C548)</f>
        <v>48547</v>
      </c>
      <c r="D549" s="22" t="n">
        <f aca="false">SUM(D545:D548)</f>
        <v>179313</v>
      </c>
      <c r="E549" s="22" t="n">
        <f aca="false">SUM(E545:E548)</f>
        <v>0</v>
      </c>
      <c r="F549" s="121"/>
    </row>
    <row r="550" customFormat="false" ht="16.8" hidden="false" customHeight="false" outlineLevel="0" collapsed="false">
      <c r="A550" s="126" t="s">
        <v>242</v>
      </c>
      <c r="B550" s="126"/>
      <c r="C550" s="126"/>
      <c r="D550" s="126"/>
      <c r="E550" s="126"/>
      <c r="F550" s="121"/>
    </row>
    <row r="551" customFormat="false" ht="16.8" hidden="false" customHeight="false" outlineLevel="0" collapsed="false">
      <c r="A551" s="13" t="s">
        <v>12</v>
      </c>
      <c r="B551" s="13"/>
      <c r="C551" s="13"/>
      <c r="D551" s="13"/>
      <c r="E551" s="24"/>
      <c r="F551" s="24"/>
    </row>
    <row r="552" s="96" customFormat="true" ht="67.2" hidden="false" customHeight="false" outlineLevel="0" collapsed="false">
      <c r="A552" s="25" t="s">
        <v>13</v>
      </c>
      <c r="B552" s="17" t="s">
        <v>328</v>
      </c>
      <c r="C552" s="17" t="s">
        <v>331</v>
      </c>
      <c r="D552" s="93" t="s">
        <v>138</v>
      </c>
      <c r="E552" s="120" t="s">
        <v>16</v>
      </c>
    </row>
    <row r="553" customFormat="false" ht="21.75" hidden="false" customHeight="true" outlineLevel="0" collapsed="false">
      <c r="A553" s="49" t="s">
        <v>49</v>
      </c>
      <c r="B553" s="20" t="n">
        <v>15450</v>
      </c>
      <c r="C553" s="20" t="n">
        <v>8600</v>
      </c>
      <c r="D553" s="20" t="n">
        <v>50</v>
      </c>
      <c r="E553" s="29" t="n">
        <f aca="false">D546/(B553+C553)</f>
        <v>2.21559251559252</v>
      </c>
    </row>
    <row r="554" customFormat="false" ht="16.8" hidden="false" customHeight="false" outlineLevel="0" collapsed="false">
      <c r="A554" s="49" t="s">
        <v>53</v>
      </c>
      <c r="B554" s="20" t="n">
        <v>28950</v>
      </c>
      <c r="C554" s="19" t="n">
        <v>8700</v>
      </c>
      <c r="D554" s="51" t="n">
        <v>61.41</v>
      </c>
      <c r="E554" s="51" t="n">
        <f aca="false">(D547+D548)/(B554+C554)</f>
        <v>3.3473572377158</v>
      </c>
    </row>
    <row r="555" customFormat="false" ht="33.6" hidden="false" customHeight="false" outlineLevel="0" collapsed="false">
      <c r="A555" s="49" t="s">
        <v>269</v>
      </c>
      <c r="B555" s="20"/>
      <c r="C555" s="19"/>
      <c r="D555" s="19"/>
      <c r="E555" s="51"/>
      <c r="G555" s="0" t="n">
        <f aca="false">62*15950+60*13000</f>
        <v>1768900</v>
      </c>
      <c r="H555" s="0" t="n">
        <f aca="false">G555/28950</f>
        <v>61.1018998272884</v>
      </c>
      <c r="I555" s="0" t="n">
        <f aca="false">(63*7100+1600*60)/8700</f>
        <v>62.448275862069</v>
      </c>
    </row>
    <row r="556" customFormat="false" ht="16.8" hidden="false" customHeight="false" outlineLevel="0" collapsed="false">
      <c r="A556" s="53" t="s">
        <v>18</v>
      </c>
      <c r="B556" s="20"/>
      <c r="C556" s="20"/>
      <c r="D556" s="20"/>
      <c r="E556" s="20"/>
      <c r="H556" s="106" t="n">
        <f aca="false">(H555*B554+I555*C554)/(B554+C554)</f>
        <v>61.4130146082337</v>
      </c>
    </row>
    <row r="557" customFormat="false" ht="16.8" hidden="false" customHeight="false" outlineLevel="0" collapsed="false">
      <c r="A557" s="30" t="s">
        <v>11</v>
      </c>
      <c r="B557" s="94" t="n">
        <f aca="false">SUM(B553:B556)</f>
        <v>44400</v>
      </c>
      <c r="C557" s="94" t="n">
        <f aca="false">SUM(C553:C556)</f>
        <v>17300</v>
      </c>
      <c r="D557" s="94"/>
      <c r="E557" s="89" t="n">
        <f aca="false">D549/(B557+C557)</f>
        <v>2.9062074554295</v>
      </c>
    </row>
    <row r="558" customFormat="false" ht="16.8" hidden="false" customHeight="false" outlineLevel="0" collapsed="false">
      <c r="A558" s="13" t="s">
        <v>20</v>
      </c>
      <c r="B558" s="1"/>
      <c r="C558" s="1"/>
      <c r="D558" s="1"/>
      <c r="E558" s="1"/>
      <c r="F558" s="1"/>
    </row>
    <row r="559" customFormat="false" ht="16.8" hidden="false" customHeight="false" outlineLevel="0" collapsed="false">
      <c r="A559" s="17" t="s">
        <v>13</v>
      </c>
      <c r="B559" s="17" t="s">
        <v>21</v>
      </c>
      <c r="C559" s="18"/>
      <c r="D559" s="18"/>
      <c r="E559" s="1"/>
      <c r="F559" s="1"/>
    </row>
    <row r="560" customFormat="false" ht="16.8" hidden="false" customHeight="false" outlineLevel="0" collapsed="false">
      <c r="A560" s="33" t="s">
        <v>22</v>
      </c>
      <c r="B560" s="34" t="n">
        <f aca="false">113446-850</f>
        <v>112596</v>
      </c>
      <c r="C560" s="1"/>
      <c r="D560" s="1"/>
      <c r="E560" s="39"/>
      <c r="F560" s="1"/>
    </row>
    <row r="561" customFormat="false" ht="16.8" hidden="false" customHeight="false" outlineLevel="0" collapsed="false">
      <c r="A561" s="33" t="s">
        <v>17</v>
      </c>
      <c r="B561" s="34" t="n">
        <v>203640</v>
      </c>
      <c r="C561" s="1"/>
      <c r="D561" s="1"/>
      <c r="E561" s="26"/>
      <c r="F561" s="39"/>
    </row>
    <row r="562" customFormat="false" ht="16.8" hidden="false" customHeight="false" outlineLevel="0" collapsed="false">
      <c r="A562" s="33" t="s">
        <v>18</v>
      </c>
      <c r="B562" s="34" t="n">
        <v>14250</v>
      </c>
      <c r="C562" s="1"/>
      <c r="D562" s="1"/>
      <c r="E562" s="26"/>
      <c r="F562" s="26"/>
    </row>
    <row r="563" customFormat="false" ht="16.8" hidden="false" customHeight="false" outlineLevel="0" collapsed="false">
      <c r="A563" s="25" t="s">
        <v>11</v>
      </c>
      <c r="B563" s="35" t="n">
        <f aca="false">SUM(B560:B562)</f>
        <v>330486</v>
      </c>
      <c r="C563" s="1"/>
      <c r="D563" s="1"/>
      <c r="E563" s="123"/>
      <c r="F563" s="26"/>
    </row>
    <row r="564" customFormat="false" ht="13.2" hidden="false" customHeight="false" outlineLevel="0" collapsed="false">
      <c r="A564" s="1"/>
      <c r="B564" s="1"/>
      <c r="C564" s="1"/>
      <c r="D564" s="1"/>
      <c r="E564" s="26"/>
      <c r="F564" s="26"/>
    </row>
    <row r="565" customFormat="false" ht="13.2" hidden="false" customHeight="false" outlineLevel="0" collapsed="false">
      <c r="A565" s="39" t="s">
        <v>23</v>
      </c>
      <c r="B565" s="39" t="s">
        <v>24</v>
      </c>
      <c r="C565" s="39" t="s">
        <v>25</v>
      </c>
      <c r="D565" s="39" t="s">
        <v>26</v>
      </c>
      <c r="E565" s="41" t="s">
        <v>27</v>
      </c>
      <c r="F565" s="41"/>
    </row>
    <row r="566" customFormat="false" ht="13.2" hidden="false" customHeight="false" outlineLevel="0" collapsed="false">
      <c r="A566" s="26"/>
      <c r="B566" s="26"/>
      <c r="C566" s="26"/>
      <c r="D566" s="26"/>
      <c r="E566" s="26"/>
      <c r="F566" s="39"/>
    </row>
    <row r="567" customFormat="false" ht="13.2" hidden="false" customHeight="false" outlineLevel="0" collapsed="false">
      <c r="A567" s="26"/>
      <c r="B567" s="26"/>
      <c r="C567" s="26"/>
      <c r="D567" s="26"/>
      <c r="E567" s="26"/>
    </row>
    <row r="568" customFormat="false" ht="13.2" hidden="false" customHeight="false" outlineLevel="0" collapsed="false">
      <c r="A568" s="26"/>
      <c r="B568" s="26"/>
      <c r="C568" s="26"/>
      <c r="D568" s="26"/>
      <c r="E568" s="26"/>
    </row>
    <row r="569" customFormat="false" ht="13.2" hidden="false" customHeight="false" outlineLevel="0" collapsed="false">
      <c r="A569" s="26"/>
      <c r="B569" s="26"/>
      <c r="C569" s="26"/>
      <c r="D569" s="26"/>
      <c r="E569" s="26"/>
    </row>
    <row r="570" customFormat="false" ht="13.2" hidden="false" customHeight="false" outlineLevel="0" collapsed="false">
      <c r="A570" s="39" t="s">
        <v>34</v>
      </c>
      <c r="B570" s="39"/>
      <c r="C570" s="39"/>
      <c r="D570" s="39"/>
      <c r="E570" s="41" t="s">
        <v>29</v>
      </c>
      <c r="F570" s="41"/>
    </row>
    <row r="574" customFormat="false" ht="18.6" hidden="false" customHeight="true" outlineLevel="0" collapsed="false">
      <c r="A574" s="118" t="s">
        <v>332</v>
      </c>
      <c r="B574" s="118"/>
      <c r="C574" s="118"/>
      <c r="D574" s="118"/>
      <c r="E574" s="118"/>
      <c r="F574" s="43"/>
    </row>
    <row r="575" customFormat="false" ht="13.8" hidden="false" customHeight="true" outlineLevel="0" collapsed="false">
      <c r="A575" s="119" t="s">
        <v>2</v>
      </c>
      <c r="B575" s="119"/>
      <c r="C575" s="119"/>
      <c r="D575" s="119"/>
      <c r="E575" s="119"/>
      <c r="F575" s="44"/>
    </row>
    <row r="576" customFormat="false" ht="16.8" hidden="false" customHeight="false" outlineLevel="0" collapsed="false">
      <c r="A576" s="13" t="s">
        <v>3</v>
      </c>
      <c r="B576" s="14"/>
      <c r="C576" s="14"/>
      <c r="D576" s="46"/>
      <c r="E576" s="46" t="s">
        <v>4</v>
      </c>
      <c r="F576" s="66"/>
    </row>
    <row r="577" customFormat="false" ht="33.6" hidden="false" customHeight="false" outlineLevel="0" collapsed="false">
      <c r="A577" s="17" t="s">
        <v>5</v>
      </c>
      <c r="B577" s="17" t="s">
        <v>5</v>
      </c>
      <c r="C577" s="17" t="s">
        <v>333</v>
      </c>
      <c r="D577" s="17" t="s">
        <v>7</v>
      </c>
      <c r="E577" s="17" t="s">
        <v>8</v>
      </c>
      <c r="F577" s="1"/>
    </row>
    <row r="578" customFormat="false" ht="16.8" hidden="false" customHeight="false" outlineLevel="0" collapsed="false">
      <c r="A578" s="19" t="s">
        <v>9</v>
      </c>
      <c r="B578" s="20" t="n">
        <f aca="false">E545</f>
        <v>0</v>
      </c>
      <c r="C578" s="20"/>
      <c r="D578" s="20"/>
      <c r="E578" s="47" t="n">
        <f aca="false">B578+C578-D578</f>
        <v>0</v>
      </c>
      <c r="F578" s="1"/>
    </row>
    <row r="579" customFormat="false" ht="33.6" hidden="false" customHeight="false" outlineLevel="0" collapsed="false">
      <c r="A579" s="97" t="s">
        <v>159</v>
      </c>
      <c r="B579" s="20" t="n">
        <f aca="false">E546</f>
        <v>0</v>
      </c>
      <c r="C579" s="20" t="n">
        <v>39515</v>
      </c>
      <c r="D579" s="20"/>
      <c r="E579" s="47" t="n">
        <f aca="false">B579+C579-D579</f>
        <v>39515</v>
      </c>
      <c r="F579" s="1"/>
    </row>
    <row r="580" customFormat="false" ht="33.6" hidden="false" customHeight="false" outlineLevel="0" collapsed="false">
      <c r="A580" s="97" t="s">
        <v>202</v>
      </c>
      <c r="B580" s="20" t="n">
        <f aca="false">E547</f>
        <v>0</v>
      </c>
      <c r="C580" s="20" t="n">
        <v>1285</v>
      </c>
      <c r="D580" s="20"/>
      <c r="E580" s="47" t="n">
        <f aca="false">B580+C580-D580</f>
        <v>1285</v>
      </c>
      <c r="F580" s="45"/>
    </row>
    <row r="581" customFormat="false" ht="16.8" hidden="false" customHeight="false" outlineLevel="0" collapsed="false">
      <c r="A581" s="19" t="s">
        <v>10</v>
      </c>
      <c r="B581" s="20" t="n">
        <f aca="false">E548</f>
        <v>0</v>
      </c>
      <c r="C581" s="20" t="n">
        <v>158856</v>
      </c>
      <c r="D581" s="20"/>
      <c r="E581" s="47" t="n">
        <f aca="false">B581+C581-D581</f>
        <v>158856</v>
      </c>
      <c r="F581" s="45"/>
    </row>
    <row r="582" customFormat="false" ht="16.8" hidden="false" customHeight="false" outlineLevel="0" collapsed="false">
      <c r="A582" s="21" t="s">
        <v>11</v>
      </c>
      <c r="B582" s="22" t="n">
        <f aca="false">SUM(B578:B581)</f>
        <v>0</v>
      </c>
      <c r="C582" s="22" t="n">
        <f aca="false">SUM(C578:C581)</f>
        <v>199656</v>
      </c>
      <c r="D582" s="22" t="n">
        <f aca="false">SUM(D578:D581)</f>
        <v>0</v>
      </c>
      <c r="E582" s="22" t="n">
        <f aca="false">SUM(E578:E581)</f>
        <v>199656</v>
      </c>
      <c r="F582" s="121"/>
    </row>
    <row r="583" customFormat="false" ht="16.8" hidden="false" customHeight="false" outlineLevel="0" collapsed="false">
      <c r="A583" s="126" t="s">
        <v>317</v>
      </c>
      <c r="B583" s="126"/>
      <c r="C583" s="126"/>
      <c r="D583" s="126"/>
      <c r="E583" s="126"/>
      <c r="F583" s="121"/>
    </row>
    <row r="584" customFormat="false" ht="16.8" hidden="false" customHeight="false" outlineLevel="0" collapsed="false">
      <c r="A584" s="13" t="s">
        <v>12</v>
      </c>
      <c r="B584" s="13"/>
      <c r="C584" s="13"/>
      <c r="D584" s="13"/>
      <c r="E584" s="24"/>
      <c r="F584" s="24"/>
    </row>
    <row r="585" customFormat="false" ht="67.2" hidden="false" customHeight="false" outlineLevel="0" collapsed="false">
      <c r="A585" s="25" t="s">
        <v>13</v>
      </c>
      <c r="B585" s="17" t="s">
        <v>334</v>
      </c>
      <c r="C585" s="93" t="s">
        <v>138</v>
      </c>
      <c r="D585" s="120" t="s">
        <v>16</v>
      </c>
      <c r="E585" s="96"/>
    </row>
    <row r="586" customFormat="false" ht="33.6" hidden="false" customHeight="false" outlineLevel="0" collapsed="false">
      <c r="A586" s="49" t="s">
        <v>49</v>
      </c>
      <c r="B586" s="20" t="n">
        <v>14900</v>
      </c>
      <c r="C586" s="20"/>
      <c r="D586" s="29"/>
    </row>
    <row r="587" customFormat="false" ht="16.8" hidden="false" customHeight="false" outlineLevel="0" collapsed="false">
      <c r="A587" s="49" t="s">
        <v>53</v>
      </c>
      <c r="B587" s="19" t="n">
        <v>31330</v>
      </c>
      <c r="C587" s="51"/>
      <c r="D587" s="51"/>
    </row>
    <row r="588" customFormat="false" ht="33.6" hidden="false" customHeight="false" outlineLevel="0" collapsed="false">
      <c r="A588" s="49" t="s">
        <v>269</v>
      </c>
      <c r="B588" s="19"/>
      <c r="C588" s="19"/>
      <c r="D588" s="51"/>
    </row>
    <row r="589" customFormat="false" ht="16.8" hidden="false" customHeight="false" outlineLevel="0" collapsed="false">
      <c r="A589" s="53" t="s">
        <v>18</v>
      </c>
      <c r="B589" s="20"/>
      <c r="C589" s="20"/>
      <c r="D589" s="20"/>
    </row>
    <row r="590" customFormat="false" ht="16.8" hidden="false" customHeight="false" outlineLevel="0" collapsed="false">
      <c r="A590" s="30" t="s">
        <v>11</v>
      </c>
      <c r="B590" s="94" t="n">
        <f aca="false">SUM(B586:B589)</f>
        <v>46230</v>
      </c>
      <c r="C590" s="94"/>
      <c r="D590" s="89"/>
    </row>
    <row r="591" customFormat="false" ht="16.8" hidden="false" customHeight="false" outlineLevel="0" collapsed="false">
      <c r="A591" s="13" t="s">
        <v>20</v>
      </c>
      <c r="B591" s="1"/>
      <c r="C591" s="1"/>
      <c r="D591" s="1"/>
      <c r="E591" s="1"/>
      <c r="F591" s="1"/>
    </row>
    <row r="592" customFormat="false" ht="16.8" hidden="false" customHeight="false" outlineLevel="0" collapsed="false">
      <c r="A592" s="17" t="s">
        <v>13</v>
      </c>
      <c r="B592" s="17" t="s">
        <v>21</v>
      </c>
      <c r="C592" s="18"/>
      <c r="D592" s="18"/>
      <c r="E592" s="1"/>
      <c r="F592" s="1"/>
    </row>
    <row r="593" customFormat="false" ht="16.8" hidden="false" customHeight="false" outlineLevel="0" collapsed="false">
      <c r="A593" s="33" t="s">
        <v>22</v>
      </c>
      <c r="B593" s="34" t="n">
        <v>47496</v>
      </c>
      <c r="C593" s="1"/>
      <c r="D593" s="1"/>
      <c r="E593" s="39"/>
      <c r="F593" s="1"/>
    </row>
    <row r="594" customFormat="false" ht="16.8" hidden="false" customHeight="false" outlineLevel="0" collapsed="false">
      <c r="A594" s="33" t="s">
        <v>17</v>
      </c>
      <c r="B594" s="34" t="n">
        <v>82370</v>
      </c>
      <c r="C594" s="1"/>
      <c r="D594" s="1"/>
      <c r="E594" s="26"/>
      <c r="F594" s="39"/>
    </row>
    <row r="595" customFormat="false" ht="16.8" hidden="false" customHeight="false" outlineLevel="0" collapsed="false">
      <c r="A595" s="33" t="s">
        <v>18</v>
      </c>
      <c r="B595" s="34" t="n">
        <v>14250</v>
      </c>
      <c r="C595" s="1"/>
      <c r="D595" s="1"/>
      <c r="E595" s="26"/>
      <c r="F595" s="26"/>
    </row>
    <row r="596" customFormat="false" ht="16.8" hidden="false" customHeight="false" outlineLevel="0" collapsed="false">
      <c r="A596" s="25" t="s">
        <v>11</v>
      </c>
      <c r="B596" s="35" t="n">
        <f aca="false">SUM(B593:B595)</f>
        <v>144116</v>
      </c>
      <c r="C596" s="1"/>
      <c r="D596" s="1"/>
      <c r="E596" s="123"/>
      <c r="F596" s="26"/>
    </row>
    <row r="597" customFormat="false" ht="13.2" hidden="false" customHeight="false" outlineLevel="0" collapsed="false">
      <c r="A597" s="1"/>
      <c r="B597" s="1"/>
      <c r="C597" s="1"/>
      <c r="D597" s="1"/>
      <c r="E597" s="26"/>
      <c r="F597" s="26"/>
    </row>
    <row r="598" customFormat="false" ht="13.2" hidden="false" customHeight="false" outlineLevel="0" collapsed="false">
      <c r="A598" s="39" t="s">
        <v>23</v>
      </c>
      <c r="B598" s="39" t="s">
        <v>24</v>
      </c>
      <c r="C598" s="39" t="s">
        <v>25</v>
      </c>
      <c r="D598" s="39" t="s">
        <v>26</v>
      </c>
      <c r="E598" s="41" t="s">
        <v>27</v>
      </c>
      <c r="F598" s="41"/>
    </row>
    <row r="599" customFormat="false" ht="13.2" hidden="false" customHeight="false" outlineLevel="0" collapsed="false">
      <c r="A599" s="26"/>
      <c r="B599" s="26"/>
      <c r="C599" s="26"/>
      <c r="D599" s="26"/>
      <c r="E599" s="26"/>
      <c r="F599" s="39"/>
    </row>
    <row r="600" customFormat="false" ht="13.2" hidden="false" customHeight="false" outlineLevel="0" collapsed="false">
      <c r="A600" s="26"/>
      <c r="B600" s="26"/>
      <c r="C600" s="26"/>
      <c r="D600" s="26"/>
      <c r="E600" s="26"/>
    </row>
    <row r="601" customFormat="false" ht="13.2" hidden="false" customHeight="false" outlineLevel="0" collapsed="false">
      <c r="A601" s="26"/>
      <c r="B601" s="26"/>
      <c r="C601" s="26"/>
      <c r="D601" s="26"/>
      <c r="E601" s="26"/>
    </row>
    <row r="602" customFormat="false" ht="13.2" hidden="false" customHeight="false" outlineLevel="0" collapsed="false">
      <c r="A602" s="26"/>
      <c r="B602" s="26"/>
      <c r="C602" s="26"/>
      <c r="D602" s="26"/>
      <c r="E602" s="26"/>
    </row>
    <row r="603" customFormat="false" ht="13.2" hidden="false" customHeight="false" outlineLevel="0" collapsed="false">
      <c r="A603" s="39" t="s">
        <v>34</v>
      </c>
      <c r="B603" s="39"/>
      <c r="C603" s="39"/>
      <c r="D603" s="39"/>
      <c r="E603" s="41" t="s">
        <v>29</v>
      </c>
      <c r="F603" s="41"/>
    </row>
    <row r="608" customFormat="false" ht="18.6" hidden="false" customHeight="true" outlineLevel="0" collapsed="false">
      <c r="A608" s="118" t="s">
        <v>335</v>
      </c>
      <c r="B608" s="118"/>
      <c r="C608" s="118"/>
      <c r="D608" s="118"/>
      <c r="E608" s="118"/>
      <c r="F608" s="43"/>
    </row>
    <row r="609" customFormat="false" ht="13.8" hidden="false" customHeight="true" outlineLevel="0" collapsed="false">
      <c r="A609" s="119" t="s">
        <v>2</v>
      </c>
      <c r="B609" s="119"/>
      <c r="C609" s="119"/>
      <c r="D609" s="119"/>
      <c r="E609" s="119"/>
      <c r="F609" s="44"/>
    </row>
    <row r="610" customFormat="false" ht="16.8" hidden="false" customHeight="false" outlineLevel="0" collapsed="false">
      <c r="A610" s="13" t="s">
        <v>3</v>
      </c>
      <c r="B610" s="14"/>
      <c r="C610" s="14"/>
      <c r="D610" s="46"/>
      <c r="E610" s="46" t="s">
        <v>4</v>
      </c>
      <c r="F610" s="66"/>
    </row>
    <row r="611" customFormat="false" ht="33.6" hidden="false" customHeight="false" outlineLevel="0" collapsed="false">
      <c r="A611" s="17" t="s">
        <v>5</v>
      </c>
      <c r="B611" s="17" t="s">
        <v>5</v>
      </c>
      <c r="C611" s="17" t="s">
        <v>336</v>
      </c>
      <c r="D611" s="17" t="s">
        <v>7</v>
      </c>
      <c r="E611" s="17" t="s">
        <v>8</v>
      </c>
      <c r="F611" s="1"/>
    </row>
    <row r="612" customFormat="false" ht="16.8" hidden="false" customHeight="false" outlineLevel="0" collapsed="false">
      <c r="A612" s="19" t="s">
        <v>9</v>
      </c>
      <c r="B612" s="20" t="n">
        <f aca="false">E578</f>
        <v>0</v>
      </c>
      <c r="C612" s="20" t="n">
        <v>168</v>
      </c>
      <c r="D612" s="20"/>
      <c r="E612" s="47" t="n">
        <f aca="false">B612+C612-D612</f>
        <v>168</v>
      </c>
      <c r="F612" s="1"/>
    </row>
    <row r="613" customFormat="false" ht="33.6" hidden="false" customHeight="false" outlineLevel="0" collapsed="false">
      <c r="A613" s="97" t="s">
        <v>159</v>
      </c>
      <c r="B613" s="20" t="n">
        <f aca="false">E579</f>
        <v>39515</v>
      </c>
      <c r="C613" s="20" t="n">
        <v>44480</v>
      </c>
      <c r="D613" s="20"/>
      <c r="E613" s="47" t="n">
        <f aca="false">B613+C613-D613</f>
        <v>83995</v>
      </c>
      <c r="F613" s="1"/>
    </row>
    <row r="614" customFormat="false" ht="33.6" hidden="false" customHeight="false" outlineLevel="0" collapsed="false">
      <c r="A614" s="97" t="s">
        <v>202</v>
      </c>
      <c r="B614" s="20" t="n">
        <f aca="false">E580</f>
        <v>1285</v>
      </c>
      <c r="C614" s="20" t="n">
        <v>4605</v>
      </c>
      <c r="D614" s="20"/>
      <c r="E614" s="47" t="n">
        <f aca="false">B614+C614-D614</f>
        <v>5890</v>
      </c>
      <c r="F614" s="45"/>
    </row>
    <row r="615" customFormat="false" ht="16.8" hidden="false" customHeight="false" outlineLevel="0" collapsed="false">
      <c r="A615" s="19" t="s">
        <v>10</v>
      </c>
      <c r="B615" s="20" t="n">
        <f aca="false">E581</f>
        <v>158856</v>
      </c>
      <c r="C615" s="20" t="n">
        <f aca="false">97076-C612</f>
        <v>96908</v>
      </c>
      <c r="D615" s="20"/>
      <c r="E615" s="47" t="n">
        <f aca="false">B615+C615-D615</f>
        <v>255764</v>
      </c>
      <c r="F615" s="45"/>
    </row>
    <row r="616" customFormat="false" ht="16.8" hidden="false" customHeight="false" outlineLevel="0" collapsed="false">
      <c r="A616" s="21" t="s">
        <v>11</v>
      </c>
      <c r="B616" s="22" t="n">
        <f aca="false">SUM(B612:B615)</f>
        <v>199656</v>
      </c>
      <c r="C616" s="22" t="n">
        <f aca="false">SUM(C612:C615)</f>
        <v>146161</v>
      </c>
      <c r="D616" s="22" t="n">
        <f aca="false">SUM(D612:D615)</f>
        <v>0</v>
      </c>
      <c r="E616" s="22" t="n">
        <f aca="false">SUM(E612:E615)</f>
        <v>345817</v>
      </c>
      <c r="F616" s="121"/>
    </row>
    <row r="617" customFormat="false" ht="16.8" hidden="false" customHeight="false" outlineLevel="0" collapsed="false">
      <c r="A617" s="126" t="s">
        <v>317</v>
      </c>
      <c r="B617" s="126"/>
      <c r="C617" s="126"/>
      <c r="D617" s="126"/>
      <c r="E617" s="126"/>
      <c r="F617" s="121"/>
    </row>
    <row r="618" customFormat="false" ht="16.8" hidden="false" customHeight="false" outlineLevel="0" collapsed="false">
      <c r="A618" s="13" t="s">
        <v>12</v>
      </c>
      <c r="B618" s="13"/>
      <c r="C618" s="13"/>
      <c r="D618" s="13"/>
      <c r="E618" s="24"/>
      <c r="F618" s="24"/>
    </row>
    <row r="619" customFormat="false" ht="67.2" hidden="false" customHeight="false" outlineLevel="0" collapsed="false">
      <c r="A619" s="25" t="s">
        <v>13</v>
      </c>
      <c r="B619" s="17" t="s">
        <v>334</v>
      </c>
      <c r="C619" s="17" t="s">
        <v>337</v>
      </c>
      <c r="D619" s="93" t="s">
        <v>138</v>
      </c>
      <c r="E619" s="120" t="s">
        <v>16</v>
      </c>
    </row>
    <row r="620" customFormat="false" ht="33.6" hidden="false" customHeight="false" outlineLevel="0" collapsed="false">
      <c r="A620" s="49" t="s">
        <v>49</v>
      </c>
      <c r="B620" s="20" t="n">
        <v>14900</v>
      </c>
      <c r="C620" s="20" t="n">
        <v>17200</v>
      </c>
      <c r="D620" s="20"/>
      <c r="E620" s="29"/>
    </row>
    <row r="621" customFormat="false" ht="16.8" hidden="false" customHeight="false" outlineLevel="0" collapsed="false">
      <c r="A621" s="49" t="s">
        <v>53</v>
      </c>
      <c r="B621" s="19" t="n">
        <v>31330</v>
      </c>
      <c r="C621" s="19" t="n">
        <v>45590</v>
      </c>
      <c r="D621" s="51"/>
      <c r="E621" s="51"/>
    </row>
    <row r="622" customFormat="false" ht="33.6" hidden="false" customHeight="false" outlineLevel="0" collapsed="false">
      <c r="A622" s="49" t="s">
        <v>269</v>
      </c>
      <c r="B622" s="19"/>
      <c r="C622" s="19"/>
      <c r="D622" s="19"/>
      <c r="E622" s="51"/>
    </row>
    <row r="623" customFormat="false" ht="16.8" hidden="false" customHeight="false" outlineLevel="0" collapsed="false">
      <c r="A623" s="53" t="s">
        <v>18</v>
      </c>
      <c r="B623" s="20"/>
      <c r="C623" s="20"/>
      <c r="D623" s="20"/>
      <c r="E623" s="20"/>
    </row>
    <row r="624" customFormat="false" ht="16.8" hidden="false" customHeight="false" outlineLevel="0" collapsed="false">
      <c r="A624" s="30" t="s">
        <v>11</v>
      </c>
      <c r="B624" s="94" t="n">
        <f aca="false">SUM(B620:B623)</f>
        <v>46230</v>
      </c>
      <c r="C624" s="94" t="n">
        <f aca="false">SUM(C620:C623)</f>
        <v>62790</v>
      </c>
      <c r="D624" s="94"/>
      <c r="E624" s="89"/>
    </row>
    <row r="625" customFormat="false" ht="16.8" hidden="false" customHeight="false" outlineLevel="0" collapsed="false">
      <c r="A625" s="13" t="s">
        <v>20</v>
      </c>
      <c r="B625" s="1"/>
      <c r="C625" s="1"/>
      <c r="D625" s="1"/>
      <c r="E625" s="1"/>
      <c r="F625" s="1"/>
    </row>
    <row r="626" customFormat="false" ht="16.8" hidden="false" customHeight="false" outlineLevel="0" collapsed="false">
      <c r="A626" s="17" t="s">
        <v>13</v>
      </c>
      <c r="B626" s="17" t="s">
        <v>21</v>
      </c>
      <c r="C626" s="18"/>
      <c r="D626" s="18"/>
      <c r="E626" s="1"/>
      <c r="F626" s="1"/>
    </row>
    <row r="627" customFormat="false" ht="16.8" hidden="false" customHeight="false" outlineLevel="0" collapsed="false">
      <c r="A627" s="33" t="s">
        <v>22</v>
      </c>
      <c r="B627" s="34" t="n">
        <v>64696</v>
      </c>
      <c r="C627" s="1"/>
      <c r="D627" s="1"/>
      <c r="E627" s="39"/>
      <c r="F627" s="1"/>
    </row>
    <row r="628" customFormat="false" ht="16.8" hidden="false" customHeight="false" outlineLevel="0" collapsed="false">
      <c r="A628" s="33" t="s">
        <v>17</v>
      </c>
      <c r="B628" s="34" t="n">
        <v>124640</v>
      </c>
      <c r="C628" s="1"/>
      <c r="D628" s="1"/>
      <c r="E628" s="26"/>
      <c r="F628" s="39"/>
    </row>
    <row r="629" customFormat="false" ht="16.8" hidden="false" customHeight="false" outlineLevel="0" collapsed="false">
      <c r="A629" s="33" t="s">
        <v>18</v>
      </c>
      <c r="B629" s="34" t="n">
        <v>14250</v>
      </c>
      <c r="C629" s="1"/>
      <c r="D629" s="1"/>
      <c r="E629" s="26"/>
      <c r="F629" s="26"/>
    </row>
    <row r="630" customFormat="false" ht="16.8" hidden="false" customHeight="false" outlineLevel="0" collapsed="false">
      <c r="A630" s="25" t="s">
        <v>11</v>
      </c>
      <c r="B630" s="35" t="n">
        <f aca="false">SUM(B627:B629)</f>
        <v>203586</v>
      </c>
      <c r="C630" s="1"/>
      <c r="D630" s="1"/>
      <c r="E630" s="123"/>
      <c r="F630" s="26"/>
    </row>
    <row r="631" customFormat="false" ht="13.2" hidden="false" customHeight="false" outlineLevel="0" collapsed="false">
      <c r="A631" s="1"/>
      <c r="B631" s="1"/>
      <c r="C631" s="1"/>
      <c r="D631" s="1"/>
      <c r="E631" s="26"/>
      <c r="F631" s="26"/>
    </row>
    <row r="632" customFormat="false" ht="13.2" hidden="false" customHeight="false" outlineLevel="0" collapsed="false">
      <c r="A632" s="39" t="s">
        <v>23</v>
      </c>
      <c r="B632" s="39" t="s">
        <v>24</v>
      </c>
      <c r="C632" s="39" t="s">
        <v>25</v>
      </c>
      <c r="D632" s="39" t="s">
        <v>26</v>
      </c>
      <c r="E632" s="41" t="s">
        <v>27</v>
      </c>
      <c r="F632" s="41"/>
    </row>
    <row r="633" customFormat="false" ht="13.2" hidden="false" customHeight="false" outlineLevel="0" collapsed="false">
      <c r="A633" s="26"/>
      <c r="B633" s="26"/>
      <c r="C633" s="26"/>
      <c r="D633" s="26"/>
      <c r="E633" s="26"/>
      <c r="F633" s="39"/>
    </row>
    <row r="634" customFormat="false" ht="13.2" hidden="false" customHeight="false" outlineLevel="0" collapsed="false">
      <c r="A634" s="26"/>
      <c r="B634" s="26"/>
      <c r="C634" s="26"/>
      <c r="D634" s="26"/>
      <c r="E634" s="26"/>
    </row>
    <row r="635" customFormat="false" ht="13.2" hidden="false" customHeight="false" outlineLevel="0" collapsed="false">
      <c r="A635" s="26"/>
      <c r="B635" s="26"/>
      <c r="C635" s="26"/>
      <c r="D635" s="26"/>
      <c r="E635" s="26"/>
    </row>
    <row r="636" customFormat="false" ht="13.2" hidden="false" customHeight="false" outlineLevel="0" collapsed="false">
      <c r="A636" s="26"/>
      <c r="B636" s="26"/>
      <c r="C636" s="26"/>
      <c r="D636" s="26"/>
      <c r="E636" s="26"/>
    </row>
    <row r="637" customFormat="false" ht="13.2" hidden="false" customHeight="false" outlineLevel="0" collapsed="false">
      <c r="A637" s="39" t="s">
        <v>34</v>
      </c>
      <c r="B637" s="39"/>
      <c r="C637" s="39"/>
      <c r="D637" s="39"/>
      <c r="E637" s="41" t="s">
        <v>29</v>
      </c>
      <c r="F637" s="41"/>
    </row>
    <row r="640" customFormat="false" ht="18.6" hidden="false" customHeight="true" outlineLevel="0" collapsed="false">
      <c r="A640" s="118" t="s">
        <v>338</v>
      </c>
      <c r="B640" s="118"/>
      <c r="C640" s="118"/>
      <c r="D640" s="118"/>
      <c r="E640" s="118"/>
      <c r="F640" s="43"/>
    </row>
    <row r="641" customFormat="false" ht="13.8" hidden="false" customHeight="true" outlineLevel="0" collapsed="false">
      <c r="A641" s="119" t="s">
        <v>2</v>
      </c>
      <c r="B641" s="119"/>
      <c r="C641" s="119"/>
      <c r="D641" s="119"/>
      <c r="E641" s="119"/>
      <c r="F641" s="44"/>
    </row>
    <row r="642" customFormat="false" ht="16.8" hidden="false" customHeight="false" outlineLevel="0" collapsed="false">
      <c r="A642" s="13" t="s">
        <v>3</v>
      </c>
      <c r="B642" s="14"/>
      <c r="C642" s="14"/>
      <c r="D642" s="46"/>
      <c r="E642" s="46" t="s">
        <v>4</v>
      </c>
      <c r="F642" s="66"/>
    </row>
    <row r="643" customFormat="false" ht="33.6" hidden="false" customHeight="false" outlineLevel="0" collapsed="false">
      <c r="A643" s="17" t="s">
        <v>5</v>
      </c>
      <c r="B643" s="17" t="s">
        <v>5</v>
      </c>
      <c r="C643" s="17" t="s">
        <v>339</v>
      </c>
      <c r="D643" s="17" t="s">
        <v>7</v>
      </c>
      <c r="E643" s="17" t="s">
        <v>8</v>
      </c>
      <c r="F643" s="1"/>
    </row>
    <row r="644" customFormat="false" ht="16.8" hidden="false" customHeight="false" outlineLevel="0" collapsed="false">
      <c r="A644" s="19" t="s">
        <v>9</v>
      </c>
      <c r="B644" s="20" t="n">
        <f aca="false">E612</f>
        <v>168</v>
      </c>
      <c r="C644" s="20" t="n">
        <v>645</v>
      </c>
      <c r="D644" s="20" t="n">
        <v>813</v>
      </c>
      <c r="E644" s="47" t="n">
        <f aca="false">B644+C644-D644</f>
        <v>0</v>
      </c>
      <c r="F644" s="1"/>
    </row>
    <row r="645" customFormat="false" ht="33.6" hidden="false" customHeight="false" outlineLevel="0" collapsed="false">
      <c r="A645" s="97" t="s">
        <v>159</v>
      </c>
      <c r="B645" s="20" t="n">
        <f aca="false">E613</f>
        <v>83995</v>
      </c>
      <c r="C645" s="20" t="n">
        <v>39160</v>
      </c>
      <c r="D645" s="20" t="n">
        <v>123155</v>
      </c>
      <c r="E645" s="47" t="n">
        <f aca="false">B645+C645-D645</f>
        <v>0</v>
      </c>
      <c r="F645" s="1"/>
    </row>
    <row r="646" customFormat="false" ht="33.6" hidden="false" customHeight="false" outlineLevel="0" collapsed="false">
      <c r="A646" s="97" t="s">
        <v>202</v>
      </c>
      <c r="B646" s="20" t="n">
        <f aca="false">E614</f>
        <v>5890</v>
      </c>
      <c r="C646" s="20" t="n">
        <v>3675</v>
      </c>
      <c r="D646" s="20" t="n">
        <v>9565</v>
      </c>
      <c r="E646" s="47" t="n">
        <f aca="false">B646+C646-D646</f>
        <v>0</v>
      </c>
      <c r="F646" s="45"/>
    </row>
    <row r="647" customFormat="false" ht="16.8" hidden="false" customHeight="false" outlineLevel="0" collapsed="false">
      <c r="A647" s="19" t="s">
        <v>10</v>
      </c>
      <c r="B647" s="20" t="n">
        <f aca="false">E615</f>
        <v>255764</v>
      </c>
      <c r="C647" s="20" t="n">
        <f aca="false">20938-645</f>
        <v>20293</v>
      </c>
      <c r="D647" s="20" t="n">
        <v>276057</v>
      </c>
      <c r="E647" s="47" t="n">
        <f aca="false">B647+C647-D647</f>
        <v>0</v>
      </c>
      <c r="F647" s="45"/>
    </row>
    <row r="648" customFormat="false" ht="16.8" hidden="false" customHeight="false" outlineLevel="0" collapsed="false">
      <c r="A648" s="21" t="s">
        <v>11</v>
      </c>
      <c r="B648" s="22" t="n">
        <f aca="false">SUM(B644:B647)</f>
        <v>345817</v>
      </c>
      <c r="C648" s="22" t="n">
        <f aca="false">SUM(C644:C647)</f>
        <v>63773</v>
      </c>
      <c r="D648" s="22" t="n">
        <f aca="false">SUM(D644:D647)</f>
        <v>409590</v>
      </c>
      <c r="E648" s="22" t="n">
        <f aca="false">SUM(E644:E647)</f>
        <v>0</v>
      </c>
      <c r="F648" s="121"/>
    </row>
    <row r="649" customFormat="false" ht="16.8" hidden="false" customHeight="false" outlineLevel="0" collapsed="false">
      <c r="A649" s="13" t="s">
        <v>12</v>
      </c>
      <c r="B649" s="13"/>
      <c r="C649" s="13"/>
      <c r="D649" s="13"/>
      <c r="E649" s="24"/>
      <c r="F649" s="24"/>
    </row>
    <row r="650" customFormat="false" ht="67.2" hidden="false" customHeight="false" outlineLevel="0" collapsed="false">
      <c r="A650" s="25" t="s">
        <v>13</v>
      </c>
      <c r="B650" s="17" t="s">
        <v>340</v>
      </c>
      <c r="C650" s="17" t="s">
        <v>341</v>
      </c>
      <c r="D650" s="93" t="s">
        <v>138</v>
      </c>
      <c r="E650" s="120" t="s">
        <v>16</v>
      </c>
    </row>
    <row r="651" customFormat="false" ht="33.6" hidden="false" customHeight="false" outlineLevel="0" collapsed="false">
      <c r="A651" s="49" t="s">
        <v>49</v>
      </c>
      <c r="B651" s="20" t="n">
        <f aca="false">B620+C620</f>
        <v>32100</v>
      </c>
      <c r="C651" s="20" t="n">
        <v>17400</v>
      </c>
      <c r="D651" s="20"/>
      <c r="E651" s="29" t="n">
        <f aca="false">(D644+D645)/(B651+C651)</f>
        <v>2.50440404040404</v>
      </c>
    </row>
    <row r="652" customFormat="false" ht="16.8" hidden="false" customHeight="false" outlineLevel="0" collapsed="false">
      <c r="A652" s="49" t="s">
        <v>53</v>
      </c>
      <c r="B652" s="20" t="n">
        <f aca="false">B621+C621</f>
        <v>76920</v>
      </c>
      <c r="C652" s="19" t="n">
        <v>12500</v>
      </c>
      <c r="D652" s="51"/>
      <c r="E652" s="51" t="n">
        <f aca="false">(D646+D647)/(B652+C652)</f>
        <v>3.19416237978081</v>
      </c>
    </row>
    <row r="653" customFormat="false" ht="33.6" hidden="false" customHeight="false" outlineLevel="0" collapsed="false">
      <c r="A653" s="49" t="s">
        <v>269</v>
      </c>
      <c r="B653" s="20" t="n">
        <f aca="false">B622+C622</f>
        <v>0</v>
      </c>
      <c r="C653" s="19"/>
      <c r="D653" s="19"/>
      <c r="E653" s="51"/>
    </row>
    <row r="654" customFormat="false" ht="16.8" hidden="false" customHeight="false" outlineLevel="0" collapsed="false">
      <c r="A654" s="53" t="s">
        <v>18</v>
      </c>
      <c r="B654" s="20" t="n">
        <f aca="false">B623+C623</f>
        <v>0</v>
      </c>
      <c r="C654" s="20"/>
      <c r="D654" s="20"/>
      <c r="E654" s="20"/>
    </row>
    <row r="655" customFormat="false" ht="16.8" hidden="false" customHeight="false" outlineLevel="0" collapsed="false">
      <c r="A655" s="30" t="s">
        <v>11</v>
      </c>
      <c r="B655" s="94" t="n">
        <f aca="false">SUM(B651:B654)</f>
        <v>109020</v>
      </c>
      <c r="C655" s="94" t="n">
        <f aca="false">SUM(C651:C654)</f>
        <v>29900</v>
      </c>
      <c r="D655" s="94"/>
      <c r="E655" s="89" t="n">
        <f aca="false">D648/(B655+C655)</f>
        <v>2.94838756118629</v>
      </c>
    </row>
    <row r="656" s="127" customFormat="true" ht="16.8" hidden="false" customHeight="false" outlineLevel="0" collapsed="false">
      <c r="A656" s="55" t="s">
        <v>342</v>
      </c>
      <c r="B656" s="56"/>
      <c r="C656" s="56"/>
      <c r="D656" s="56"/>
      <c r="E656" s="100"/>
    </row>
    <row r="657" customFormat="false" ht="16.8" hidden="false" customHeight="false" outlineLevel="0" collapsed="false">
      <c r="A657" s="13" t="s">
        <v>20</v>
      </c>
      <c r="B657" s="1"/>
      <c r="C657" s="1"/>
      <c r="D657" s="1"/>
      <c r="E657" s="1"/>
      <c r="F657" s="1"/>
    </row>
    <row r="658" customFormat="false" ht="16.8" hidden="false" customHeight="false" outlineLevel="0" collapsed="false">
      <c r="A658" s="17" t="s">
        <v>13</v>
      </c>
      <c r="B658" s="17" t="s">
        <v>21</v>
      </c>
      <c r="C658" s="18"/>
      <c r="D658" s="18"/>
      <c r="E658" s="1"/>
      <c r="F658" s="1"/>
    </row>
    <row r="659" customFormat="false" ht="16.8" hidden="false" customHeight="false" outlineLevel="0" collapsed="false">
      <c r="A659" s="33" t="s">
        <v>22</v>
      </c>
      <c r="B659" s="34" t="n">
        <v>82096</v>
      </c>
      <c r="C659" s="1"/>
      <c r="D659" s="1"/>
      <c r="E659" s="39"/>
      <c r="F659" s="1"/>
    </row>
    <row r="660" customFormat="false" ht="16.8" hidden="false" customHeight="false" outlineLevel="0" collapsed="false">
      <c r="A660" s="33" t="s">
        <v>17</v>
      </c>
      <c r="B660" s="34" t="n">
        <v>82490</v>
      </c>
      <c r="C660" s="1"/>
      <c r="D660" s="1"/>
      <c r="E660" s="26"/>
      <c r="F660" s="39"/>
    </row>
    <row r="661" customFormat="false" ht="16.8" hidden="false" customHeight="false" outlineLevel="0" collapsed="false">
      <c r="A661" s="33" t="s">
        <v>18</v>
      </c>
      <c r="B661" s="34" t="n">
        <v>14250</v>
      </c>
      <c r="C661" s="1"/>
      <c r="D661" s="1"/>
      <c r="E661" s="26"/>
      <c r="F661" s="26"/>
    </row>
    <row r="662" customFormat="false" ht="16.8" hidden="false" customHeight="false" outlineLevel="0" collapsed="false">
      <c r="A662" s="25" t="s">
        <v>11</v>
      </c>
      <c r="B662" s="35" t="n">
        <f aca="false">SUM(B659:B661)</f>
        <v>178836</v>
      </c>
      <c r="C662" s="1"/>
      <c r="D662" s="1"/>
      <c r="E662" s="123"/>
      <c r="F662" s="26"/>
    </row>
    <row r="663" customFormat="false" ht="13.2" hidden="false" customHeight="false" outlineLevel="0" collapsed="false">
      <c r="A663" s="1"/>
      <c r="B663" s="1"/>
      <c r="C663" s="1"/>
      <c r="D663" s="1"/>
      <c r="E663" s="26"/>
      <c r="F663" s="26"/>
    </row>
    <row r="664" customFormat="false" ht="13.2" hidden="false" customHeight="false" outlineLevel="0" collapsed="false">
      <c r="A664" s="39" t="s">
        <v>23</v>
      </c>
      <c r="B664" s="39" t="s">
        <v>24</v>
      </c>
      <c r="C664" s="39" t="s">
        <v>25</v>
      </c>
      <c r="D664" s="39" t="s">
        <v>26</v>
      </c>
      <c r="E664" s="41" t="s">
        <v>27</v>
      </c>
      <c r="F664" s="41"/>
    </row>
    <row r="665" customFormat="false" ht="13.2" hidden="false" customHeight="false" outlineLevel="0" collapsed="false">
      <c r="A665" s="26"/>
      <c r="B665" s="26"/>
      <c r="C665" s="26"/>
      <c r="D665" s="26"/>
      <c r="E665" s="26"/>
      <c r="F665" s="39"/>
    </row>
    <row r="666" customFormat="false" ht="13.2" hidden="false" customHeight="false" outlineLevel="0" collapsed="false">
      <c r="A666" s="26"/>
      <c r="B666" s="26"/>
      <c r="C666" s="26"/>
      <c r="D666" s="26"/>
      <c r="E666" s="26"/>
    </row>
    <row r="667" customFormat="false" ht="13.2" hidden="false" customHeight="false" outlineLevel="0" collapsed="false">
      <c r="A667" s="26"/>
      <c r="B667" s="26"/>
      <c r="C667" s="26"/>
      <c r="D667" s="26"/>
      <c r="E667" s="26"/>
    </row>
    <row r="668" customFormat="false" ht="13.2" hidden="false" customHeight="false" outlineLevel="0" collapsed="false">
      <c r="A668" s="26"/>
      <c r="B668" s="26"/>
      <c r="C668" s="26"/>
      <c r="D668" s="26"/>
      <c r="E668" s="26"/>
    </row>
    <row r="669" customFormat="false" ht="13.2" hidden="false" customHeight="false" outlineLevel="0" collapsed="false">
      <c r="A669" s="39" t="s">
        <v>34</v>
      </c>
      <c r="B669" s="39"/>
      <c r="C669" s="39"/>
      <c r="D669" s="39"/>
      <c r="E669" s="41" t="s">
        <v>29</v>
      </c>
      <c r="F669" s="41"/>
    </row>
    <row r="674" customFormat="false" ht="18.6" hidden="false" customHeight="true" outlineLevel="0" collapsed="false">
      <c r="A674" s="118" t="s">
        <v>343</v>
      </c>
      <c r="B674" s="118"/>
      <c r="C674" s="118"/>
      <c r="D674" s="118"/>
      <c r="E674" s="118"/>
      <c r="F674" s="43"/>
    </row>
    <row r="675" customFormat="false" ht="13.8" hidden="false" customHeight="true" outlineLevel="0" collapsed="false">
      <c r="A675" s="119" t="s">
        <v>2</v>
      </c>
      <c r="B675" s="119"/>
      <c r="C675" s="119"/>
      <c r="D675" s="119"/>
      <c r="E675" s="119"/>
      <c r="F675" s="44"/>
    </row>
    <row r="676" customFormat="false" ht="16.8" hidden="false" customHeight="false" outlineLevel="0" collapsed="false">
      <c r="A676" s="13" t="s">
        <v>3</v>
      </c>
      <c r="B676" s="14"/>
      <c r="C676" s="14"/>
      <c r="D676" s="46"/>
      <c r="E676" s="46" t="s">
        <v>4</v>
      </c>
      <c r="F676" s="66"/>
    </row>
    <row r="677" customFormat="false" ht="33.6" hidden="false" customHeight="false" outlineLevel="0" collapsed="false">
      <c r="A677" s="17" t="s">
        <v>5</v>
      </c>
      <c r="B677" s="17" t="s">
        <v>5</v>
      </c>
      <c r="C677" s="17" t="s">
        <v>344</v>
      </c>
      <c r="D677" s="17" t="s">
        <v>7</v>
      </c>
      <c r="E677" s="17" t="s">
        <v>8</v>
      </c>
      <c r="F677" s="1"/>
    </row>
    <row r="678" customFormat="false" ht="16.8" hidden="false" customHeight="false" outlineLevel="0" collapsed="false">
      <c r="A678" s="19" t="s">
        <v>9</v>
      </c>
      <c r="B678" s="20" t="n">
        <f aca="false">E646</f>
        <v>0</v>
      </c>
      <c r="C678" s="20" t="n">
        <v>245</v>
      </c>
      <c r="D678" s="20" t="n">
        <f aca="false">C678</f>
        <v>245</v>
      </c>
      <c r="E678" s="47" t="n">
        <f aca="false">B678+C678-D678</f>
        <v>0</v>
      </c>
      <c r="F678" s="1"/>
    </row>
    <row r="679" customFormat="false" ht="33.6" hidden="false" customHeight="false" outlineLevel="0" collapsed="false">
      <c r="A679" s="97" t="s">
        <v>159</v>
      </c>
      <c r="B679" s="20" t="n">
        <f aca="false">E647</f>
        <v>0</v>
      </c>
      <c r="C679" s="20" t="n">
        <v>34870</v>
      </c>
      <c r="D679" s="20" t="n">
        <f aca="false">C679</f>
        <v>34870</v>
      </c>
      <c r="E679" s="47" t="n">
        <f aca="false">B679+C679-D679</f>
        <v>0</v>
      </c>
      <c r="F679" s="1"/>
    </row>
    <row r="680" customFormat="false" ht="33.6" hidden="false" customHeight="false" outlineLevel="0" collapsed="false">
      <c r="A680" s="97" t="s">
        <v>202</v>
      </c>
      <c r="B680" s="20" t="n">
        <f aca="false">E648</f>
        <v>0</v>
      </c>
      <c r="C680" s="20" t="n">
        <v>960</v>
      </c>
      <c r="D680" s="20" t="n">
        <f aca="false">C680</f>
        <v>960</v>
      </c>
      <c r="E680" s="47" t="n">
        <f aca="false">B680+C680-D680</f>
        <v>0</v>
      </c>
      <c r="F680" s="45"/>
    </row>
    <row r="681" customFormat="false" ht="16.8" hidden="false" customHeight="false" outlineLevel="0" collapsed="false">
      <c r="A681" s="19" t="s">
        <v>10</v>
      </c>
      <c r="B681" s="20" t="n">
        <f aca="false">E649</f>
        <v>0</v>
      </c>
      <c r="C681" s="20" t="n">
        <f aca="false">55161-C678</f>
        <v>54916</v>
      </c>
      <c r="D681" s="20" t="n">
        <f aca="false">C681</f>
        <v>54916</v>
      </c>
      <c r="E681" s="47" t="n">
        <f aca="false">B681+C681-D681</f>
        <v>0</v>
      </c>
      <c r="F681" s="45"/>
    </row>
    <row r="682" customFormat="false" ht="16.8" hidden="false" customHeight="false" outlineLevel="0" collapsed="false">
      <c r="A682" s="21" t="s">
        <v>11</v>
      </c>
      <c r="B682" s="22" t="n">
        <f aca="false">SUM(B678:B681)</f>
        <v>0</v>
      </c>
      <c r="C682" s="22" t="n">
        <f aca="false">SUM(C678:C681)</f>
        <v>90991</v>
      </c>
      <c r="D682" s="22" t="n">
        <f aca="false">SUM(D678:D681)</f>
        <v>90991</v>
      </c>
      <c r="E682" s="22" t="n">
        <f aca="false">SUM(E678:E681)</f>
        <v>0</v>
      </c>
      <c r="F682" s="121"/>
    </row>
    <row r="683" customFormat="false" ht="16.8" hidden="false" customHeight="false" outlineLevel="0" collapsed="false">
      <c r="A683" s="13" t="s">
        <v>12</v>
      </c>
      <c r="B683" s="13"/>
      <c r="C683" s="13"/>
      <c r="D683" s="13"/>
      <c r="E683" s="24"/>
      <c r="F683" s="24"/>
    </row>
    <row r="684" customFormat="false" ht="67.2" hidden="false" customHeight="false" outlineLevel="0" collapsed="false">
      <c r="A684" s="25" t="s">
        <v>13</v>
      </c>
      <c r="B684" s="17" t="s">
        <v>345</v>
      </c>
      <c r="C684" s="93" t="s">
        <v>138</v>
      </c>
      <c r="D684" s="120" t="s">
        <v>16</v>
      </c>
    </row>
    <row r="685" customFormat="false" ht="33.6" hidden="false" customHeight="false" outlineLevel="0" collapsed="false">
      <c r="A685" s="49" t="s">
        <v>49</v>
      </c>
      <c r="B685" s="20" t="n">
        <v>14950</v>
      </c>
      <c r="C685" s="20"/>
      <c r="D685" s="29" t="n">
        <f aca="false">(D678+D679)/B685</f>
        <v>2.34882943143813</v>
      </c>
    </row>
    <row r="686" customFormat="false" ht="16.8" hidden="false" customHeight="false" outlineLevel="0" collapsed="false">
      <c r="A686" s="49" t="s">
        <v>53</v>
      </c>
      <c r="B686" s="19" t="n">
        <v>7700</v>
      </c>
      <c r="C686" s="51"/>
      <c r="D686" s="122" t="n">
        <f aca="false">(D680+D681)/(B686+B687)</f>
        <v>3.18563283922463</v>
      </c>
    </row>
    <row r="687" customFormat="false" ht="33.6" hidden="false" customHeight="false" outlineLevel="0" collapsed="false">
      <c r="A687" s="49" t="s">
        <v>269</v>
      </c>
      <c r="B687" s="19" t="n">
        <v>9840</v>
      </c>
      <c r="C687" s="19"/>
      <c r="D687" s="122"/>
    </row>
    <row r="688" customFormat="false" ht="16.8" hidden="false" customHeight="false" outlineLevel="0" collapsed="false">
      <c r="A688" s="53" t="s">
        <v>18</v>
      </c>
      <c r="B688" s="20"/>
      <c r="C688" s="20"/>
      <c r="D688" s="20"/>
    </row>
    <row r="689" customFormat="false" ht="16.8" hidden="false" customHeight="false" outlineLevel="0" collapsed="false">
      <c r="A689" s="30" t="s">
        <v>11</v>
      </c>
      <c r="B689" s="94" t="n">
        <f aca="false">SUM(B685:B688)</f>
        <v>32490</v>
      </c>
      <c r="C689" s="94"/>
      <c r="D689" s="89" t="n">
        <f aca="false">D682/B689</f>
        <v>2.80058479532164</v>
      </c>
    </row>
    <row r="690" s="127" customFormat="true" ht="16.8" hidden="false" customHeight="false" outlineLevel="0" collapsed="false">
      <c r="A690" s="55" t="s">
        <v>342</v>
      </c>
      <c r="B690" s="56"/>
      <c r="C690" s="56"/>
      <c r="D690" s="100"/>
    </row>
    <row r="691" customFormat="false" ht="16.8" hidden="false" customHeight="false" outlineLevel="0" collapsed="false">
      <c r="A691" s="13" t="s">
        <v>20</v>
      </c>
      <c r="B691" s="1"/>
      <c r="C691" s="1"/>
      <c r="D691" s="1"/>
      <c r="E691" s="1"/>
      <c r="F691" s="1"/>
    </row>
    <row r="692" customFormat="false" ht="16.8" hidden="false" customHeight="false" outlineLevel="0" collapsed="false">
      <c r="A692" s="17" t="s">
        <v>13</v>
      </c>
      <c r="B692" s="17" t="s">
        <v>21</v>
      </c>
      <c r="C692" s="18"/>
      <c r="D692" s="18"/>
      <c r="E692" s="1"/>
      <c r="F692" s="1"/>
    </row>
    <row r="693" customFormat="false" ht="16.8" hidden="false" customHeight="false" outlineLevel="0" collapsed="false">
      <c r="A693" s="33" t="s">
        <v>22</v>
      </c>
      <c r="B693" s="34" t="n">
        <v>100966</v>
      </c>
      <c r="C693" s="1"/>
      <c r="D693" s="1"/>
      <c r="E693" s="39"/>
      <c r="F693" s="1"/>
    </row>
    <row r="694" customFormat="false" ht="16.8" hidden="false" customHeight="false" outlineLevel="0" collapsed="false">
      <c r="A694" s="33" t="s">
        <v>17</v>
      </c>
      <c r="B694" s="34" t="n">
        <v>100030</v>
      </c>
      <c r="C694" s="1"/>
      <c r="D694" s="1"/>
      <c r="E694" s="26"/>
      <c r="F694" s="39"/>
    </row>
    <row r="695" customFormat="false" ht="16.8" hidden="false" customHeight="false" outlineLevel="0" collapsed="false">
      <c r="A695" s="33" t="s">
        <v>18</v>
      </c>
      <c r="B695" s="34" t="n">
        <v>10300</v>
      </c>
      <c r="C695" s="1"/>
      <c r="D695" s="1"/>
      <c r="E695" s="26"/>
      <c r="F695" s="26"/>
    </row>
    <row r="696" customFormat="false" ht="16.8" hidden="false" customHeight="false" outlineLevel="0" collapsed="false">
      <c r="A696" s="25" t="s">
        <v>11</v>
      </c>
      <c r="B696" s="35" t="n">
        <f aca="false">SUM(B693:B695)</f>
        <v>211296</v>
      </c>
      <c r="C696" s="1"/>
      <c r="D696" s="1"/>
      <c r="E696" s="123"/>
      <c r="F696" s="26"/>
    </row>
    <row r="697" customFormat="false" ht="13.2" hidden="false" customHeight="false" outlineLevel="0" collapsed="false">
      <c r="A697" s="1"/>
      <c r="B697" s="1"/>
      <c r="C697" s="1"/>
      <c r="D697" s="1"/>
      <c r="E697" s="26"/>
      <c r="F697" s="26"/>
    </row>
    <row r="698" customFormat="false" ht="13.2" hidden="false" customHeight="false" outlineLevel="0" collapsed="false">
      <c r="A698" s="39" t="s">
        <v>23</v>
      </c>
      <c r="B698" s="39" t="s">
        <v>24</v>
      </c>
      <c r="C698" s="39" t="s">
        <v>25</v>
      </c>
      <c r="D698" s="39" t="s">
        <v>26</v>
      </c>
      <c r="E698" s="41" t="s">
        <v>27</v>
      </c>
      <c r="F698" s="41"/>
    </row>
    <row r="699" customFormat="false" ht="13.2" hidden="false" customHeight="false" outlineLevel="0" collapsed="false">
      <c r="A699" s="26"/>
      <c r="B699" s="26"/>
      <c r="C699" s="26"/>
      <c r="D699" s="26"/>
      <c r="E699" s="26"/>
      <c r="F699" s="39"/>
    </row>
    <row r="700" customFormat="false" ht="13.2" hidden="false" customHeight="false" outlineLevel="0" collapsed="false">
      <c r="A700" s="26"/>
      <c r="B700" s="26"/>
      <c r="C700" s="26"/>
      <c r="D700" s="26"/>
      <c r="E700" s="26"/>
    </row>
    <row r="701" customFormat="false" ht="13.2" hidden="false" customHeight="false" outlineLevel="0" collapsed="false">
      <c r="A701" s="26"/>
      <c r="B701" s="26"/>
      <c r="C701" s="26"/>
      <c r="D701" s="26"/>
      <c r="E701" s="26"/>
    </row>
    <row r="702" customFormat="false" ht="13.2" hidden="false" customHeight="false" outlineLevel="0" collapsed="false">
      <c r="A702" s="26"/>
      <c r="B702" s="26"/>
      <c r="C702" s="26"/>
      <c r="D702" s="26"/>
      <c r="E702" s="26"/>
    </row>
    <row r="703" customFormat="false" ht="13.2" hidden="false" customHeight="false" outlineLevel="0" collapsed="false">
      <c r="A703" s="39" t="s">
        <v>34</v>
      </c>
      <c r="B703" s="39"/>
      <c r="C703" s="39"/>
      <c r="D703" s="39"/>
      <c r="E703" s="41" t="s">
        <v>29</v>
      </c>
      <c r="F703" s="41"/>
    </row>
    <row r="709" customFormat="false" ht="18.6" hidden="false" customHeight="true" outlineLevel="0" collapsed="false">
      <c r="A709" s="118" t="s">
        <v>346</v>
      </c>
      <c r="B709" s="118"/>
      <c r="C709" s="118"/>
      <c r="D709" s="118"/>
      <c r="E709" s="118"/>
      <c r="F709" s="43"/>
    </row>
    <row r="710" customFormat="false" ht="13.8" hidden="false" customHeight="true" outlineLevel="0" collapsed="false">
      <c r="A710" s="119" t="s">
        <v>2</v>
      </c>
      <c r="B710" s="119"/>
      <c r="C710" s="119"/>
      <c r="D710" s="119"/>
      <c r="E710" s="119"/>
      <c r="F710" s="44"/>
    </row>
    <row r="711" customFormat="false" ht="16.8" hidden="false" customHeight="false" outlineLevel="0" collapsed="false">
      <c r="A711" s="13" t="s">
        <v>3</v>
      </c>
      <c r="B711" s="14"/>
      <c r="C711" s="14"/>
      <c r="D711" s="46"/>
      <c r="E711" s="46" t="s">
        <v>4</v>
      </c>
      <c r="F711" s="66"/>
    </row>
    <row r="712" customFormat="false" ht="33.6" hidden="false" customHeight="false" outlineLevel="0" collapsed="false">
      <c r="A712" s="17" t="s">
        <v>5</v>
      </c>
      <c r="B712" s="17" t="s">
        <v>5</v>
      </c>
      <c r="C712" s="17" t="s">
        <v>347</v>
      </c>
      <c r="D712" s="17" t="s">
        <v>7</v>
      </c>
      <c r="E712" s="17" t="s">
        <v>8</v>
      </c>
      <c r="F712" s="1"/>
    </row>
    <row r="713" customFormat="false" ht="16.8" hidden="false" customHeight="false" outlineLevel="0" collapsed="false">
      <c r="A713" s="19" t="s">
        <v>9</v>
      </c>
      <c r="B713" s="20" t="n">
        <f aca="false">E681</f>
        <v>0</v>
      </c>
      <c r="C713" s="20" t="n">
        <v>35</v>
      </c>
      <c r="D713" s="20" t="n">
        <v>35</v>
      </c>
      <c r="E713" s="47" t="n">
        <f aca="false">B713+C713-D713</f>
        <v>0</v>
      </c>
      <c r="F713" s="1"/>
    </row>
    <row r="714" customFormat="false" ht="33.6" hidden="false" customHeight="false" outlineLevel="0" collapsed="false">
      <c r="A714" s="97" t="s">
        <v>159</v>
      </c>
      <c r="B714" s="20" t="n">
        <f aca="false">E682</f>
        <v>0</v>
      </c>
      <c r="C714" s="20" t="n">
        <v>51850</v>
      </c>
      <c r="D714" s="20" t="n">
        <v>51850</v>
      </c>
      <c r="E714" s="47" t="n">
        <f aca="false">B714+C714-D714</f>
        <v>0</v>
      </c>
      <c r="F714" s="1"/>
    </row>
    <row r="715" customFormat="false" ht="33.6" hidden="false" customHeight="false" outlineLevel="0" collapsed="false">
      <c r="A715" s="97" t="s">
        <v>202</v>
      </c>
      <c r="B715" s="20" t="n">
        <f aca="false">E683</f>
        <v>0</v>
      </c>
      <c r="C715" s="20" t="n">
        <v>3360</v>
      </c>
      <c r="D715" s="20" t="n">
        <v>3360</v>
      </c>
      <c r="E715" s="47" t="n">
        <f aca="false">B715+C715-D715</f>
        <v>0</v>
      </c>
      <c r="F715" s="45"/>
    </row>
    <row r="716" customFormat="false" ht="16.8" hidden="false" customHeight="false" outlineLevel="0" collapsed="false">
      <c r="A716" s="19" t="s">
        <v>10</v>
      </c>
      <c r="B716" s="20" t="n">
        <f aca="false">E684</f>
        <v>0</v>
      </c>
      <c r="C716" s="20" t="n">
        <f aca="false">20553-C713</f>
        <v>20518</v>
      </c>
      <c r="D716" s="20" t="n">
        <v>20518</v>
      </c>
      <c r="E716" s="47" t="n">
        <f aca="false">B716+C716-D716</f>
        <v>0</v>
      </c>
      <c r="F716" s="45"/>
    </row>
    <row r="717" customFormat="false" ht="16.8" hidden="false" customHeight="false" outlineLevel="0" collapsed="false">
      <c r="A717" s="21" t="s">
        <v>11</v>
      </c>
      <c r="B717" s="22" t="n">
        <f aca="false">SUM(B713:B716)</f>
        <v>0</v>
      </c>
      <c r="C717" s="22" t="n">
        <f aca="false">SUM(C713:C716)</f>
        <v>75763</v>
      </c>
      <c r="D717" s="22" t="n">
        <f aca="false">SUM(D713:D716)</f>
        <v>75763</v>
      </c>
      <c r="E717" s="22" t="n">
        <f aca="false">SUM(E713:E716)</f>
        <v>0</v>
      </c>
      <c r="F717" s="121"/>
    </row>
    <row r="718" customFormat="false" ht="16.8" hidden="false" customHeight="false" outlineLevel="0" collapsed="false">
      <c r="A718" s="13" t="s">
        <v>12</v>
      </c>
      <c r="B718" s="13"/>
      <c r="C718" s="13"/>
      <c r="D718" s="13"/>
      <c r="E718" s="24"/>
      <c r="F718" s="24"/>
    </row>
    <row r="719" customFormat="false" ht="67.2" hidden="false" customHeight="false" outlineLevel="0" collapsed="false">
      <c r="A719" s="25" t="s">
        <v>13</v>
      </c>
      <c r="B719" s="17" t="s">
        <v>348</v>
      </c>
      <c r="C719" s="93" t="s">
        <v>138</v>
      </c>
      <c r="D719" s="120" t="s">
        <v>16</v>
      </c>
    </row>
    <row r="720" customFormat="false" ht="33.6" hidden="false" customHeight="false" outlineLevel="0" collapsed="false">
      <c r="A720" s="49" t="s">
        <v>49</v>
      </c>
      <c r="B720" s="20" t="n">
        <v>19200</v>
      </c>
      <c r="C720" s="20"/>
      <c r="D720" s="29" t="n">
        <f aca="false">(D713+D714)/B720</f>
        <v>2.70234375</v>
      </c>
    </row>
    <row r="721" customFormat="false" ht="16.8" hidden="false" customHeight="false" outlineLevel="0" collapsed="false">
      <c r="A721" s="49" t="s">
        <v>53</v>
      </c>
      <c r="B721" s="19" t="n">
        <v>8750</v>
      </c>
      <c r="C721" s="51"/>
      <c r="D721" s="122" t="n">
        <f aca="false">(D715+D716)/(B721+B722)</f>
        <v>2.72891428571429</v>
      </c>
    </row>
    <row r="722" customFormat="false" ht="33.6" hidden="false" customHeight="false" outlineLevel="0" collapsed="false">
      <c r="A722" s="49" t="s">
        <v>269</v>
      </c>
      <c r="B722" s="19"/>
      <c r="C722" s="19"/>
      <c r="D722" s="122"/>
    </row>
    <row r="723" customFormat="false" ht="16.8" hidden="false" customHeight="false" outlineLevel="0" collapsed="false">
      <c r="A723" s="53" t="s">
        <v>18</v>
      </c>
      <c r="B723" s="20"/>
      <c r="C723" s="20"/>
      <c r="D723" s="20"/>
    </row>
    <row r="724" customFormat="false" ht="16.8" hidden="false" customHeight="false" outlineLevel="0" collapsed="false">
      <c r="A724" s="30" t="s">
        <v>11</v>
      </c>
      <c r="B724" s="94" t="n">
        <f aca="false">SUM(B720:B723)</f>
        <v>27950</v>
      </c>
      <c r="C724" s="94"/>
      <c r="D724" s="89" t="n">
        <f aca="false">D717/B724</f>
        <v>2.71066189624329</v>
      </c>
    </row>
    <row r="725" customFormat="false" ht="16.8" hidden="false" customHeight="false" outlineLevel="0" collapsed="false">
      <c r="A725" s="55" t="s">
        <v>342</v>
      </c>
      <c r="B725" s="56"/>
      <c r="C725" s="56"/>
      <c r="D725" s="100"/>
      <c r="E725" s="127"/>
      <c r="F725" s="127"/>
    </row>
    <row r="726" customFormat="false" ht="16.8" hidden="false" customHeight="false" outlineLevel="0" collapsed="false">
      <c r="A726" s="13" t="s">
        <v>20</v>
      </c>
      <c r="B726" s="1"/>
      <c r="C726" s="1"/>
      <c r="D726" s="1"/>
      <c r="E726" s="1"/>
      <c r="F726" s="1"/>
    </row>
    <row r="727" customFormat="false" ht="16.8" hidden="false" customHeight="false" outlineLevel="0" collapsed="false">
      <c r="A727" s="17" t="s">
        <v>13</v>
      </c>
      <c r="B727" s="17" t="s">
        <v>21</v>
      </c>
      <c r="C727" s="18"/>
      <c r="D727" s="18"/>
      <c r="E727" s="1"/>
      <c r="F727" s="1"/>
    </row>
    <row r="728" customFormat="false" ht="16.8" hidden="false" customHeight="false" outlineLevel="0" collapsed="false">
      <c r="A728" s="33" t="s">
        <v>22</v>
      </c>
      <c r="B728" s="34" t="n">
        <v>120166</v>
      </c>
      <c r="C728" s="1"/>
      <c r="D728" s="1"/>
      <c r="E728" s="39"/>
      <c r="F728" s="1"/>
    </row>
    <row r="729" customFormat="false" ht="16.8" hidden="false" customHeight="false" outlineLevel="0" collapsed="false">
      <c r="A729" s="33" t="s">
        <v>17</v>
      </c>
      <c r="B729" s="34" t="n">
        <v>108780</v>
      </c>
      <c r="C729" s="1"/>
      <c r="D729" s="1"/>
      <c r="E729" s="26"/>
      <c r="F729" s="39"/>
    </row>
    <row r="730" customFormat="false" ht="16.8" hidden="false" customHeight="false" outlineLevel="0" collapsed="false">
      <c r="A730" s="33" t="s">
        <v>18</v>
      </c>
      <c r="B730" s="34" t="n">
        <v>10300</v>
      </c>
      <c r="C730" s="1"/>
      <c r="D730" s="1"/>
      <c r="E730" s="26"/>
      <c r="F730" s="26"/>
    </row>
    <row r="731" customFormat="false" ht="16.8" hidden="false" customHeight="false" outlineLevel="0" collapsed="false">
      <c r="A731" s="25" t="s">
        <v>11</v>
      </c>
      <c r="B731" s="35" t="n">
        <f aca="false">SUM(B728:B730)</f>
        <v>239246</v>
      </c>
      <c r="C731" s="1"/>
      <c r="D731" s="1"/>
      <c r="E731" s="123"/>
      <c r="F731" s="26"/>
    </row>
    <row r="732" customFormat="false" ht="13.2" hidden="false" customHeight="false" outlineLevel="0" collapsed="false">
      <c r="A732" s="1"/>
      <c r="B732" s="1"/>
      <c r="C732" s="1"/>
      <c r="D732" s="1"/>
      <c r="E732" s="26"/>
      <c r="F732" s="26"/>
    </row>
    <row r="733" customFormat="false" ht="13.2" hidden="false" customHeight="false" outlineLevel="0" collapsed="false">
      <c r="A733" s="39" t="s">
        <v>23</v>
      </c>
      <c r="B733" s="39" t="s">
        <v>24</v>
      </c>
      <c r="C733" s="39" t="s">
        <v>25</v>
      </c>
      <c r="D733" s="39" t="s">
        <v>26</v>
      </c>
      <c r="E733" s="41" t="s">
        <v>27</v>
      </c>
      <c r="F733" s="41"/>
    </row>
    <row r="734" customFormat="false" ht="13.2" hidden="false" customHeight="false" outlineLevel="0" collapsed="false">
      <c r="A734" s="26"/>
      <c r="B734" s="26"/>
      <c r="C734" s="26"/>
      <c r="D734" s="26"/>
      <c r="E734" s="26"/>
      <c r="F734" s="39"/>
    </row>
    <row r="735" customFormat="false" ht="13.2" hidden="false" customHeight="false" outlineLevel="0" collapsed="false">
      <c r="A735" s="26"/>
      <c r="B735" s="26"/>
      <c r="C735" s="26"/>
      <c r="D735" s="26"/>
      <c r="E735" s="26"/>
    </row>
    <row r="736" customFormat="false" ht="13.2" hidden="false" customHeight="false" outlineLevel="0" collapsed="false">
      <c r="A736" s="26"/>
      <c r="B736" s="26"/>
      <c r="C736" s="26"/>
      <c r="D736" s="26"/>
      <c r="E736" s="26"/>
    </row>
    <row r="737" customFormat="false" ht="13.2" hidden="false" customHeight="false" outlineLevel="0" collapsed="false">
      <c r="A737" s="26"/>
      <c r="B737" s="26"/>
      <c r="C737" s="26"/>
      <c r="D737" s="26"/>
      <c r="E737" s="26"/>
    </row>
    <row r="738" customFormat="false" ht="13.2" hidden="false" customHeight="false" outlineLevel="0" collapsed="false">
      <c r="A738" s="39" t="s">
        <v>34</v>
      </c>
      <c r="B738" s="39"/>
      <c r="C738" s="39"/>
      <c r="D738" s="39"/>
      <c r="E738" s="41" t="s">
        <v>29</v>
      </c>
      <c r="F738" s="41"/>
    </row>
    <row r="741" customFormat="false" ht="18.6" hidden="false" customHeight="true" outlineLevel="0" collapsed="false">
      <c r="A741" s="118" t="s">
        <v>349</v>
      </c>
      <c r="B741" s="118"/>
      <c r="C741" s="118"/>
      <c r="D741" s="118"/>
      <c r="E741" s="118"/>
      <c r="F741" s="43"/>
    </row>
    <row r="742" customFormat="false" ht="13.8" hidden="false" customHeight="true" outlineLevel="0" collapsed="false">
      <c r="A742" s="119" t="s">
        <v>2</v>
      </c>
      <c r="B742" s="119"/>
      <c r="C742" s="119"/>
      <c r="D742" s="119"/>
      <c r="E742" s="119"/>
      <c r="F742" s="44"/>
    </row>
    <row r="743" customFormat="false" ht="16.8" hidden="false" customHeight="false" outlineLevel="0" collapsed="false">
      <c r="A743" s="13" t="s">
        <v>3</v>
      </c>
      <c r="B743" s="14"/>
      <c r="C743" s="14"/>
      <c r="D743" s="46"/>
      <c r="E743" s="46" t="s">
        <v>4</v>
      </c>
      <c r="F743" s="66"/>
    </row>
    <row r="744" customFormat="false" ht="33.6" hidden="false" customHeight="false" outlineLevel="0" collapsed="false">
      <c r="A744" s="17" t="s">
        <v>5</v>
      </c>
      <c r="B744" s="17" t="s">
        <v>5</v>
      </c>
      <c r="C744" s="17" t="s">
        <v>350</v>
      </c>
      <c r="D744" s="17" t="s">
        <v>7</v>
      </c>
      <c r="E744" s="17" t="s">
        <v>8</v>
      </c>
      <c r="F744" s="1"/>
    </row>
    <row r="745" customFormat="false" ht="16.8" hidden="false" customHeight="false" outlineLevel="0" collapsed="false">
      <c r="A745" s="19" t="s">
        <v>9</v>
      </c>
      <c r="B745" s="20" t="n">
        <f aca="false">E713</f>
        <v>0</v>
      </c>
      <c r="C745" s="20" t="n">
        <v>95</v>
      </c>
      <c r="D745" s="20"/>
      <c r="E745" s="47" t="n">
        <f aca="false">B745+C745-D745</f>
        <v>95</v>
      </c>
      <c r="F745" s="1"/>
    </row>
    <row r="746" customFormat="false" ht="33.6" hidden="false" customHeight="false" outlineLevel="0" collapsed="false">
      <c r="A746" s="97" t="s">
        <v>159</v>
      </c>
      <c r="B746" s="20" t="n">
        <f aca="false">E714</f>
        <v>0</v>
      </c>
      <c r="C746" s="20" t="n">
        <v>25220</v>
      </c>
      <c r="D746" s="20"/>
      <c r="E746" s="47" t="n">
        <f aca="false">B746+C746-D746</f>
        <v>25220</v>
      </c>
      <c r="F746" s="1"/>
    </row>
    <row r="747" customFormat="false" ht="33.6" hidden="false" customHeight="false" outlineLevel="0" collapsed="false">
      <c r="A747" s="97" t="s">
        <v>202</v>
      </c>
      <c r="B747" s="20" t="n">
        <f aca="false">E715</f>
        <v>0</v>
      </c>
      <c r="C747" s="20" t="n">
        <v>2250</v>
      </c>
      <c r="D747" s="20"/>
      <c r="E747" s="47" t="n">
        <f aca="false">B747+C747-D747</f>
        <v>2250</v>
      </c>
      <c r="F747" s="45"/>
    </row>
    <row r="748" customFormat="false" ht="16.8" hidden="false" customHeight="false" outlineLevel="0" collapsed="false">
      <c r="A748" s="19" t="s">
        <v>10</v>
      </c>
      <c r="B748" s="20" t="n">
        <f aca="false">E716</f>
        <v>0</v>
      </c>
      <c r="C748" s="20" t="n">
        <f aca="false">57792-C745</f>
        <v>57697</v>
      </c>
      <c r="D748" s="20"/>
      <c r="E748" s="47" t="n">
        <f aca="false">B748+C748-D748</f>
        <v>57697</v>
      </c>
      <c r="F748" s="45"/>
    </row>
    <row r="749" customFormat="false" ht="16.8" hidden="false" customHeight="false" outlineLevel="0" collapsed="false">
      <c r="A749" s="21" t="s">
        <v>11</v>
      </c>
      <c r="B749" s="22" t="n">
        <f aca="false">SUM(B745:B748)</f>
        <v>0</v>
      </c>
      <c r="C749" s="22" t="n">
        <f aca="false">SUM(C745:C748)</f>
        <v>85262</v>
      </c>
      <c r="D749" s="22" t="n">
        <f aca="false">SUM(D745:D748)</f>
        <v>0</v>
      </c>
      <c r="E749" s="22" t="n">
        <f aca="false">SUM(E745:E748)</f>
        <v>85262</v>
      </c>
      <c r="F749" s="121"/>
    </row>
    <row r="750" customFormat="false" ht="16.8" hidden="false" customHeight="false" outlineLevel="0" collapsed="false">
      <c r="A750" s="13" t="s">
        <v>12</v>
      </c>
      <c r="B750" s="13"/>
      <c r="C750" s="13"/>
      <c r="D750" s="13"/>
      <c r="E750" s="24"/>
      <c r="F750" s="24"/>
    </row>
    <row r="751" customFormat="false" ht="67.2" hidden="false" customHeight="false" outlineLevel="0" collapsed="false">
      <c r="A751" s="25" t="s">
        <v>13</v>
      </c>
      <c r="B751" s="17" t="s">
        <v>351</v>
      </c>
      <c r="C751" s="93" t="s">
        <v>138</v>
      </c>
      <c r="D751" s="120" t="s">
        <v>16</v>
      </c>
    </row>
    <row r="752" customFormat="false" ht="33.6" hidden="false" customHeight="false" outlineLevel="0" collapsed="false">
      <c r="A752" s="49" t="s">
        <v>49</v>
      </c>
      <c r="B752" s="20" t="n">
        <v>14700</v>
      </c>
      <c r="C752" s="20"/>
      <c r="D752" s="29" t="n">
        <f aca="false">(D745+D746)/B752</f>
        <v>0</v>
      </c>
    </row>
    <row r="753" customFormat="false" ht="16.8" hidden="false" customHeight="false" outlineLevel="0" collapsed="false">
      <c r="A753" s="49" t="s">
        <v>53</v>
      </c>
      <c r="B753" s="19" t="n">
        <v>17750</v>
      </c>
      <c r="C753" s="51"/>
      <c r="D753" s="122" t="n">
        <f aca="false">(D747+D748)/(B753+B754)</f>
        <v>0</v>
      </c>
    </row>
    <row r="754" customFormat="false" ht="33.6" hidden="false" customHeight="false" outlineLevel="0" collapsed="false">
      <c r="A754" s="49" t="s">
        <v>269</v>
      </c>
      <c r="B754" s="19"/>
      <c r="C754" s="19"/>
      <c r="D754" s="122"/>
    </row>
    <row r="755" customFormat="false" ht="16.8" hidden="false" customHeight="false" outlineLevel="0" collapsed="false">
      <c r="A755" s="53" t="s">
        <v>18</v>
      </c>
      <c r="B755" s="20"/>
      <c r="C755" s="20"/>
      <c r="D755" s="20"/>
    </row>
    <row r="756" customFormat="false" ht="16.8" hidden="false" customHeight="false" outlineLevel="0" collapsed="false">
      <c r="A756" s="30" t="s">
        <v>11</v>
      </c>
      <c r="B756" s="94" t="n">
        <f aca="false">SUM(B752:B755)</f>
        <v>32450</v>
      </c>
      <c r="C756" s="94"/>
      <c r="D756" s="89" t="n">
        <f aca="false">D749/B756</f>
        <v>0</v>
      </c>
    </row>
    <row r="757" customFormat="false" ht="16.8" hidden="false" customHeight="false" outlineLevel="0" collapsed="false">
      <c r="A757" s="55" t="s">
        <v>342</v>
      </c>
      <c r="B757" s="56"/>
      <c r="C757" s="56"/>
      <c r="D757" s="100"/>
      <c r="E757" s="127"/>
      <c r="F757" s="127"/>
    </row>
    <row r="758" customFormat="false" ht="16.8" hidden="false" customHeight="false" outlineLevel="0" collapsed="false">
      <c r="A758" s="13" t="s">
        <v>20</v>
      </c>
      <c r="B758" s="1"/>
      <c r="C758" s="1"/>
      <c r="D758" s="1"/>
      <c r="E758" s="1"/>
      <c r="F758" s="1"/>
    </row>
    <row r="759" customFormat="false" ht="16.8" hidden="false" customHeight="false" outlineLevel="0" collapsed="false">
      <c r="A759" s="17" t="s">
        <v>13</v>
      </c>
      <c r="B759" s="17" t="s">
        <v>21</v>
      </c>
      <c r="C759" s="18"/>
      <c r="D759" s="18"/>
      <c r="E759" s="1"/>
      <c r="F759" s="1"/>
    </row>
    <row r="760" customFormat="false" ht="16.8" hidden="false" customHeight="false" outlineLevel="0" collapsed="false">
      <c r="A760" s="33" t="s">
        <v>22</v>
      </c>
      <c r="B760" s="34" t="n">
        <v>134866</v>
      </c>
      <c r="C760" s="1"/>
      <c r="D760" s="1"/>
      <c r="E760" s="39"/>
      <c r="F760" s="1"/>
    </row>
    <row r="761" customFormat="false" ht="16.8" hidden="false" customHeight="false" outlineLevel="0" collapsed="false">
      <c r="A761" s="33" t="s">
        <v>17</v>
      </c>
      <c r="B761" s="34" t="n">
        <v>126530</v>
      </c>
      <c r="C761" s="1"/>
      <c r="D761" s="1"/>
      <c r="E761" s="26"/>
      <c r="F761" s="39"/>
    </row>
    <row r="762" customFormat="false" ht="16.8" hidden="false" customHeight="false" outlineLevel="0" collapsed="false">
      <c r="A762" s="33" t="s">
        <v>18</v>
      </c>
      <c r="B762" s="34" t="n">
        <v>10300</v>
      </c>
      <c r="C762" s="1"/>
      <c r="D762" s="1"/>
      <c r="E762" s="26"/>
      <c r="F762" s="26"/>
    </row>
    <row r="763" customFormat="false" ht="16.8" hidden="false" customHeight="false" outlineLevel="0" collapsed="false">
      <c r="A763" s="25" t="s">
        <v>11</v>
      </c>
      <c r="B763" s="35" t="n">
        <f aca="false">SUM(B760:B762)</f>
        <v>271696</v>
      </c>
      <c r="C763" s="1"/>
      <c r="D763" s="1"/>
      <c r="E763" s="123"/>
      <c r="F763" s="26"/>
    </row>
    <row r="764" customFormat="false" ht="13.2" hidden="false" customHeight="false" outlineLevel="0" collapsed="false">
      <c r="A764" s="1"/>
      <c r="B764" s="1"/>
      <c r="C764" s="1"/>
      <c r="D764" s="1"/>
      <c r="E764" s="26"/>
      <c r="F764" s="26"/>
    </row>
    <row r="765" customFormat="false" ht="13.2" hidden="false" customHeight="false" outlineLevel="0" collapsed="false">
      <c r="A765" s="39" t="s">
        <v>23</v>
      </c>
      <c r="B765" s="39" t="s">
        <v>24</v>
      </c>
      <c r="C765" s="39" t="s">
        <v>25</v>
      </c>
      <c r="D765" s="39" t="s">
        <v>26</v>
      </c>
      <c r="E765" s="41" t="s">
        <v>27</v>
      </c>
      <c r="F765" s="41"/>
    </row>
    <row r="766" customFormat="false" ht="13.2" hidden="false" customHeight="false" outlineLevel="0" collapsed="false">
      <c r="A766" s="26"/>
      <c r="B766" s="26"/>
      <c r="C766" s="26"/>
      <c r="D766" s="26"/>
      <c r="E766" s="26"/>
      <c r="F766" s="39"/>
    </row>
    <row r="767" customFormat="false" ht="13.2" hidden="false" customHeight="false" outlineLevel="0" collapsed="false">
      <c r="A767" s="26"/>
      <c r="B767" s="26"/>
      <c r="C767" s="26"/>
      <c r="D767" s="26"/>
      <c r="E767" s="26"/>
    </row>
    <row r="768" customFormat="false" ht="13.2" hidden="false" customHeight="false" outlineLevel="0" collapsed="false">
      <c r="A768" s="26"/>
      <c r="B768" s="26"/>
      <c r="C768" s="26"/>
      <c r="D768" s="26"/>
      <c r="E768" s="26"/>
    </row>
    <row r="769" customFormat="false" ht="13.2" hidden="false" customHeight="false" outlineLevel="0" collapsed="false">
      <c r="A769" s="26"/>
      <c r="B769" s="26"/>
      <c r="C769" s="26"/>
      <c r="D769" s="26"/>
      <c r="E769" s="26"/>
    </row>
    <row r="770" customFormat="false" ht="13.2" hidden="false" customHeight="false" outlineLevel="0" collapsed="false">
      <c r="A770" s="39" t="s">
        <v>34</v>
      </c>
      <c r="B770" s="39"/>
      <c r="C770" s="39"/>
      <c r="D770" s="39"/>
      <c r="E770" s="41" t="s">
        <v>29</v>
      </c>
      <c r="F770" s="41"/>
    </row>
    <row r="774" customFormat="false" ht="18.6" hidden="false" customHeight="true" outlineLevel="0" collapsed="false">
      <c r="A774" s="118" t="s">
        <v>352</v>
      </c>
      <c r="B774" s="118"/>
      <c r="C774" s="118"/>
      <c r="D774" s="118"/>
      <c r="E774" s="118"/>
      <c r="F774" s="43"/>
    </row>
    <row r="775" customFormat="false" ht="13.8" hidden="false" customHeight="true" outlineLevel="0" collapsed="false">
      <c r="A775" s="119" t="s">
        <v>2</v>
      </c>
      <c r="B775" s="119"/>
      <c r="C775" s="119"/>
      <c r="D775" s="119"/>
      <c r="E775" s="119"/>
      <c r="F775" s="44"/>
    </row>
    <row r="776" customFormat="false" ht="16.8" hidden="false" customHeight="false" outlineLevel="0" collapsed="false">
      <c r="A776" s="13" t="s">
        <v>3</v>
      </c>
      <c r="B776" s="14"/>
      <c r="C776" s="14"/>
      <c r="D776" s="46"/>
      <c r="E776" s="46" t="s">
        <v>4</v>
      </c>
      <c r="F776" s="66"/>
    </row>
    <row r="777" customFormat="false" ht="33.6" hidden="false" customHeight="false" outlineLevel="0" collapsed="false">
      <c r="A777" s="17" t="s">
        <v>5</v>
      </c>
      <c r="B777" s="17" t="s">
        <v>5</v>
      </c>
      <c r="C777" s="17" t="s">
        <v>353</v>
      </c>
      <c r="D777" s="17" t="s">
        <v>7</v>
      </c>
      <c r="E777" s="17" t="s">
        <v>8</v>
      </c>
      <c r="F777" s="1"/>
    </row>
    <row r="778" customFormat="false" ht="16.8" hidden="false" customHeight="false" outlineLevel="0" collapsed="false">
      <c r="A778" s="19" t="s">
        <v>9</v>
      </c>
      <c r="B778" s="20" t="n">
        <f aca="false">E745</f>
        <v>95</v>
      </c>
      <c r="C778" s="20"/>
      <c r="D778" s="20" t="n">
        <v>95</v>
      </c>
      <c r="E778" s="47" t="n">
        <f aca="false">B778+C778-D778</f>
        <v>0</v>
      </c>
      <c r="F778" s="1"/>
    </row>
    <row r="779" customFormat="false" ht="33.6" hidden="false" customHeight="false" outlineLevel="0" collapsed="false">
      <c r="A779" s="97" t="s">
        <v>159</v>
      </c>
      <c r="B779" s="20" t="n">
        <f aca="false">E746</f>
        <v>25220</v>
      </c>
      <c r="C779" s="20"/>
      <c r="D779" s="20" t="n">
        <v>25220</v>
      </c>
      <c r="E779" s="47" t="n">
        <f aca="false">B779+C779-D779</f>
        <v>0</v>
      </c>
      <c r="F779" s="1"/>
      <c r="G779" s="99" t="n">
        <f aca="false">D780+D781+D715+D716</f>
        <v>197898</v>
      </c>
    </row>
    <row r="780" customFormat="false" ht="33.6" hidden="false" customHeight="false" outlineLevel="0" collapsed="false">
      <c r="A780" s="97" t="s">
        <v>202</v>
      </c>
      <c r="B780" s="20" t="n">
        <f aca="false">E747</f>
        <v>2250</v>
      </c>
      <c r="C780" s="20"/>
      <c r="D780" s="20" t="n">
        <v>2250</v>
      </c>
      <c r="E780" s="47" t="n">
        <f aca="false">B780+C780-D780</f>
        <v>0</v>
      </c>
      <c r="F780" s="45"/>
      <c r="G780" s="99" t="n">
        <f aca="false">B721+B786+C786+C787</f>
        <v>57660</v>
      </c>
    </row>
    <row r="781" customFormat="false" ht="16.8" hidden="false" customHeight="false" outlineLevel="0" collapsed="false">
      <c r="A781" s="19" t="s">
        <v>10</v>
      </c>
      <c r="B781" s="20" t="n">
        <f aca="false">E748</f>
        <v>57697</v>
      </c>
      <c r="C781" s="20" t="n">
        <v>114073</v>
      </c>
      <c r="D781" s="20" t="n">
        <v>171770</v>
      </c>
      <c r="E781" s="47" t="n">
        <f aca="false">B781+C781-D781</f>
        <v>0</v>
      </c>
      <c r="F781" s="45"/>
      <c r="G781" s="0" t="n">
        <f aca="false">G779/G780</f>
        <v>3.4321540062435</v>
      </c>
    </row>
    <row r="782" customFormat="false" ht="16.8" hidden="false" customHeight="false" outlineLevel="0" collapsed="false">
      <c r="A782" s="21" t="s">
        <v>11</v>
      </c>
      <c r="B782" s="22" t="n">
        <f aca="false">SUM(B778:B781)</f>
        <v>85262</v>
      </c>
      <c r="C782" s="22" t="n">
        <f aca="false">SUM(C778:C781)</f>
        <v>114073</v>
      </c>
      <c r="D782" s="22" t="n">
        <f aca="false">SUM(D778:D781)</f>
        <v>199335</v>
      </c>
      <c r="E782" s="22" t="n">
        <f aca="false">SUM(E778:E781)</f>
        <v>0</v>
      </c>
      <c r="F782" s="121"/>
    </row>
    <row r="783" customFormat="false" ht="16.8" hidden="false" customHeight="false" outlineLevel="0" collapsed="false">
      <c r="A783" s="13" t="s">
        <v>12</v>
      </c>
      <c r="B783" s="13"/>
      <c r="C783" s="13"/>
      <c r="D783" s="13"/>
      <c r="E783" s="24"/>
      <c r="F783" s="24"/>
    </row>
    <row r="784" customFormat="false" ht="67.2" hidden="false" customHeight="false" outlineLevel="0" collapsed="false">
      <c r="A784" s="25" t="s">
        <v>13</v>
      </c>
      <c r="B784" s="17" t="s">
        <v>351</v>
      </c>
      <c r="C784" s="17" t="s">
        <v>354</v>
      </c>
      <c r="D784" s="93" t="s">
        <v>138</v>
      </c>
      <c r="E784" s="120" t="s">
        <v>16</v>
      </c>
    </row>
    <row r="785" customFormat="false" ht="33.6" hidden="false" customHeight="false" outlineLevel="0" collapsed="false">
      <c r="A785" s="49" t="s">
        <v>49</v>
      </c>
      <c r="B785" s="20" t="n">
        <v>14700</v>
      </c>
      <c r="C785" s="20"/>
      <c r="D785" s="20"/>
      <c r="E785" s="29" t="n">
        <f aca="false">(D778+D779)/(B785+C785)</f>
        <v>1.72210884353742</v>
      </c>
    </row>
    <row r="786" customFormat="false" ht="16.8" hidden="false" customHeight="false" outlineLevel="0" collapsed="false">
      <c r="A786" s="49" t="s">
        <v>53</v>
      </c>
      <c r="B786" s="19" t="n">
        <v>17750</v>
      </c>
      <c r="C786" s="19" t="n">
        <f aca="false">31160-C787</f>
        <v>20800</v>
      </c>
      <c r="D786" s="51"/>
      <c r="E786" s="122" t="n">
        <f aca="false">(D780+D781)/(B786+C786+B787+C787)</f>
        <v>3.55796360662441</v>
      </c>
    </row>
    <row r="787" customFormat="false" ht="33.6" hidden="false" customHeight="false" outlineLevel="0" collapsed="false">
      <c r="A787" s="49" t="s">
        <v>269</v>
      </c>
      <c r="B787" s="19"/>
      <c r="C787" s="19" t="n">
        <v>10360</v>
      </c>
      <c r="D787" s="19"/>
      <c r="E787" s="122"/>
    </row>
    <row r="788" customFormat="false" ht="16.8" hidden="false" customHeight="false" outlineLevel="0" collapsed="false">
      <c r="A788" s="53" t="s">
        <v>18</v>
      </c>
      <c r="B788" s="20"/>
      <c r="C788" s="20"/>
      <c r="D788" s="20"/>
      <c r="E788" s="20"/>
    </row>
    <row r="789" customFormat="false" ht="16.8" hidden="false" customHeight="false" outlineLevel="0" collapsed="false">
      <c r="A789" s="30" t="s">
        <v>11</v>
      </c>
      <c r="B789" s="94" t="n">
        <f aca="false">SUM(B785:B788)</f>
        <v>32450</v>
      </c>
      <c r="C789" s="94" t="n">
        <f aca="false">SUM(C785:C788)</f>
        <v>31160</v>
      </c>
      <c r="D789" s="94"/>
      <c r="E789" s="89"/>
    </row>
    <row r="790" customFormat="false" ht="16.8" hidden="false" customHeight="false" outlineLevel="0" collapsed="false">
      <c r="A790" s="55" t="s">
        <v>342</v>
      </c>
      <c r="B790" s="56"/>
      <c r="C790" s="56"/>
      <c r="D790" s="100"/>
      <c r="E790" s="127"/>
      <c r="F790" s="127"/>
    </row>
    <row r="791" customFormat="false" ht="16.8" hidden="false" customHeight="false" outlineLevel="0" collapsed="false">
      <c r="A791" s="13" t="s">
        <v>20</v>
      </c>
      <c r="B791" s="1"/>
      <c r="C791" s="1"/>
      <c r="D791" s="1"/>
      <c r="E791" s="1"/>
      <c r="F791" s="1"/>
    </row>
    <row r="792" customFormat="false" ht="16.8" hidden="false" customHeight="false" outlineLevel="0" collapsed="false">
      <c r="A792" s="17" t="s">
        <v>13</v>
      </c>
      <c r="B792" s="17" t="s">
        <v>21</v>
      </c>
      <c r="C792" s="18"/>
      <c r="D792" s="18"/>
      <c r="E792" s="1"/>
      <c r="F792" s="1"/>
    </row>
    <row r="793" customFormat="false" ht="16.8" hidden="false" customHeight="false" outlineLevel="0" collapsed="false">
      <c r="A793" s="33" t="s">
        <v>22</v>
      </c>
      <c r="B793" s="34" t="n">
        <v>134866</v>
      </c>
      <c r="C793" s="1"/>
      <c r="D793" s="1"/>
      <c r="E793" s="39"/>
      <c r="F793" s="1"/>
    </row>
    <row r="794" customFormat="false" ht="16.8" hidden="false" customHeight="false" outlineLevel="0" collapsed="false">
      <c r="A794" s="33" t="s">
        <v>17</v>
      </c>
      <c r="B794" s="34" t="n">
        <v>157690</v>
      </c>
      <c r="C794" s="1"/>
      <c r="D794" s="1"/>
      <c r="E794" s="26"/>
      <c r="F794" s="39"/>
    </row>
    <row r="795" customFormat="false" ht="16.8" hidden="false" customHeight="false" outlineLevel="0" collapsed="false">
      <c r="A795" s="33" t="s">
        <v>18</v>
      </c>
      <c r="B795" s="34" t="n">
        <v>10300</v>
      </c>
      <c r="C795" s="1"/>
      <c r="D795" s="1"/>
      <c r="E795" s="26"/>
      <c r="F795" s="26"/>
    </row>
    <row r="796" customFormat="false" ht="16.8" hidden="false" customHeight="false" outlineLevel="0" collapsed="false">
      <c r="A796" s="25" t="s">
        <v>11</v>
      </c>
      <c r="B796" s="35" t="n">
        <f aca="false">SUM(B793:B795)</f>
        <v>302856</v>
      </c>
      <c r="C796" s="1"/>
      <c r="D796" s="1"/>
      <c r="E796" s="123"/>
      <c r="F796" s="26"/>
    </row>
    <row r="797" customFormat="false" ht="13.2" hidden="false" customHeight="false" outlineLevel="0" collapsed="false">
      <c r="A797" s="1"/>
      <c r="B797" s="1"/>
      <c r="C797" s="1"/>
      <c r="D797" s="1"/>
      <c r="E797" s="26"/>
      <c r="F797" s="26"/>
    </row>
    <row r="798" customFormat="false" ht="13.2" hidden="false" customHeight="false" outlineLevel="0" collapsed="false">
      <c r="A798" s="39" t="s">
        <v>23</v>
      </c>
      <c r="B798" s="39" t="s">
        <v>24</v>
      </c>
      <c r="C798" s="39" t="s">
        <v>25</v>
      </c>
      <c r="D798" s="39" t="s">
        <v>26</v>
      </c>
      <c r="E798" s="41" t="s">
        <v>27</v>
      </c>
      <c r="F798" s="41"/>
    </row>
    <row r="799" customFormat="false" ht="13.2" hidden="false" customHeight="false" outlineLevel="0" collapsed="false">
      <c r="A799" s="26"/>
      <c r="B799" s="26"/>
      <c r="C799" s="26"/>
      <c r="D799" s="26"/>
      <c r="E799" s="26"/>
      <c r="F799" s="39"/>
    </row>
    <row r="800" customFormat="false" ht="13.2" hidden="false" customHeight="false" outlineLevel="0" collapsed="false">
      <c r="A800" s="26"/>
      <c r="B800" s="26"/>
      <c r="C800" s="26"/>
      <c r="D800" s="26"/>
      <c r="E800" s="26"/>
    </row>
    <row r="801" customFormat="false" ht="13.2" hidden="false" customHeight="false" outlineLevel="0" collapsed="false">
      <c r="A801" s="26"/>
      <c r="B801" s="26"/>
      <c r="C801" s="26"/>
      <c r="D801" s="26"/>
      <c r="E801" s="26"/>
    </row>
    <row r="802" customFormat="false" ht="13.2" hidden="false" customHeight="false" outlineLevel="0" collapsed="false">
      <c r="A802" s="26"/>
      <c r="B802" s="26"/>
      <c r="C802" s="26"/>
      <c r="D802" s="26"/>
      <c r="E802" s="26"/>
    </row>
    <row r="803" customFormat="false" ht="13.2" hidden="false" customHeight="false" outlineLevel="0" collapsed="false">
      <c r="A803" s="39" t="s">
        <v>34</v>
      </c>
      <c r="B803" s="39"/>
      <c r="C803" s="39"/>
      <c r="D803" s="39"/>
      <c r="E803" s="41" t="s">
        <v>29</v>
      </c>
      <c r="F803" s="41"/>
    </row>
    <row r="807" customFormat="false" ht="18.6" hidden="false" customHeight="true" outlineLevel="0" collapsed="false">
      <c r="A807" s="118" t="s">
        <v>355</v>
      </c>
      <c r="B807" s="118"/>
      <c r="C807" s="118"/>
      <c r="D807" s="118"/>
      <c r="E807" s="118"/>
      <c r="F807" s="43"/>
    </row>
    <row r="808" customFormat="false" ht="13.8" hidden="false" customHeight="true" outlineLevel="0" collapsed="false">
      <c r="A808" s="119" t="s">
        <v>2</v>
      </c>
      <c r="B808" s="119"/>
      <c r="C808" s="119"/>
      <c r="D808" s="119"/>
      <c r="E808" s="119"/>
      <c r="F808" s="44"/>
    </row>
    <row r="809" customFormat="false" ht="16.8" hidden="false" customHeight="false" outlineLevel="0" collapsed="false">
      <c r="A809" s="13" t="s">
        <v>3</v>
      </c>
      <c r="B809" s="14"/>
      <c r="C809" s="14"/>
      <c r="D809" s="46"/>
      <c r="E809" s="46" t="s">
        <v>4</v>
      </c>
      <c r="F809" s="66"/>
    </row>
    <row r="810" customFormat="false" ht="33.6" hidden="false" customHeight="false" outlineLevel="0" collapsed="false">
      <c r="A810" s="17" t="s">
        <v>5</v>
      </c>
      <c r="B810" s="17" t="s">
        <v>5</v>
      </c>
      <c r="C810" s="17" t="s">
        <v>356</v>
      </c>
      <c r="D810" s="17" t="s">
        <v>7</v>
      </c>
      <c r="E810" s="17" t="s">
        <v>8</v>
      </c>
      <c r="F810" s="1"/>
    </row>
    <row r="811" customFormat="false" ht="16.8" hidden="false" customHeight="false" outlineLevel="0" collapsed="false">
      <c r="A811" s="19" t="s">
        <v>9</v>
      </c>
      <c r="B811" s="20" t="n">
        <f aca="false">E778</f>
        <v>0</v>
      </c>
      <c r="C811" s="20" t="n">
        <v>35</v>
      </c>
      <c r="D811" s="20" t="n">
        <v>35</v>
      </c>
      <c r="E811" s="47" t="n">
        <f aca="false">B811+C811-D811</f>
        <v>0</v>
      </c>
      <c r="F811" s="1"/>
    </row>
    <row r="812" customFormat="false" ht="33.6" hidden="false" customHeight="false" outlineLevel="0" collapsed="false">
      <c r="A812" s="97" t="s">
        <v>159</v>
      </c>
      <c r="B812" s="20" t="n">
        <f aca="false">E779</f>
        <v>0</v>
      </c>
      <c r="C812" s="20" t="n">
        <v>32235</v>
      </c>
      <c r="D812" s="20" t="n">
        <v>32235</v>
      </c>
      <c r="E812" s="47" t="n">
        <f aca="false">B812+C812-D812</f>
        <v>0</v>
      </c>
      <c r="F812" s="1"/>
    </row>
    <row r="813" customFormat="false" ht="33.6" hidden="false" customHeight="false" outlineLevel="0" collapsed="false">
      <c r="A813" s="97" t="s">
        <v>202</v>
      </c>
      <c r="B813" s="20" t="n">
        <f aca="false">E780</f>
        <v>0</v>
      </c>
      <c r="C813" s="20" t="n">
        <v>710</v>
      </c>
      <c r="D813" s="20" t="n">
        <v>710</v>
      </c>
      <c r="E813" s="47" t="n">
        <f aca="false">B813+C813-D813</f>
        <v>0</v>
      </c>
      <c r="F813" s="45"/>
    </row>
    <row r="814" customFormat="false" ht="16.8" hidden="false" customHeight="false" outlineLevel="0" collapsed="false">
      <c r="A814" s="19" t="s">
        <v>10</v>
      </c>
      <c r="B814" s="20" t="n">
        <f aca="false">E781</f>
        <v>0</v>
      </c>
      <c r="C814" s="20" t="n">
        <f aca="false">46288-C811</f>
        <v>46253</v>
      </c>
      <c r="D814" s="20" t="n">
        <v>46253</v>
      </c>
      <c r="E814" s="47" t="n">
        <f aca="false">B814+C814-D814</f>
        <v>0</v>
      </c>
      <c r="F814" s="45"/>
    </row>
    <row r="815" customFormat="false" ht="16.8" hidden="false" customHeight="false" outlineLevel="0" collapsed="false">
      <c r="A815" s="21" t="s">
        <v>11</v>
      </c>
      <c r="B815" s="22" t="n">
        <f aca="false">SUM(B811:B814)</f>
        <v>0</v>
      </c>
      <c r="C815" s="22" t="n">
        <f aca="false">SUM(C811:C814)</f>
        <v>79233</v>
      </c>
      <c r="D815" s="22" t="n">
        <f aca="false">SUM(D811:D814)</f>
        <v>79233</v>
      </c>
      <c r="E815" s="22" t="n">
        <f aca="false">SUM(E811:E814)</f>
        <v>0</v>
      </c>
      <c r="F815" s="121"/>
    </row>
    <row r="816" customFormat="false" ht="16.8" hidden="false" customHeight="false" outlineLevel="0" collapsed="false">
      <c r="A816" s="13" t="s">
        <v>12</v>
      </c>
      <c r="B816" s="13"/>
      <c r="C816" s="13"/>
      <c r="D816" s="13"/>
      <c r="E816" s="24"/>
      <c r="F816" s="24"/>
    </row>
    <row r="817" customFormat="false" ht="67.2" hidden="false" customHeight="false" outlineLevel="0" collapsed="false">
      <c r="A817" s="25" t="s">
        <v>13</v>
      </c>
      <c r="B817" s="17" t="s">
        <v>357</v>
      </c>
      <c r="C817" s="93" t="s">
        <v>138</v>
      </c>
      <c r="D817" s="120" t="s">
        <v>16</v>
      </c>
    </row>
    <row r="818" customFormat="false" ht="33.6" hidden="false" customHeight="false" outlineLevel="0" collapsed="false">
      <c r="A818" s="49" t="s">
        <v>49</v>
      </c>
      <c r="B818" s="20" t="n">
        <v>12150</v>
      </c>
      <c r="C818" s="20"/>
      <c r="D818" s="29" t="n">
        <f aca="false">(D811+D812)/(+B818)</f>
        <v>2.6559670781893</v>
      </c>
    </row>
    <row r="819" customFormat="false" ht="16.8" hidden="false" customHeight="false" outlineLevel="0" collapsed="false">
      <c r="A819" s="49" t="s">
        <v>53</v>
      </c>
      <c r="B819" s="19" t="n">
        <v>13800</v>
      </c>
      <c r="C819" s="51"/>
      <c r="D819" s="122" t="n">
        <f aca="false">(D813+D814)/(B819+B820)</f>
        <v>3.40311594202899</v>
      </c>
    </row>
    <row r="820" customFormat="false" ht="33.6" hidden="false" customHeight="false" outlineLevel="0" collapsed="false">
      <c r="A820" s="49" t="s">
        <v>269</v>
      </c>
      <c r="B820" s="19"/>
      <c r="C820" s="19"/>
      <c r="D820" s="122"/>
    </row>
    <row r="821" customFormat="false" ht="16.8" hidden="false" customHeight="false" outlineLevel="0" collapsed="false">
      <c r="A821" s="53" t="s">
        <v>18</v>
      </c>
      <c r="B821" s="20"/>
      <c r="C821" s="20"/>
      <c r="D821" s="20"/>
    </row>
    <row r="822" customFormat="false" ht="16.8" hidden="false" customHeight="false" outlineLevel="0" collapsed="false">
      <c r="A822" s="30" t="s">
        <v>11</v>
      </c>
      <c r="B822" s="94" t="n">
        <f aca="false">SUM(B818:B821)</f>
        <v>25950</v>
      </c>
      <c r="C822" s="94"/>
      <c r="D822" s="89" t="n">
        <f aca="false">D815/B822</f>
        <v>3.05329479768786</v>
      </c>
    </row>
    <row r="823" customFormat="false" ht="16.8" hidden="false" customHeight="false" outlineLevel="0" collapsed="false">
      <c r="A823" s="55" t="s">
        <v>342</v>
      </c>
      <c r="B823" s="56"/>
      <c r="C823" s="56"/>
      <c r="D823" s="100"/>
      <c r="E823" s="127"/>
      <c r="F823" s="127"/>
    </row>
    <row r="824" customFormat="false" ht="16.8" hidden="false" customHeight="false" outlineLevel="0" collapsed="false">
      <c r="A824" s="13" t="s">
        <v>20</v>
      </c>
      <c r="B824" s="1"/>
      <c r="C824" s="1"/>
      <c r="D824" s="1"/>
      <c r="E824" s="1"/>
      <c r="F824" s="1"/>
    </row>
    <row r="825" customFormat="false" ht="16.8" hidden="false" customHeight="false" outlineLevel="0" collapsed="false">
      <c r="A825" s="17" t="s">
        <v>13</v>
      </c>
      <c r="B825" s="17" t="s">
        <v>21</v>
      </c>
      <c r="C825" s="18"/>
      <c r="D825" s="18"/>
      <c r="E825" s="1"/>
      <c r="F825" s="1"/>
    </row>
    <row r="826" customFormat="false" ht="16.8" hidden="false" customHeight="false" outlineLevel="0" collapsed="false">
      <c r="A826" s="33" t="s">
        <v>22</v>
      </c>
      <c r="B826" s="34" t="n">
        <v>27016</v>
      </c>
      <c r="C826" s="1"/>
      <c r="D826" s="1"/>
      <c r="E826" s="39"/>
      <c r="F826" s="1"/>
    </row>
    <row r="827" customFormat="false" ht="16.8" hidden="false" customHeight="false" outlineLevel="0" collapsed="false">
      <c r="A827" s="33" t="s">
        <v>17</v>
      </c>
      <c r="B827" s="34" t="n">
        <v>91490</v>
      </c>
      <c r="C827" s="1"/>
      <c r="D827" s="1"/>
      <c r="E827" s="26"/>
      <c r="F827" s="39"/>
    </row>
    <row r="828" customFormat="false" ht="16.8" hidden="false" customHeight="false" outlineLevel="0" collapsed="false">
      <c r="A828" s="33" t="s">
        <v>18</v>
      </c>
      <c r="B828" s="34" t="n">
        <v>10300</v>
      </c>
      <c r="C828" s="1"/>
      <c r="D828" s="1"/>
      <c r="E828" s="26"/>
      <c r="F828" s="26"/>
    </row>
    <row r="829" customFormat="false" ht="16.8" hidden="false" customHeight="false" outlineLevel="0" collapsed="false">
      <c r="A829" s="25" t="s">
        <v>11</v>
      </c>
      <c r="B829" s="35" t="n">
        <f aca="false">SUM(B826:B828)</f>
        <v>128806</v>
      </c>
      <c r="C829" s="1"/>
      <c r="D829" s="1"/>
      <c r="E829" s="123"/>
      <c r="F829" s="26"/>
    </row>
    <row r="830" customFormat="false" ht="13.2" hidden="false" customHeight="false" outlineLevel="0" collapsed="false">
      <c r="A830" s="1"/>
      <c r="B830" s="1"/>
      <c r="C830" s="1"/>
      <c r="D830" s="1"/>
      <c r="E830" s="26"/>
      <c r="F830" s="26"/>
    </row>
    <row r="831" customFormat="false" ht="13.2" hidden="false" customHeight="false" outlineLevel="0" collapsed="false">
      <c r="A831" s="39" t="s">
        <v>23</v>
      </c>
      <c r="B831" s="39" t="s">
        <v>24</v>
      </c>
      <c r="C831" s="39" t="s">
        <v>25</v>
      </c>
      <c r="D831" s="39" t="s">
        <v>26</v>
      </c>
      <c r="E831" s="41" t="s">
        <v>27</v>
      </c>
      <c r="F831" s="41"/>
    </row>
    <row r="832" customFormat="false" ht="13.2" hidden="false" customHeight="false" outlineLevel="0" collapsed="false">
      <c r="A832" s="26"/>
      <c r="B832" s="26"/>
      <c r="C832" s="26"/>
      <c r="D832" s="26"/>
      <c r="E832" s="26"/>
      <c r="F832" s="39"/>
    </row>
    <row r="833" customFormat="false" ht="13.2" hidden="false" customHeight="false" outlineLevel="0" collapsed="false">
      <c r="A833" s="26"/>
      <c r="B833" s="26"/>
      <c r="C833" s="26"/>
      <c r="D833" s="26"/>
      <c r="E833" s="26"/>
    </row>
    <row r="834" customFormat="false" ht="13.2" hidden="false" customHeight="false" outlineLevel="0" collapsed="false">
      <c r="A834" s="26"/>
      <c r="B834" s="26"/>
      <c r="C834" s="26"/>
      <c r="D834" s="26"/>
      <c r="E834" s="26"/>
    </row>
    <row r="835" customFormat="false" ht="13.2" hidden="false" customHeight="false" outlineLevel="0" collapsed="false">
      <c r="A835" s="26"/>
      <c r="B835" s="26"/>
      <c r="C835" s="26"/>
      <c r="D835" s="26"/>
      <c r="E835" s="26"/>
    </row>
    <row r="836" customFormat="false" ht="13.2" hidden="false" customHeight="false" outlineLevel="0" collapsed="false">
      <c r="A836" s="39" t="s">
        <v>34</v>
      </c>
      <c r="B836" s="39"/>
      <c r="C836" s="39"/>
      <c r="D836" s="39"/>
      <c r="E836" s="41" t="s">
        <v>29</v>
      </c>
      <c r="F836" s="41"/>
    </row>
    <row r="840" customFormat="false" ht="18.6" hidden="false" customHeight="true" outlineLevel="0" collapsed="false">
      <c r="A840" s="118" t="s">
        <v>358</v>
      </c>
      <c r="B840" s="118"/>
      <c r="C840" s="118"/>
      <c r="D840" s="118"/>
      <c r="E840" s="118"/>
      <c r="F840" s="43"/>
    </row>
    <row r="841" customFormat="false" ht="13.8" hidden="false" customHeight="true" outlineLevel="0" collapsed="false">
      <c r="A841" s="119" t="s">
        <v>2</v>
      </c>
      <c r="B841" s="119"/>
      <c r="C841" s="119"/>
      <c r="D841" s="119"/>
      <c r="E841" s="119"/>
      <c r="F841" s="44"/>
    </row>
    <row r="842" customFormat="false" ht="16.8" hidden="false" customHeight="false" outlineLevel="0" collapsed="false">
      <c r="A842" s="13" t="s">
        <v>3</v>
      </c>
      <c r="B842" s="14"/>
      <c r="C842" s="14"/>
      <c r="D842" s="46"/>
      <c r="E842" s="46" t="s">
        <v>4</v>
      </c>
      <c r="F842" s="66"/>
    </row>
    <row r="843" customFormat="false" ht="33.6" hidden="false" customHeight="false" outlineLevel="0" collapsed="false">
      <c r="A843" s="17" t="s">
        <v>5</v>
      </c>
      <c r="B843" s="17" t="s">
        <v>5</v>
      </c>
      <c r="C843" s="17" t="s">
        <v>359</v>
      </c>
      <c r="D843" s="17" t="s">
        <v>7</v>
      </c>
      <c r="E843" s="17" t="s">
        <v>8</v>
      </c>
      <c r="F843" s="1"/>
    </row>
    <row r="844" customFormat="false" ht="16.8" hidden="false" customHeight="false" outlineLevel="0" collapsed="false">
      <c r="A844" s="19" t="s">
        <v>9</v>
      </c>
      <c r="B844" s="20" t="n">
        <f aca="false">E811</f>
        <v>0</v>
      </c>
      <c r="C844" s="20"/>
      <c r="D844" s="20"/>
      <c r="E844" s="47" t="n">
        <f aca="false">B844+C844-D844</f>
        <v>0</v>
      </c>
      <c r="F844" s="1"/>
    </row>
    <row r="845" customFormat="false" ht="33.6" hidden="false" customHeight="false" outlineLevel="0" collapsed="false">
      <c r="A845" s="97" t="s">
        <v>159</v>
      </c>
      <c r="B845" s="20" t="n">
        <f aca="false">E812</f>
        <v>0</v>
      </c>
      <c r="C845" s="20"/>
      <c r="D845" s="20"/>
      <c r="E845" s="47" t="n">
        <f aca="false">B845+C845-D845</f>
        <v>0</v>
      </c>
      <c r="F845" s="1"/>
    </row>
    <row r="846" customFormat="false" ht="33.6" hidden="false" customHeight="false" outlineLevel="0" collapsed="false">
      <c r="A846" s="97" t="s">
        <v>202</v>
      </c>
      <c r="B846" s="20" t="n">
        <f aca="false">E813</f>
        <v>0</v>
      </c>
      <c r="C846" s="20"/>
      <c r="D846" s="20"/>
      <c r="E846" s="47" t="n">
        <f aca="false">B846+C846-D846</f>
        <v>0</v>
      </c>
      <c r="F846" s="45"/>
    </row>
    <row r="847" customFormat="false" ht="16.8" hidden="false" customHeight="false" outlineLevel="0" collapsed="false">
      <c r="A847" s="19" t="s">
        <v>10</v>
      </c>
      <c r="B847" s="20" t="n">
        <f aca="false">E814</f>
        <v>0</v>
      </c>
      <c r="C847" s="20" t="n">
        <v>28402</v>
      </c>
      <c r="D847" s="20" t="n">
        <v>28402</v>
      </c>
      <c r="E847" s="47" t="n">
        <f aca="false">B847+C847-D847</f>
        <v>0</v>
      </c>
      <c r="F847" s="45"/>
    </row>
    <row r="848" customFormat="false" ht="16.8" hidden="false" customHeight="false" outlineLevel="0" collapsed="false">
      <c r="A848" s="21" t="s">
        <v>11</v>
      </c>
      <c r="B848" s="22" t="n">
        <f aca="false">SUM(B844:B847)</f>
        <v>0</v>
      </c>
      <c r="C848" s="22" t="n">
        <f aca="false">SUM(C844:C847)</f>
        <v>28402</v>
      </c>
      <c r="D848" s="22" t="n">
        <f aca="false">SUM(D844:D847)</f>
        <v>28402</v>
      </c>
      <c r="E848" s="22" t="n">
        <f aca="false">SUM(E844:E847)</f>
        <v>0</v>
      </c>
      <c r="F848" s="121"/>
    </row>
    <row r="849" customFormat="false" ht="16.8" hidden="false" customHeight="false" outlineLevel="0" collapsed="false">
      <c r="A849" s="13" t="s">
        <v>12</v>
      </c>
      <c r="B849" s="13"/>
      <c r="C849" s="13"/>
      <c r="D849" s="13"/>
      <c r="E849" s="24"/>
      <c r="F849" s="24"/>
    </row>
    <row r="850" customFormat="false" ht="67.2" hidden="false" customHeight="false" outlineLevel="0" collapsed="false">
      <c r="A850" s="25" t="s">
        <v>13</v>
      </c>
      <c r="B850" s="17" t="s">
        <v>360</v>
      </c>
      <c r="C850" s="93" t="s">
        <v>138</v>
      </c>
      <c r="D850" s="120" t="s">
        <v>16</v>
      </c>
    </row>
    <row r="851" customFormat="false" ht="33.6" hidden="false" customHeight="false" outlineLevel="0" collapsed="false">
      <c r="A851" s="49" t="s">
        <v>49</v>
      </c>
      <c r="B851" s="20"/>
      <c r="C851" s="20"/>
      <c r="D851" s="29"/>
    </row>
    <row r="852" customFormat="false" ht="16.8" hidden="false" customHeight="false" outlineLevel="0" collapsed="false">
      <c r="A852" s="49" t="s">
        <v>53</v>
      </c>
      <c r="B852" s="19" t="n">
        <v>8150</v>
      </c>
      <c r="C852" s="51"/>
      <c r="D852" s="122" t="n">
        <f aca="false">(D846+D847)/(B852+B853)</f>
        <v>3.48490797546012</v>
      </c>
    </row>
    <row r="853" customFormat="false" ht="33.6" hidden="false" customHeight="false" outlineLevel="0" collapsed="false">
      <c r="A853" s="49" t="s">
        <v>269</v>
      </c>
      <c r="B853" s="19"/>
      <c r="C853" s="19"/>
      <c r="D853" s="122"/>
    </row>
    <row r="854" customFormat="false" ht="16.8" hidden="false" customHeight="false" outlineLevel="0" collapsed="false">
      <c r="A854" s="53" t="s">
        <v>18</v>
      </c>
      <c r="B854" s="20"/>
      <c r="C854" s="20"/>
      <c r="D854" s="20"/>
    </row>
    <row r="855" customFormat="false" ht="16.8" hidden="false" customHeight="false" outlineLevel="0" collapsed="false">
      <c r="A855" s="30" t="s">
        <v>11</v>
      </c>
      <c r="B855" s="94" t="n">
        <f aca="false">SUM(B851:B854)</f>
        <v>8150</v>
      </c>
      <c r="C855" s="94"/>
      <c r="D855" s="89" t="n">
        <f aca="false">D848/B855</f>
        <v>3.48490797546012</v>
      </c>
    </row>
    <row r="856" customFormat="false" ht="16.8" hidden="false" customHeight="false" outlineLevel="0" collapsed="false">
      <c r="A856" s="13" t="s">
        <v>20</v>
      </c>
      <c r="B856" s="1"/>
      <c r="C856" s="1"/>
      <c r="D856" s="1"/>
      <c r="E856" s="1"/>
      <c r="F856" s="1"/>
    </row>
    <row r="857" customFormat="false" ht="16.8" hidden="false" customHeight="false" outlineLevel="0" collapsed="false">
      <c r="A857" s="17" t="s">
        <v>13</v>
      </c>
      <c r="B857" s="17" t="s">
        <v>21</v>
      </c>
      <c r="C857" s="18"/>
      <c r="D857" s="18"/>
      <c r="E857" s="1"/>
      <c r="F857" s="1"/>
    </row>
    <row r="858" customFormat="false" ht="16.8" hidden="false" customHeight="false" outlineLevel="0" collapsed="false">
      <c r="A858" s="33" t="s">
        <v>22</v>
      </c>
      <c r="B858" s="34" t="n">
        <v>27166</v>
      </c>
      <c r="C858" s="1"/>
      <c r="D858" s="1"/>
      <c r="E858" s="39"/>
      <c r="F858" s="1"/>
    </row>
    <row r="859" customFormat="false" ht="16.8" hidden="false" customHeight="false" outlineLevel="0" collapsed="false">
      <c r="A859" s="33" t="s">
        <v>17</v>
      </c>
      <c r="B859" s="34" t="n">
        <f aca="false">136306-B858-B860</f>
        <v>101590</v>
      </c>
      <c r="C859" s="1"/>
      <c r="D859" s="1"/>
      <c r="E859" s="26"/>
      <c r="F859" s="39"/>
    </row>
    <row r="860" customFormat="false" ht="16.8" hidden="false" customHeight="false" outlineLevel="0" collapsed="false">
      <c r="A860" s="33" t="s">
        <v>18</v>
      </c>
      <c r="B860" s="34" t="n">
        <v>7550</v>
      </c>
      <c r="C860" s="1"/>
      <c r="D860" s="1"/>
      <c r="E860" s="26"/>
      <c r="F860" s="26"/>
    </row>
    <row r="861" customFormat="false" ht="16.8" hidden="false" customHeight="false" outlineLevel="0" collapsed="false">
      <c r="A861" s="25" t="s">
        <v>11</v>
      </c>
      <c r="B861" s="35" t="n">
        <f aca="false">SUM(B858:B860)</f>
        <v>136306</v>
      </c>
      <c r="C861" s="1"/>
      <c r="D861" s="1"/>
      <c r="E861" s="123"/>
      <c r="F861" s="26"/>
    </row>
    <row r="862" customFormat="false" ht="13.2" hidden="false" customHeight="false" outlineLevel="0" collapsed="false">
      <c r="A862" s="1"/>
      <c r="B862" s="1"/>
      <c r="C862" s="1"/>
      <c r="D862" s="1"/>
      <c r="E862" s="26"/>
      <c r="F862" s="26"/>
    </row>
    <row r="863" customFormat="false" ht="13.2" hidden="false" customHeight="false" outlineLevel="0" collapsed="false">
      <c r="A863" s="39" t="s">
        <v>23</v>
      </c>
      <c r="B863" s="39" t="s">
        <v>24</v>
      </c>
      <c r="C863" s="39" t="s">
        <v>25</v>
      </c>
      <c r="D863" s="39" t="s">
        <v>26</v>
      </c>
      <c r="E863" s="41" t="s">
        <v>27</v>
      </c>
      <c r="F863" s="41"/>
    </row>
    <row r="864" customFormat="false" ht="13.2" hidden="false" customHeight="false" outlineLevel="0" collapsed="false">
      <c r="A864" s="26"/>
      <c r="B864" s="26"/>
      <c r="C864" s="26"/>
      <c r="D864" s="26"/>
      <c r="E864" s="26"/>
      <c r="F864" s="39"/>
    </row>
    <row r="865" customFormat="false" ht="13.2" hidden="false" customHeight="false" outlineLevel="0" collapsed="false">
      <c r="A865" s="26"/>
      <c r="B865" s="26"/>
      <c r="C865" s="26"/>
      <c r="D865" s="26"/>
      <c r="E865" s="26"/>
    </row>
    <row r="866" customFormat="false" ht="13.2" hidden="false" customHeight="false" outlineLevel="0" collapsed="false">
      <c r="A866" s="26"/>
      <c r="B866" s="26"/>
      <c r="C866" s="26"/>
      <c r="D866" s="26"/>
      <c r="E866" s="26"/>
    </row>
    <row r="867" customFormat="false" ht="13.2" hidden="false" customHeight="false" outlineLevel="0" collapsed="false">
      <c r="A867" s="26"/>
      <c r="B867" s="26"/>
      <c r="C867" s="26"/>
      <c r="D867" s="26"/>
      <c r="E867" s="26"/>
    </row>
    <row r="868" customFormat="false" ht="13.2" hidden="false" customHeight="false" outlineLevel="0" collapsed="false">
      <c r="A868" s="39" t="s">
        <v>34</v>
      </c>
      <c r="B868" s="39"/>
      <c r="C868" s="39"/>
      <c r="D868" s="39"/>
      <c r="E868" s="41" t="s">
        <v>29</v>
      </c>
      <c r="F868" s="41"/>
    </row>
    <row r="872" customFormat="false" ht="18.6" hidden="false" customHeight="true" outlineLevel="0" collapsed="false">
      <c r="A872" s="118" t="s">
        <v>361</v>
      </c>
      <c r="B872" s="118"/>
      <c r="C872" s="118"/>
      <c r="D872" s="118"/>
      <c r="E872" s="118"/>
      <c r="F872" s="43"/>
    </row>
    <row r="873" customFormat="false" ht="13.8" hidden="false" customHeight="true" outlineLevel="0" collapsed="false">
      <c r="A873" s="119" t="s">
        <v>2</v>
      </c>
      <c r="B873" s="119"/>
      <c r="C873" s="119"/>
      <c r="D873" s="119"/>
      <c r="E873" s="119"/>
      <c r="F873" s="44"/>
    </row>
    <row r="874" customFormat="false" ht="16.8" hidden="false" customHeight="false" outlineLevel="0" collapsed="false">
      <c r="A874" s="13" t="s">
        <v>3</v>
      </c>
      <c r="B874" s="14"/>
      <c r="C874" s="14"/>
      <c r="D874" s="46"/>
      <c r="E874" s="46" t="s">
        <v>4</v>
      </c>
      <c r="F874" s="66"/>
    </row>
    <row r="875" customFormat="false" ht="33.6" hidden="false" customHeight="false" outlineLevel="0" collapsed="false">
      <c r="A875" s="17" t="s">
        <v>5</v>
      </c>
      <c r="B875" s="17" t="s">
        <v>5</v>
      </c>
      <c r="C875" s="17" t="s">
        <v>362</v>
      </c>
      <c r="D875" s="17" t="s">
        <v>7</v>
      </c>
      <c r="E875" s="17" t="s">
        <v>8</v>
      </c>
      <c r="F875" s="1"/>
    </row>
    <row r="876" customFormat="false" ht="16.8" hidden="false" customHeight="false" outlineLevel="0" collapsed="false">
      <c r="A876" s="19" t="s">
        <v>9</v>
      </c>
      <c r="B876" s="20"/>
      <c r="C876" s="20" t="n">
        <v>20</v>
      </c>
      <c r="D876" s="20" t="n">
        <v>20</v>
      </c>
      <c r="E876" s="47" t="n">
        <f aca="false">B876+C876-D876</f>
        <v>0</v>
      </c>
      <c r="F876" s="1"/>
    </row>
    <row r="877" customFormat="false" ht="33.6" hidden="false" customHeight="false" outlineLevel="0" collapsed="false">
      <c r="A877" s="97" t="s">
        <v>159</v>
      </c>
      <c r="B877" s="20"/>
      <c r="C877" s="20" t="n">
        <v>18100</v>
      </c>
      <c r="D877" s="20" t="n">
        <v>18100</v>
      </c>
      <c r="E877" s="47" t="n">
        <f aca="false">B877+C877-D877</f>
        <v>0</v>
      </c>
      <c r="F877" s="1"/>
    </row>
    <row r="878" customFormat="false" ht="33.6" hidden="false" customHeight="false" outlineLevel="0" collapsed="false">
      <c r="A878" s="97" t="s">
        <v>202</v>
      </c>
      <c r="B878" s="20"/>
      <c r="C878" s="20"/>
      <c r="D878" s="20"/>
      <c r="E878" s="47" t="n">
        <f aca="false">B878+C878-D878</f>
        <v>0</v>
      </c>
      <c r="F878" s="45"/>
    </row>
    <row r="879" customFormat="false" ht="16.8" hidden="false" customHeight="false" outlineLevel="0" collapsed="false">
      <c r="A879" s="19" t="s">
        <v>10</v>
      </c>
      <c r="B879" s="20"/>
      <c r="C879" s="20" t="n">
        <f aca="false">60099-C876</f>
        <v>60079</v>
      </c>
      <c r="D879" s="20" t="n">
        <f aca="false">60079-220</f>
        <v>59859</v>
      </c>
      <c r="E879" s="47" t="n">
        <f aca="false">B879+C879-D879</f>
        <v>220</v>
      </c>
      <c r="F879" s="45"/>
    </row>
    <row r="880" customFormat="false" ht="16.8" hidden="false" customHeight="false" outlineLevel="0" collapsed="false">
      <c r="A880" s="21" t="s">
        <v>11</v>
      </c>
      <c r="B880" s="22" t="n">
        <f aca="false">SUM(B876:B879)</f>
        <v>0</v>
      </c>
      <c r="C880" s="22" t="n">
        <f aca="false">SUM(C876:C879)</f>
        <v>78199</v>
      </c>
      <c r="D880" s="22" t="n">
        <f aca="false">SUM(D876:D879)</f>
        <v>77979</v>
      </c>
      <c r="E880" s="22" t="n">
        <f aca="false">SUM(E876:E879)</f>
        <v>220</v>
      </c>
      <c r="F880" s="121"/>
    </row>
    <row r="881" customFormat="false" ht="16.8" hidden="false" customHeight="false" outlineLevel="0" collapsed="false">
      <c r="A881" s="13" t="s">
        <v>12</v>
      </c>
      <c r="B881" s="13"/>
      <c r="C881" s="13"/>
      <c r="D881" s="13"/>
      <c r="E881" s="24"/>
      <c r="F881" s="24"/>
    </row>
    <row r="882" customFormat="false" ht="67.2" hidden="false" customHeight="false" outlineLevel="0" collapsed="false">
      <c r="A882" s="25" t="s">
        <v>13</v>
      </c>
      <c r="B882" s="17" t="s">
        <v>363</v>
      </c>
      <c r="C882" s="93" t="s">
        <v>138</v>
      </c>
      <c r="D882" s="120" t="s">
        <v>16</v>
      </c>
    </row>
    <row r="883" customFormat="false" ht="33.6" hidden="false" customHeight="false" outlineLevel="0" collapsed="false">
      <c r="A883" s="49" t="s">
        <v>49</v>
      </c>
      <c r="B883" s="20" t="n">
        <v>8450</v>
      </c>
      <c r="C883" s="20"/>
      <c r="D883" s="29" t="n">
        <f aca="false">(D876+D877)/B883</f>
        <v>2.14437869822485</v>
      </c>
    </row>
    <row r="884" customFormat="false" ht="16.8" hidden="false" customHeight="false" outlineLevel="0" collapsed="false">
      <c r="A884" s="49" t="s">
        <v>53</v>
      </c>
      <c r="B884" s="19" t="n">
        <v>16200</v>
      </c>
      <c r="C884" s="51"/>
      <c r="D884" s="122" t="n">
        <f aca="false">(D878+D879)/(B884+B885)</f>
        <v>3.695</v>
      </c>
    </row>
    <row r="885" customFormat="false" ht="33.6" hidden="false" customHeight="false" outlineLevel="0" collapsed="false">
      <c r="A885" s="49" t="s">
        <v>269</v>
      </c>
      <c r="B885" s="19"/>
      <c r="C885" s="19"/>
      <c r="D885" s="122"/>
    </row>
    <row r="886" customFormat="false" ht="16.8" hidden="false" customHeight="false" outlineLevel="0" collapsed="false">
      <c r="A886" s="53" t="s">
        <v>18</v>
      </c>
      <c r="B886" s="20"/>
      <c r="C886" s="20"/>
      <c r="D886" s="20"/>
    </row>
    <row r="887" customFormat="false" ht="16.8" hidden="false" customHeight="false" outlineLevel="0" collapsed="false">
      <c r="A887" s="30" t="s">
        <v>11</v>
      </c>
      <c r="B887" s="94" t="n">
        <f aca="false">SUM(B883:B886)</f>
        <v>24650</v>
      </c>
      <c r="C887" s="94"/>
      <c r="D887" s="89" t="n">
        <f aca="false">D880/B887</f>
        <v>3.16344827586207</v>
      </c>
    </row>
    <row r="888" customFormat="false" ht="16.8" hidden="false" customHeight="false" outlineLevel="0" collapsed="false">
      <c r="A888" s="13" t="s">
        <v>20</v>
      </c>
      <c r="B888" s="1"/>
      <c r="C888" s="1"/>
      <c r="D888" s="1"/>
      <c r="E888" s="1"/>
      <c r="F888" s="1"/>
    </row>
    <row r="889" customFormat="false" ht="16.8" hidden="false" customHeight="false" outlineLevel="0" collapsed="false">
      <c r="A889" s="17" t="s">
        <v>13</v>
      </c>
      <c r="B889" s="17" t="s">
        <v>21</v>
      </c>
      <c r="C889" s="18"/>
      <c r="D889" s="18"/>
      <c r="E889" s="1"/>
      <c r="F889" s="1"/>
    </row>
    <row r="890" customFormat="false" ht="16.8" hidden="false" customHeight="false" outlineLevel="0" collapsed="false">
      <c r="A890" s="33" t="s">
        <v>22</v>
      </c>
      <c r="B890" s="34" t="n">
        <v>35616</v>
      </c>
      <c r="C890" s="1"/>
      <c r="D890" s="1"/>
      <c r="E890" s="39"/>
      <c r="F890" s="1"/>
    </row>
    <row r="891" customFormat="false" ht="16.8" hidden="false" customHeight="false" outlineLevel="0" collapsed="false">
      <c r="A891" s="33" t="s">
        <v>17</v>
      </c>
      <c r="B891" s="34" t="n">
        <f aca="false">95856-B890-B892</f>
        <v>52690</v>
      </c>
      <c r="C891" s="1"/>
      <c r="D891" s="1"/>
      <c r="E891" s="26"/>
      <c r="F891" s="39"/>
    </row>
    <row r="892" customFormat="false" ht="16.8" hidden="false" customHeight="false" outlineLevel="0" collapsed="false">
      <c r="A892" s="33" t="s">
        <v>18</v>
      </c>
      <c r="B892" s="34" t="n">
        <v>7550</v>
      </c>
      <c r="C892" s="1"/>
      <c r="D892" s="1"/>
      <c r="E892" s="26"/>
      <c r="F892" s="26"/>
    </row>
    <row r="893" customFormat="false" ht="16.8" hidden="false" customHeight="false" outlineLevel="0" collapsed="false">
      <c r="A893" s="25" t="s">
        <v>11</v>
      </c>
      <c r="B893" s="35" t="n">
        <f aca="false">SUM(B890:B892)</f>
        <v>95856</v>
      </c>
      <c r="C893" s="1"/>
      <c r="D893" s="1"/>
      <c r="E893" s="123"/>
      <c r="F893" s="26"/>
    </row>
    <row r="894" customFormat="false" ht="13.2" hidden="false" customHeight="false" outlineLevel="0" collapsed="false">
      <c r="A894" s="1"/>
      <c r="B894" s="1"/>
      <c r="C894" s="1"/>
      <c r="D894" s="1"/>
      <c r="E894" s="26"/>
      <c r="F894" s="26"/>
    </row>
    <row r="895" customFormat="false" ht="13.2" hidden="false" customHeight="false" outlineLevel="0" collapsed="false">
      <c r="A895" s="39" t="s">
        <v>23</v>
      </c>
      <c r="B895" s="39" t="s">
        <v>24</v>
      </c>
      <c r="C895" s="39" t="s">
        <v>25</v>
      </c>
      <c r="D895" s="39" t="s">
        <v>26</v>
      </c>
      <c r="E895" s="41" t="s">
        <v>27</v>
      </c>
      <c r="F895" s="41"/>
    </row>
    <row r="896" customFormat="false" ht="13.2" hidden="false" customHeight="false" outlineLevel="0" collapsed="false">
      <c r="A896" s="26"/>
      <c r="B896" s="26"/>
      <c r="C896" s="26"/>
      <c r="D896" s="26"/>
      <c r="E896" s="26"/>
      <c r="F896" s="39"/>
    </row>
    <row r="897" customFormat="false" ht="13.2" hidden="false" customHeight="false" outlineLevel="0" collapsed="false">
      <c r="A897" s="26"/>
      <c r="B897" s="26"/>
      <c r="C897" s="26"/>
      <c r="D897" s="26"/>
      <c r="E897" s="26"/>
    </row>
    <row r="898" customFormat="false" ht="13.2" hidden="false" customHeight="false" outlineLevel="0" collapsed="false">
      <c r="A898" s="26"/>
      <c r="B898" s="26"/>
      <c r="C898" s="26"/>
      <c r="D898" s="26"/>
      <c r="E898" s="26"/>
    </row>
    <row r="899" customFormat="false" ht="13.2" hidden="false" customHeight="false" outlineLevel="0" collapsed="false">
      <c r="A899" s="26"/>
      <c r="B899" s="26"/>
      <c r="C899" s="26"/>
      <c r="D899" s="26"/>
      <c r="E899" s="26"/>
    </row>
    <row r="900" customFormat="false" ht="13.2" hidden="false" customHeight="false" outlineLevel="0" collapsed="false">
      <c r="A900" s="39" t="s">
        <v>34</v>
      </c>
      <c r="B900" s="39"/>
      <c r="C900" s="39"/>
      <c r="D900" s="39"/>
      <c r="E900" s="41" t="s">
        <v>29</v>
      </c>
      <c r="F900" s="41"/>
    </row>
    <row r="903" customFormat="false" ht="18.6" hidden="false" customHeight="true" outlineLevel="0" collapsed="false">
      <c r="A903" s="118" t="s">
        <v>364</v>
      </c>
      <c r="B903" s="118"/>
      <c r="C903" s="118"/>
      <c r="D903" s="118"/>
      <c r="E903" s="118"/>
      <c r="F903" s="43"/>
    </row>
    <row r="904" customFormat="false" ht="13.8" hidden="false" customHeight="true" outlineLevel="0" collapsed="false">
      <c r="A904" s="119" t="s">
        <v>2</v>
      </c>
      <c r="B904" s="119"/>
      <c r="C904" s="119"/>
      <c r="D904" s="119"/>
      <c r="E904" s="119"/>
      <c r="F904" s="44"/>
    </row>
    <row r="905" customFormat="false" ht="16.8" hidden="false" customHeight="false" outlineLevel="0" collapsed="false">
      <c r="A905" s="13" t="s">
        <v>3</v>
      </c>
      <c r="B905" s="14"/>
      <c r="C905" s="14"/>
      <c r="D905" s="46"/>
      <c r="E905" s="46" t="s">
        <v>4</v>
      </c>
      <c r="F905" s="66"/>
    </row>
    <row r="906" customFormat="false" ht="33.6" hidden="false" customHeight="false" outlineLevel="0" collapsed="false">
      <c r="A906" s="17" t="s">
        <v>5</v>
      </c>
      <c r="B906" s="17" t="s">
        <v>5</v>
      </c>
      <c r="C906" s="17" t="s">
        <v>365</v>
      </c>
      <c r="D906" s="17" t="s">
        <v>7</v>
      </c>
      <c r="E906" s="17" t="s">
        <v>8</v>
      </c>
      <c r="F906" s="1"/>
    </row>
    <row r="907" customFormat="false" ht="16.8" hidden="false" customHeight="false" outlineLevel="0" collapsed="false">
      <c r="A907" s="19" t="s">
        <v>9</v>
      </c>
      <c r="B907" s="20" t="n">
        <f aca="false">E876</f>
        <v>0</v>
      </c>
      <c r="C907" s="20" t="n">
        <v>215</v>
      </c>
      <c r="D907" s="20" t="n">
        <v>215</v>
      </c>
      <c r="E907" s="47" t="n">
        <f aca="false">B907+C907-D907</f>
        <v>0</v>
      </c>
      <c r="F907" s="1"/>
    </row>
    <row r="908" customFormat="false" ht="33.6" hidden="false" customHeight="false" outlineLevel="0" collapsed="false">
      <c r="A908" s="97" t="s">
        <v>159</v>
      </c>
      <c r="B908" s="20" t="n">
        <f aca="false">E877</f>
        <v>0</v>
      </c>
      <c r="C908" s="20"/>
      <c r="D908" s="20"/>
      <c r="E908" s="47" t="n">
        <f aca="false">B908+C908-D908</f>
        <v>0</v>
      </c>
      <c r="F908" s="1"/>
    </row>
    <row r="909" customFormat="false" ht="33.6" hidden="false" customHeight="false" outlineLevel="0" collapsed="false">
      <c r="A909" s="97" t="s">
        <v>202</v>
      </c>
      <c r="B909" s="20" t="n">
        <f aca="false">E878</f>
        <v>0</v>
      </c>
      <c r="C909" s="20"/>
      <c r="D909" s="20"/>
      <c r="E909" s="47" t="n">
        <f aca="false">B909+C909-D909</f>
        <v>0</v>
      </c>
      <c r="F909" s="45"/>
    </row>
    <row r="910" customFormat="false" ht="16.8" hidden="false" customHeight="false" outlineLevel="0" collapsed="false">
      <c r="A910" s="19" t="s">
        <v>10</v>
      </c>
      <c r="B910" s="20" t="n">
        <f aca="false">E879</f>
        <v>220</v>
      </c>
      <c r="C910" s="20" t="n">
        <f aca="false">15531-C907</f>
        <v>15316</v>
      </c>
      <c r="D910" s="20" t="n">
        <f aca="false">15536-190</f>
        <v>15346</v>
      </c>
      <c r="E910" s="47" t="n">
        <f aca="false">B910+C910-D910</f>
        <v>190</v>
      </c>
      <c r="F910" s="45"/>
    </row>
    <row r="911" customFormat="false" ht="16.8" hidden="false" customHeight="false" outlineLevel="0" collapsed="false">
      <c r="A911" s="21" t="s">
        <v>11</v>
      </c>
      <c r="B911" s="22" t="n">
        <f aca="false">SUM(B907:B910)</f>
        <v>220</v>
      </c>
      <c r="C911" s="22" t="n">
        <f aca="false">SUM(C907:C910)</f>
        <v>15531</v>
      </c>
      <c r="D911" s="22" t="n">
        <f aca="false">SUM(D907:D910)</f>
        <v>15561</v>
      </c>
      <c r="E911" s="22" t="n">
        <f aca="false">SUM(E907:E910)</f>
        <v>190</v>
      </c>
      <c r="F911" s="121"/>
    </row>
    <row r="912" customFormat="false" ht="16.8" hidden="false" customHeight="false" outlineLevel="0" collapsed="false">
      <c r="A912" s="13" t="s">
        <v>12</v>
      </c>
      <c r="B912" s="13"/>
      <c r="C912" s="13"/>
      <c r="D912" s="13"/>
      <c r="E912" s="24"/>
      <c r="F912" s="24"/>
    </row>
    <row r="913" customFormat="false" ht="67.2" hidden="false" customHeight="false" outlineLevel="0" collapsed="false">
      <c r="A913" s="25" t="s">
        <v>13</v>
      </c>
      <c r="B913" s="17" t="s">
        <v>366</v>
      </c>
      <c r="C913" s="93" t="s">
        <v>138</v>
      </c>
      <c r="D913" s="120" t="s">
        <v>16</v>
      </c>
    </row>
    <row r="914" customFormat="false" ht="33.6" hidden="false" customHeight="false" outlineLevel="0" collapsed="false">
      <c r="A914" s="49" t="s">
        <v>49</v>
      </c>
      <c r="B914" s="20"/>
      <c r="C914" s="20"/>
      <c r="D914" s="29"/>
    </row>
    <row r="915" customFormat="false" ht="16.8" hidden="false" customHeight="false" outlineLevel="0" collapsed="false">
      <c r="A915" s="49" t="s">
        <v>53</v>
      </c>
      <c r="B915" s="19" t="n">
        <v>4150</v>
      </c>
      <c r="C915" s="51" t="n">
        <v>66</v>
      </c>
      <c r="D915" s="122" t="n">
        <f aca="false">D911/B915</f>
        <v>3.74963855421687</v>
      </c>
    </row>
    <row r="916" customFormat="false" ht="33.6" hidden="false" customHeight="false" outlineLevel="0" collapsed="false">
      <c r="A916" s="49" t="s">
        <v>269</v>
      </c>
      <c r="B916" s="19"/>
      <c r="C916" s="19"/>
      <c r="D916" s="122"/>
    </row>
    <row r="917" customFormat="false" ht="16.8" hidden="false" customHeight="false" outlineLevel="0" collapsed="false">
      <c r="A917" s="53" t="s">
        <v>18</v>
      </c>
      <c r="B917" s="20"/>
      <c r="C917" s="20"/>
      <c r="D917" s="20"/>
    </row>
    <row r="918" customFormat="false" ht="16.8" hidden="false" customHeight="false" outlineLevel="0" collapsed="false">
      <c r="A918" s="30" t="s">
        <v>11</v>
      </c>
      <c r="B918" s="94" t="n">
        <f aca="false">SUM(B914:B917)</f>
        <v>4150</v>
      </c>
      <c r="C918" s="94"/>
      <c r="D918" s="89" t="n">
        <f aca="false">D911/B918</f>
        <v>3.74963855421687</v>
      </c>
    </row>
    <row r="919" s="128" customFormat="true" ht="16.8" hidden="false" customHeight="false" outlineLevel="0" collapsed="false">
      <c r="A919" s="67" t="s">
        <v>367</v>
      </c>
      <c r="B919" s="57"/>
      <c r="C919" s="57"/>
      <c r="D919" s="124"/>
    </row>
    <row r="920" customFormat="false" ht="16.8" hidden="false" customHeight="false" outlineLevel="0" collapsed="false">
      <c r="A920" s="13" t="s">
        <v>20</v>
      </c>
      <c r="B920" s="1"/>
      <c r="C920" s="1"/>
      <c r="D920" s="1"/>
      <c r="E920" s="1"/>
      <c r="F920" s="1"/>
    </row>
    <row r="921" customFormat="false" ht="16.8" hidden="false" customHeight="false" outlineLevel="0" collapsed="false">
      <c r="A921" s="17" t="s">
        <v>13</v>
      </c>
      <c r="B921" s="17" t="s">
        <v>21</v>
      </c>
      <c r="C921" s="18"/>
      <c r="D921" s="18"/>
      <c r="E921" s="1"/>
      <c r="F921" s="1"/>
    </row>
    <row r="922" customFormat="false" ht="16.8" hidden="false" customHeight="false" outlineLevel="0" collapsed="false">
      <c r="A922" s="33" t="s">
        <v>22</v>
      </c>
      <c r="B922" s="34" t="n">
        <v>35616</v>
      </c>
      <c r="C922" s="1"/>
      <c r="D922" s="1"/>
      <c r="E922" s="39"/>
      <c r="F922" s="1"/>
    </row>
    <row r="923" customFormat="false" ht="16.8" hidden="false" customHeight="false" outlineLevel="0" collapsed="false">
      <c r="A923" s="33" t="s">
        <v>17</v>
      </c>
      <c r="B923" s="34" t="n">
        <f aca="false">100006-B922-B924</f>
        <v>56840</v>
      </c>
      <c r="C923" s="1"/>
      <c r="D923" s="1"/>
      <c r="E923" s="26"/>
      <c r="F923" s="39"/>
    </row>
    <row r="924" customFormat="false" ht="16.8" hidden="false" customHeight="false" outlineLevel="0" collapsed="false">
      <c r="A924" s="33" t="s">
        <v>18</v>
      </c>
      <c r="B924" s="34" t="n">
        <v>7550</v>
      </c>
      <c r="C924" s="1"/>
      <c r="D924" s="1"/>
      <c r="E924" s="26"/>
      <c r="F924" s="26"/>
    </row>
    <row r="925" customFormat="false" ht="16.8" hidden="false" customHeight="false" outlineLevel="0" collapsed="false">
      <c r="A925" s="25" t="s">
        <v>11</v>
      </c>
      <c r="B925" s="35" t="n">
        <f aca="false">SUM(B922:B924)</f>
        <v>100006</v>
      </c>
      <c r="C925" s="1"/>
      <c r="D925" s="1"/>
      <c r="E925" s="123"/>
      <c r="F925" s="26"/>
    </row>
    <row r="926" customFormat="false" ht="13.2" hidden="false" customHeight="false" outlineLevel="0" collapsed="false">
      <c r="A926" s="1"/>
      <c r="B926" s="1"/>
      <c r="C926" s="1"/>
      <c r="D926" s="1"/>
      <c r="E926" s="26"/>
      <c r="F926" s="26"/>
    </row>
    <row r="927" customFormat="false" ht="13.2" hidden="false" customHeight="false" outlineLevel="0" collapsed="false">
      <c r="A927" s="39" t="s">
        <v>23</v>
      </c>
      <c r="B927" s="39" t="s">
        <v>24</v>
      </c>
      <c r="C927" s="39" t="s">
        <v>25</v>
      </c>
      <c r="D927" s="39" t="s">
        <v>26</v>
      </c>
      <c r="E927" s="41" t="s">
        <v>27</v>
      </c>
      <c r="F927" s="41"/>
    </row>
    <row r="928" customFormat="false" ht="13.2" hidden="false" customHeight="false" outlineLevel="0" collapsed="false">
      <c r="A928" s="26"/>
      <c r="B928" s="26"/>
      <c r="C928" s="26"/>
      <c r="D928" s="26"/>
      <c r="E928" s="26"/>
      <c r="F928" s="39"/>
    </row>
    <row r="929" customFormat="false" ht="13.2" hidden="false" customHeight="false" outlineLevel="0" collapsed="false">
      <c r="A929" s="26"/>
      <c r="B929" s="26"/>
      <c r="C929" s="26"/>
      <c r="D929" s="26"/>
      <c r="E929" s="26"/>
    </row>
    <row r="930" customFormat="false" ht="13.2" hidden="false" customHeight="false" outlineLevel="0" collapsed="false">
      <c r="A930" s="26"/>
      <c r="B930" s="26"/>
      <c r="C930" s="26"/>
      <c r="D930" s="26"/>
      <c r="E930" s="26"/>
    </row>
    <row r="931" customFormat="false" ht="13.2" hidden="false" customHeight="false" outlineLevel="0" collapsed="false">
      <c r="A931" s="26"/>
      <c r="B931" s="26"/>
      <c r="C931" s="26"/>
      <c r="D931" s="26"/>
      <c r="E931" s="26"/>
    </row>
    <row r="932" customFormat="false" ht="13.2" hidden="false" customHeight="false" outlineLevel="0" collapsed="false">
      <c r="A932" s="39" t="s">
        <v>34</v>
      </c>
      <c r="B932" s="39"/>
      <c r="C932" s="39"/>
      <c r="D932" s="39"/>
      <c r="E932" s="41" t="s">
        <v>29</v>
      </c>
      <c r="F932" s="41"/>
    </row>
    <row r="935" customFormat="false" ht="18.6" hidden="false" customHeight="true" outlineLevel="0" collapsed="false">
      <c r="A935" s="118" t="s">
        <v>368</v>
      </c>
      <c r="B935" s="118"/>
      <c r="C935" s="118"/>
      <c r="D935" s="118"/>
      <c r="E935" s="118"/>
      <c r="F935" s="43"/>
    </row>
    <row r="936" customFormat="false" ht="13.8" hidden="false" customHeight="true" outlineLevel="0" collapsed="false">
      <c r="A936" s="119" t="s">
        <v>2</v>
      </c>
      <c r="B936" s="119"/>
      <c r="C936" s="119"/>
      <c r="D936" s="119"/>
      <c r="E936" s="119"/>
      <c r="F936" s="44"/>
    </row>
    <row r="937" customFormat="false" ht="16.8" hidden="false" customHeight="false" outlineLevel="0" collapsed="false">
      <c r="A937" s="13" t="s">
        <v>3</v>
      </c>
      <c r="B937" s="14"/>
      <c r="C937" s="14"/>
      <c r="D937" s="46"/>
      <c r="E937" s="46" t="s">
        <v>4</v>
      </c>
      <c r="F937" s="66"/>
    </row>
    <row r="938" customFormat="false" ht="33.6" hidden="false" customHeight="false" outlineLevel="0" collapsed="false">
      <c r="A938" s="17" t="s">
        <v>5</v>
      </c>
      <c r="B938" s="17" t="s">
        <v>5</v>
      </c>
      <c r="C938" s="17" t="s">
        <v>369</v>
      </c>
      <c r="D938" s="17" t="s">
        <v>7</v>
      </c>
      <c r="E938" s="17" t="s">
        <v>8</v>
      </c>
      <c r="F938" s="1"/>
    </row>
    <row r="939" customFormat="false" ht="16.8" hidden="false" customHeight="false" outlineLevel="0" collapsed="false">
      <c r="A939" s="19" t="s">
        <v>9</v>
      </c>
      <c r="B939" s="20" t="n">
        <f aca="false">E907</f>
        <v>0</v>
      </c>
      <c r="C939" s="20"/>
      <c r="D939" s="20"/>
      <c r="E939" s="47" t="n">
        <f aca="false">B939+C939-D939</f>
        <v>0</v>
      </c>
      <c r="F939" s="1"/>
    </row>
    <row r="940" customFormat="false" ht="33.6" hidden="false" customHeight="false" outlineLevel="0" collapsed="false">
      <c r="A940" s="97" t="s">
        <v>159</v>
      </c>
      <c r="B940" s="20" t="n">
        <f aca="false">E908</f>
        <v>0</v>
      </c>
      <c r="C940" s="20"/>
      <c r="D940" s="20"/>
      <c r="E940" s="47" t="n">
        <f aca="false">B940+C940-D940</f>
        <v>0</v>
      </c>
      <c r="F940" s="1"/>
    </row>
    <row r="941" customFormat="false" ht="33.6" hidden="false" customHeight="false" outlineLevel="0" collapsed="false">
      <c r="A941" s="97" t="s">
        <v>202</v>
      </c>
      <c r="B941" s="20" t="n">
        <f aca="false">E909</f>
        <v>0</v>
      </c>
      <c r="C941" s="20"/>
      <c r="D941" s="20"/>
      <c r="E941" s="47" t="n">
        <f aca="false">B941+C941-D941</f>
        <v>0</v>
      </c>
      <c r="F941" s="45"/>
    </row>
    <row r="942" customFormat="false" ht="16.8" hidden="false" customHeight="false" outlineLevel="0" collapsed="false">
      <c r="A942" s="19" t="s">
        <v>10</v>
      </c>
      <c r="B942" s="20" t="n">
        <f aca="false">E910</f>
        <v>190</v>
      </c>
      <c r="C942" s="20" t="n">
        <v>4530</v>
      </c>
      <c r="D942" s="20"/>
      <c r="E942" s="47" t="n">
        <f aca="false">B942+C942-D942</f>
        <v>4720</v>
      </c>
      <c r="F942" s="45"/>
    </row>
    <row r="943" customFormat="false" ht="16.8" hidden="false" customHeight="false" outlineLevel="0" collapsed="false">
      <c r="A943" s="21" t="s">
        <v>11</v>
      </c>
      <c r="B943" s="22" t="n">
        <f aca="false">SUM(B939:B942)</f>
        <v>190</v>
      </c>
      <c r="C943" s="22" t="n">
        <f aca="false">SUM(C939:C942)</f>
        <v>4530</v>
      </c>
      <c r="D943" s="22" t="n">
        <f aca="false">SUM(D939:D942)</f>
        <v>0</v>
      </c>
      <c r="E943" s="22" t="n">
        <f aca="false">SUM(E939:E942)</f>
        <v>4720</v>
      </c>
      <c r="F943" s="121"/>
    </row>
    <row r="944" customFormat="false" ht="16.8" hidden="false" customHeight="false" outlineLevel="0" collapsed="false">
      <c r="A944" s="13" t="s">
        <v>12</v>
      </c>
      <c r="B944" s="13"/>
      <c r="C944" s="13"/>
      <c r="D944" s="13"/>
      <c r="E944" s="24"/>
      <c r="F944" s="24"/>
    </row>
    <row r="945" customFormat="false" ht="67.2" hidden="false" customHeight="false" outlineLevel="0" collapsed="false">
      <c r="A945" s="25" t="s">
        <v>13</v>
      </c>
      <c r="B945" s="17" t="s">
        <v>370</v>
      </c>
      <c r="C945" s="93" t="s">
        <v>138</v>
      </c>
      <c r="D945" s="120" t="s">
        <v>16</v>
      </c>
    </row>
    <row r="946" customFormat="false" ht="33.6" hidden="false" customHeight="false" outlineLevel="0" collapsed="false">
      <c r="A946" s="49" t="s">
        <v>49</v>
      </c>
      <c r="B946" s="20"/>
      <c r="C946" s="20"/>
      <c r="D946" s="29"/>
    </row>
    <row r="947" customFormat="false" ht="16.8" hidden="false" customHeight="false" outlineLevel="0" collapsed="false">
      <c r="A947" s="49" t="s">
        <v>53</v>
      </c>
      <c r="B947" s="19" t="n">
        <v>4150</v>
      </c>
      <c r="C947" s="51" t="n">
        <v>66</v>
      </c>
      <c r="D947" s="122" t="n">
        <f aca="false">D943/B947</f>
        <v>0</v>
      </c>
    </row>
    <row r="948" customFormat="false" ht="33.6" hidden="false" customHeight="false" outlineLevel="0" collapsed="false">
      <c r="A948" s="49" t="s">
        <v>269</v>
      </c>
      <c r="B948" s="19"/>
      <c r="C948" s="19"/>
      <c r="D948" s="122"/>
    </row>
    <row r="949" customFormat="false" ht="16.8" hidden="false" customHeight="false" outlineLevel="0" collapsed="false">
      <c r="A949" s="53" t="s">
        <v>18</v>
      </c>
      <c r="B949" s="20"/>
      <c r="C949" s="20"/>
      <c r="D949" s="20"/>
    </row>
    <row r="950" customFormat="false" ht="16.8" hidden="false" customHeight="false" outlineLevel="0" collapsed="false">
      <c r="A950" s="30" t="s">
        <v>11</v>
      </c>
      <c r="B950" s="94" t="n">
        <f aca="false">SUM(B946:B949)</f>
        <v>4150</v>
      </c>
      <c r="C950" s="94"/>
      <c r="D950" s="89" t="n">
        <f aca="false">D943/B950</f>
        <v>0</v>
      </c>
    </row>
    <row r="951" customFormat="false" ht="16.8" hidden="false" customHeight="false" outlineLevel="0" collapsed="false">
      <c r="A951" s="67" t="s">
        <v>367</v>
      </c>
      <c r="B951" s="57"/>
      <c r="C951" s="57"/>
      <c r="D951" s="124"/>
      <c r="E951" s="128"/>
      <c r="F951" s="128"/>
    </row>
    <row r="952" customFormat="false" ht="16.8" hidden="false" customHeight="false" outlineLevel="0" collapsed="false">
      <c r="A952" s="13" t="s">
        <v>20</v>
      </c>
      <c r="B952" s="1"/>
      <c r="C952" s="1"/>
      <c r="D952" s="1"/>
      <c r="E952" s="1"/>
      <c r="F952" s="1"/>
    </row>
    <row r="953" customFormat="false" ht="16.8" hidden="false" customHeight="false" outlineLevel="0" collapsed="false">
      <c r="A953" s="17" t="s">
        <v>13</v>
      </c>
      <c r="B953" s="17" t="s">
        <v>21</v>
      </c>
      <c r="C953" s="18"/>
      <c r="D953" s="18"/>
      <c r="E953" s="1"/>
      <c r="F953" s="1"/>
    </row>
    <row r="954" customFormat="false" ht="16.8" hidden="false" customHeight="false" outlineLevel="0" collapsed="false">
      <c r="A954" s="33" t="s">
        <v>22</v>
      </c>
      <c r="B954" s="34" t="n">
        <v>35616</v>
      </c>
      <c r="C954" s="1"/>
      <c r="D954" s="1"/>
      <c r="E954" s="39"/>
      <c r="F954" s="1"/>
    </row>
    <row r="955" customFormat="false" ht="16.8" hidden="false" customHeight="false" outlineLevel="0" collapsed="false">
      <c r="A955" s="33" t="s">
        <v>17</v>
      </c>
      <c r="B955" s="34" t="n">
        <f aca="false">100006-B954-B956</f>
        <v>56840</v>
      </c>
      <c r="C955" s="1"/>
      <c r="D955" s="1"/>
      <c r="E955" s="26"/>
      <c r="F955" s="39"/>
    </row>
    <row r="956" customFormat="false" ht="16.8" hidden="false" customHeight="false" outlineLevel="0" collapsed="false">
      <c r="A956" s="33" t="s">
        <v>18</v>
      </c>
      <c r="B956" s="34" t="n">
        <v>7550</v>
      </c>
      <c r="C956" s="1"/>
      <c r="D956" s="1"/>
      <c r="E956" s="26"/>
      <c r="F956" s="26"/>
    </row>
    <row r="957" customFormat="false" ht="16.8" hidden="false" customHeight="false" outlineLevel="0" collapsed="false">
      <c r="A957" s="25" t="s">
        <v>11</v>
      </c>
      <c r="B957" s="35" t="n">
        <f aca="false">SUM(B954:B956)</f>
        <v>100006</v>
      </c>
      <c r="C957" s="1"/>
      <c r="D957" s="1"/>
      <c r="E957" s="123"/>
      <c r="F957" s="26"/>
    </row>
    <row r="958" customFormat="false" ht="13.2" hidden="false" customHeight="false" outlineLevel="0" collapsed="false">
      <c r="A958" s="1"/>
      <c r="B958" s="1"/>
      <c r="C958" s="1"/>
      <c r="D958" s="1"/>
      <c r="E958" s="26"/>
      <c r="F958" s="26"/>
    </row>
    <row r="959" customFormat="false" ht="13.2" hidden="false" customHeight="false" outlineLevel="0" collapsed="false">
      <c r="A959" s="39" t="s">
        <v>23</v>
      </c>
      <c r="B959" s="39" t="s">
        <v>24</v>
      </c>
      <c r="C959" s="39" t="s">
        <v>25</v>
      </c>
      <c r="D959" s="39" t="s">
        <v>26</v>
      </c>
      <c r="E959" s="41" t="s">
        <v>27</v>
      </c>
      <c r="F959" s="41"/>
    </row>
    <row r="960" customFormat="false" ht="13.2" hidden="false" customHeight="false" outlineLevel="0" collapsed="false">
      <c r="A960" s="26"/>
      <c r="B960" s="26"/>
      <c r="C960" s="26"/>
      <c r="D960" s="26"/>
      <c r="E960" s="26"/>
      <c r="F960" s="39"/>
    </row>
    <row r="961" customFormat="false" ht="13.2" hidden="false" customHeight="false" outlineLevel="0" collapsed="false">
      <c r="A961" s="26"/>
      <c r="B961" s="26"/>
      <c r="C961" s="26"/>
      <c r="D961" s="26"/>
      <c r="E961" s="26"/>
    </row>
    <row r="962" customFormat="false" ht="13.2" hidden="false" customHeight="false" outlineLevel="0" collapsed="false">
      <c r="A962" s="26"/>
      <c r="B962" s="26"/>
      <c r="C962" s="26"/>
      <c r="D962" s="26"/>
      <c r="E962" s="26"/>
    </row>
    <row r="963" customFormat="false" ht="13.2" hidden="false" customHeight="false" outlineLevel="0" collapsed="false">
      <c r="A963" s="26"/>
      <c r="B963" s="26"/>
      <c r="C963" s="26"/>
      <c r="D963" s="26"/>
      <c r="E963" s="26"/>
    </row>
    <row r="964" customFormat="false" ht="13.2" hidden="false" customHeight="false" outlineLevel="0" collapsed="false">
      <c r="A964" s="39" t="s">
        <v>34</v>
      </c>
      <c r="B964" s="39"/>
      <c r="C964" s="39"/>
      <c r="D964" s="39"/>
      <c r="E964" s="41" t="s">
        <v>29</v>
      </c>
      <c r="F964" s="41"/>
    </row>
    <row r="969" customFormat="false" ht="18.6" hidden="false" customHeight="true" outlineLevel="0" collapsed="false">
      <c r="A969" s="118" t="s">
        <v>371</v>
      </c>
      <c r="B969" s="118"/>
      <c r="C969" s="118"/>
      <c r="D969" s="118"/>
      <c r="E969" s="118"/>
      <c r="F969" s="43"/>
    </row>
    <row r="970" customFormat="false" ht="13.8" hidden="false" customHeight="true" outlineLevel="0" collapsed="false">
      <c r="A970" s="119" t="s">
        <v>2</v>
      </c>
      <c r="B970" s="119"/>
      <c r="C970" s="119"/>
      <c r="D970" s="119"/>
      <c r="E970" s="119"/>
      <c r="F970" s="44"/>
    </row>
    <row r="971" customFormat="false" ht="16.8" hidden="false" customHeight="false" outlineLevel="0" collapsed="false">
      <c r="A971" s="13" t="s">
        <v>3</v>
      </c>
      <c r="B971" s="14"/>
      <c r="C971" s="14"/>
      <c r="D971" s="46"/>
      <c r="E971" s="46" t="s">
        <v>4</v>
      </c>
      <c r="F971" s="66"/>
    </row>
    <row r="972" customFormat="false" ht="33.6" hidden="false" customHeight="false" outlineLevel="0" collapsed="false">
      <c r="A972" s="17" t="s">
        <v>5</v>
      </c>
      <c r="B972" s="17" t="s">
        <v>5</v>
      </c>
      <c r="C972" s="17" t="s">
        <v>372</v>
      </c>
      <c r="D972" s="17" t="s">
        <v>7</v>
      </c>
      <c r="E972" s="17" t="s">
        <v>8</v>
      </c>
      <c r="F972" s="1"/>
    </row>
    <row r="973" customFormat="false" ht="16.8" hidden="false" customHeight="false" outlineLevel="0" collapsed="false">
      <c r="A973" s="19" t="s">
        <v>9</v>
      </c>
      <c r="B973" s="20" t="n">
        <f aca="false">E939</f>
        <v>0</v>
      </c>
      <c r="C973" s="20"/>
      <c r="D973" s="20"/>
      <c r="E973" s="47" t="n">
        <f aca="false">B973+C973-D973</f>
        <v>0</v>
      </c>
      <c r="F973" s="1"/>
    </row>
    <row r="974" customFormat="false" ht="33.6" hidden="false" customHeight="false" outlineLevel="0" collapsed="false">
      <c r="A974" s="97" t="s">
        <v>159</v>
      </c>
      <c r="B974" s="20" t="n">
        <f aca="false">E940</f>
        <v>0</v>
      </c>
      <c r="C974" s="20" t="n">
        <v>27505</v>
      </c>
      <c r="D974" s="20"/>
      <c r="E974" s="47" t="n">
        <f aca="false">B974+C974-D974</f>
        <v>27505</v>
      </c>
      <c r="F974" s="1"/>
    </row>
    <row r="975" customFormat="false" ht="33.6" hidden="false" customHeight="false" outlineLevel="0" collapsed="false">
      <c r="A975" s="97" t="s">
        <v>202</v>
      </c>
      <c r="B975" s="20" t="n">
        <f aca="false">E941</f>
        <v>0</v>
      </c>
      <c r="C975" s="20" t="n">
        <v>1550</v>
      </c>
      <c r="D975" s="20"/>
      <c r="E975" s="47" t="n">
        <f aca="false">B975+C975-D975</f>
        <v>1550</v>
      </c>
      <c r="F975" s="45"/>
    </row>
    <row r="976" customFormat="false" ht="16.8" hidden="false" customHeight="false" outlineLevel="0" collapsed="false">
      <c r="A976" s="19" t="s">
        <v>10</v>
      </c>
      <c r="B976" s="20" t="n">
        <f aca="false">E942</f>
        <v>4720</v>
      </c>
      <c r="C976" s="20" t="n">
        <v>120888</v>
      </c>
      <c r="D976" s="20"/>
      <c r="E976" s="47" t="n">
        <f aca="false">B976+C976-D976</f>
        <v>125608</v>
      </c>
      <c r="F976" s="45"/>
    </row>
    <row r="977" customFormat="false" ht="16.8" hidden="false" customHeight="false" outlineLevel="0" collapsed="false">
      <c r="A977" s="21" t="s">
        <v>11</v>
      </c>
      <c r="B977" s="22" t="n">
        <f aca="false">SUM(B973:B976)</f>
        <v>4720</v>
      </c>
      <c r="C977" s="22" t="n">
        <f aca="false">SUM(C973:C976)</f>
        <v>149943</v>
      </c>
      <c r="D977" s="22" t="n">
        <f aca="false">SUM(D973:D976)</f>
        <v>0</v>
      </c>
      <c r="E977" s="22" t="n">
        <f aca="false">SUM(E973:E976)</f>
        <v>154663</v>
      </c>
      <c r="F977" s="121"/>
    </row>
    <row r="978" customFormat="false" ht="16.8" hidden="false" customHeight="false" outlineLevel="0" collapsed="false">
      <c r="A978" s="13" t="s">
        <v>12</v>
      </c>
      <c r="B978" s="13"/>
      <c r="C978" s="13"/>
      <c r="D978" s="13"/>
      <c r="E978" s="24"/>
      <c r="F978" s="24"/>
    </row>
    <row r="979" customFormat="false" ht="67.2" hidden="false" customHeight="false" outlineLevel="0" collapsed="false">
      <c r="A979" s="25" t="s">
        <v>13</v>
      </c>
      <c r="B979" s="17" t="s">
        <v>373</v>
      </c>
      <c r="C979" s="93" t="s">
        <v>138</v>
      </c>
      <c r="D979" s="120" t="s">
        <v>16</v>
      </c>
    </row>
    <row r="980" customFormat="false" ht="33.6" hidden="false" customHeight="false" outlineLevel="0" collapsed="false">
      <c r="A980" s="49" t="s">
        <v>49</v>
      </c>
      <c r="B980" s="20" t="n">
        <v>9100</v>
      </c>
      <c r="C980" s="20"/>
      <c r="D980" s="29"/>
    </row>
    <row r="981" customFormat="false" ht="16.8" hidden="false" customHeight="false" outlineLevel="0" collapsed="false">
      <c r="A981" s="49" t="s">
        <v>53</v>
      </c>
      <c r="B981" s="19" t="n">
        <v>17750</v>
      </c>
      <c r="C981" s="51"/>
      <c r="D981" s="122"/>
    </row>
    <row r="982" customFormat="false" ht="33.6" hidden="false" customHeight="false" outlineLevel="0" collapsed="false">
      <c r="A982" s="49" t="s">
        <v>269</v>
      </c>
      <c r="B982" s="19" t="n">
        <v>14480</v>
      </c>
      <c r="C982" s="19"/>
      <c r="D982" s="122"/>
    </row>
    <row r="983" customFormat="false" ht="16.8" hidden="false" customHeight="false" outlineLevel="0" collapsed="false">
      <c r="A983" s="53" t="s">
        <v>18</v>
      </c>
      <c r="B983" s="20"/>
      <c r="C983" s="20"/>
      <c r="D983" s="20"/>
    </row>
    <row r="984" customFormat="false" ht="16.8" hidden="false" customHeight="false" outlineLevel="0" collapsed="false">
      <c r="A984" s="30" t="s">
        <v>11</v>
      </c>
      <c r="B984" s="94" t="n">
        <f aca="false">SUM(B980:B983)</f>
        <v>41330</v>
      </c>
      <c r="C984" s="94"/>
      <c r="D984" s="89"/>
    </row>
    <row r="985" customFormat="false" ht="16.8" hidden="false" customHeight="false" outlineLevel="0" collapsed="false">
      <c r="A985" s="13" t="s">
        <v>20</v>
      </c>
      <c r="B985" s="1"/>
      <c r="C985" s="1"/>
      <c r="D985" s="1"/>
      <c r="E985" s="1"/>
      <c r="F985" s="1"/>
    </row>
    <row r="986" customFormat="false" ht="16.8" hidden="false" customHeight="false" outlineLevel="0" collapsed="false">
      <c r="A986" s="17" t="s">
        <v>13</v>
      </c>
      <c r="B986" s="17" t="s">
        <v>21</v>
      </c>
      <c r="C986" s="18"/>
      <c r="D986" s="18"/>
      <c r="E986" s="1"/>
      <c r="F986" s="1"/>
    </row>
    <row r="987" customFormat="false" ht="16.8" hidden="false" customHeight="false" outlineLevel="0" collapsed="false">
      <c r="A987" s="33" t="s">
        <v>22</v>
      </c>
      <c r="B987" s="34" t="n">
        <v>45216</v>
      </c>
      <c r="C987" s="1"/>
      <c r="D987" s="1"/>
      <c r="E987" s="39"/>
      <c r="F987" s="1"/>
    </row>
    <row r="988" customFormat="false" ht="16.8" hidden="false" customHeight="false" outlineLevel="0" collapsed="false">
      <c r="A988" s="33" t="s">
        <v>17</v>
      </c>
      <c r="B988" s="34" t="n">
        <v>89070</v>
      </c>
      <c r="C988" s="1"/>
      <c r="D988" s="1"/>
      <c r="E988" s="26"/>
      <c r="F988" s="39"/>
    </row>
    <row r="989" customFormat="false" ht="16.8" hidden="false" customHeight="false" outlineLevel="0" collapsed="false">
      <c r="A989" s="33" t="s">
        <v>18</v>
      </c>
      <c r="B989" s="34" t="n">
        <v>7050</v>
      </c>
      <c r="C989" s="1"/>
      <c r="D989" s="1"/>
      <c r="E989" s="26"/>
      <c r="F989" s="26"/>
    </row>
    <row r="990" customFormat="false" ht="16.8" hidden="false" customHeight="false" outlineLevel="0" collapsed="false">
      <c r="A990" s="25" t="s">
        <v>11</v>
      </c>
      <c r="B990" s="35" t="n">
        <f aca="false">SUM(B987:B989)</f>
        <v>141336</v>
      </c>
      <c r="C990" s="1"/>
      <c r="D990" s="1"/>
      <c r="E990" s="123"/>
      <c r="F990" s="26"/>
    </row>
    <row r="991" customFormat="false" ht="13.2" hidden="false" customHeight="false" outlineLevel="0" collapsed="false">
      <c r="A991" s="1"/>
      <c r="B991" s="1"/>
      <c r="C991" s="1"/>
      <c r="D991" s="1"/>
      <c r="E991" s="26"/>
      <c r="F991" s="26"/>
    </row>
    <row r="992" customFormat="false" ht="13.2" hidden="false" customHeight="false" outlineLevel="0" collapsed="false">
      <c r="A992" s="39" t="s">
        <v>23</v>
      </c>
      <c r="B992" s="39" t="s">
        <v>24</v>
      </c>
      <c r="C992" s="39" t="s">
        <v>25</v>
      </c>
      <c r="D992" s="39" t="s">
        <v>26</v>
      </c>
      <c r="E992" s="41" t="s">
        <v>27</v>
      </c>
      <c r="F992" s="41"/>
    </row>
    <row r="993" customFormat="false" ht="13.2" hidden="false" customHeight="false" outlineLevel="0" collapsed="false">
      <c r="A993" s="26"/>
      <c r="B993" s="26"/>
      <c r="C993" s="26"/>
      <c r="D993" s="26"/>
      <c r="E993" s="26"/>
      <c r="F993" s="39"/>
    </row>
    <row r="994" customFormat="false" ht="13.2" hidden="false" customHeight="false" outlineLevel="0" collapsed="false">
      <c r="A994" s="26"/>
      <c r="B994" s="26"/>
      <c r="C994" s="26"/>
      <c r="D994" s="26"/>
      <c r="E994" s="26"/>
    </row>
    <row r="995" customFormat="false" ht="13.2" hidden="false" customHeight="false" outlineLevel="0" collapsed="false">
      <c r="A995" s="26"/>
      <c r="B995" s="26"/>
      <c r="C995" s="26"/>
      <c r="D995" s="26"/>
      <c r="E995" s="26"/>
    </row>
    <row r="996" customFormat="false" ht="13.2" hidden="false" customHeight="false" outlineLevel="0" collapsed="false">
      <c r="A996" s="26"/>
      <c r="B996" s="26"/>
      <c r="C996" s="26"/>
      <c r="D996" s="26"/>
      <c r="E996" s="26"/>
    </row>
    <row r="997" customFormat="false" ht="13.2" hidden="false" customHeight="false" outlineLevel="0" collapsed="false">
      <c r="A997" s="39" t="s">
        <v>34</v>
      </c>
      <c r="B997" s="39"/>
      <c r="C997" s="39"/>
      <c r="D997" s="39"/>
      <c r="E997" s="41" t="s">
        <v>29</v>
      </c>
      <c r="F997" s="41"/>
    </row>
  </sheetData>
  <mergeCells count="146">
    <mergeCell ref="A1:E1"/>
    <mergeCell ref="A2:E2"/>
    <mergeCell ref="A10:E10"/>
    <mergeCell ref="E26:F26"/>
    <mergeCell ref="E31:F31"/>
    <mergeCell ref="A34:E34"/>
    <mergeCell ref="A35:E35"/>
    <mergeCell ref="A43:E43"/>
    <mergeCell ref="E59:F59"/>
    <mergeCell ref="E64:F64"/>
    <mergeCell ref="A68:E68"/>
    <mergeCell ref="A69:E69"/>
    <mergeCell ref="A77:E77"/>
    <mergeCell ref="E93:F93"/>
    <mergeCell ref="E98:F98"/>
    <mergeCell ref="A103:E103"/>
    <mergeCell ref="A104:E104"/>
    <mergeCell ref="A112:E112"/>
    <mergeCell ref="E128:F128"/>
    <mergeCell ref="E133:F133"/>
    <mergeCell ref="A139:E139"/>
    <mergeCell ref="A140:E140"/>
    <mergeCell ref="A148:E148"/>
    <mergeCell ref="E164:F164"/>
    <mergeCell ref="E169:F169"/>
    <mergeCell ref="A173:E173"/>
    <mergeCell ref="A174:E174"/>
    <mergeCell ref="A182:E182"/>
    <mergeCell ref="E198:F198"/>
    <mergeCell ref="E203:F203"/>
    <mergeCell ref="A207:E207"/>
    <mergeCell ref="A208:E208"/>
    <mergeCell ref="A216:E216"/>
    <mergeCell ref="E232:F232"/>
    <mergeCell ref="E237:F237"/>
    <mergeCell ref="A241:E241"/>
    <mergeCell ref="A242:E242"/>
    <mergeCell ref="A250:E250"/>
    <mergeCell ref="E266:F266"/>
    <mergeCell ref="E271:F271"/>
    <mergeCell ref="A275:E275"/>
    <mergeCell ref="A276:E276"/>
    <mergeCell ref="A284:E284"/>
    <mergeCell ref="E300:F300"/>
    <mergeCell ref="E305:F305"/>
    <mergeCell ref="A310:E310"/>
    <mergeCell ref="A311:E311"/>
    <mergeCell ref="E322:E323"/>
    <mergeCell ref="E334:F334"/>
    <mergeCell ref="E339:F339"/>
    <mergeCell ref="A343:E343"/>
    <mergeCell ref="A344:E344"/>
    <mergeCell ref="E367:F367"/>
    <mergeCell ref="E372:F372"/>
    <mergeCell ref="A376:E376"/>
    <mergeCell ref="A377:E377"/>
    <mergeCell ref="E399:F399"/>
    <mergeCell ref="E404:F404"/>
    <mergeCell ref="A409:E409"/>
    <mergeCell ref="A410:E410"/>
    <mergeCell ref="A418:E418"/>
    <mergeCell ref="E433:F433"/>
    <mergeCell ref="E438:F438"/>
    <mergeCell ref="A443:E443"/>
    <mergeCell ref="A444:E444"/>
    <mergeCell ref="A452:E452"/>
    <mergeCell ref="E467:F467"/>
    <mergeCell ref="E472:F472"/>
    <mergeCell ref="A475:E475"/>
    <mergeCell ref="A476:E476"/>
    <mergeCell ref="E498:F498"/>
    <mergeCell ref="E503:F503"/>
    <mergeCell ref="A506:E506"/>
    <mergeCell ref="A507:E507"/>
    <mergeCell ref="A515:E515"/>
    <mergeCell ref="E530:F530"/>
    <mergeCell ref="E535:F535"/>
    <mergeCell ref="A541:E541"/>
    <mergeCell ref="A542:E542"/>
    <mergeCell ref="A550:E550"/>
    <mergeCell ref="E565:F565"/>
    <mergeCell ref="E570:F570"/>
    <mergeCell ref="A574:E574"/>
    <mergeCell ref="A575:E575"/>
    <mergeCell ref="A583:E583"/>
    <mergeCell ref="E598:F598"/>
    <mergeCell ref="E603:F603"/>
    <mergeCell ref="A608:E608"/>
    <mergeCell ref="A609:E609"/>
    <mergeCell ref="A617:E617"/>
    <mergeCell ref="E632:F632"/>
    <mergeCell ref="E637:F637"/>
    <mergeCell ref="A640:E640"/>
    <mergeCell ref="A641:E641"/>
    <mergeCell ref="E664:F664"/>
    <mergeCell ref="E669:F669"/>
    <mergeCell ref="A674:E674"/>
    <mergeCell ref="A675:E675"/>
    <mergeCell ref="D686:D687"/>
    <mergeCell ref="E698:F698"/>
    <mergeCell ref="E703:F703"/>
    <mergeCell ref="A709:E709"/>
    <mergeCell ref="A710:E710"/>
    <mergeCell ref="D721:D722"/>
    <mergeCell ref="E733:F733"/>
    <mergeCell ref="E738:F738"/>
    <mergeCell ref="A741:E741"/>
    <mergeCell ref="A742:E742"/>
    <mergeCell ref="D753:D754"/>
    <mergeCell ref="E765:F765"/>
    <mergeCell ref="E770:F770"/>
    <mergeCell ref="A774:E774"/>
    <mergeCell ref="A775:E775"/>
    <mergeCell ref="E786:E787"/>
    <mergeCell ref="E798:F798"/>
    <mergeCell ref="E803:F803"/>
    <mergeCell ref="A807:E807"/>
    <mergeCell ref="A808:E808"/>
    <mergeCell ref="D819:D820"/>
    <mergeCell ref="E831:F831"/>
    <mergeCell ref="E836:F836"/>
    <mergeCell ref="A840:E840"/>
    <mergeCell ref="A841:E841"/>
    <mergeCell ref="D852:D853"/>
    <mergeCell ref="E863:F863"/>
    <mergeCell ref="E868:F868"/>
    <mergeCell ref="A872:E872"/>
    <mergeCell ref="A873:E873"/>
    <mergeCell ref="D884:D885"/>
    <mergeCell ref="E895:F895"/>
    <mergeCell ref="E900:F900"/>
    <mergeCell ref="A903:E903"/>
    <mergeCell ref="A904:E904"/>
    <mergeCell ref="D915:D916"/>
    <mergeCell ref="E927:F927"/>
    <mergeCell ref="E932:F932"/>
    <mergeCell ref="A935:E935"/>
    <mergeCell ref="A936:E936"/>
    <mergeCell ref="D947:D948"/>
    <mergeCell ref="E959:F959"/>
    <mergeCell ref="E964:F964"/>
    <mergeCell ref="A969:E969"/>
    <mergeCell ref="A970:E970"/>
    <mergeCell ref="D981:D982"/>
    <mergeCell ref="E992:F992"/>
    <mergeCell ref="E997:F997"/>
  </mergeCells>
  <printOptions headings="false" gridLines="false" gridLinesSet="true" horizontalCentered="false" verticalCentered="false"/>
  <pageMargins left="0.2" right="0.5" top="0.329861111111111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6"/>
  <sheetViews>
    <sheetView windowProtection="false"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32" activeCellId="0" sqref="C32"/>
    </sheetView>
  </sheetViews>
  <sheetFormatPr defaultRowHeight="13.2"/>
  <cols>
    <col collapsed="false" hidden="false" max="1" min="1" style="0" width="19.3061224489796"/>
    <col collapsed="false" hidden="false" max="2" min="2" style="0" width="11.6071428571429"/>
    <col collapsed="false" hidden="false" max="4" min="3" style="0" width="12.2857142857143"/>
    <col collapsed="false" hidden="false" max="5" min="5" style="0" width="15.1173469387755"/>
    <col collapsed="false" hidden="false" max="6" min="6" style="0" width="12.1479591836735"/>
    <col collapsed="false" hidden="false" max="7" min="7" style="0" width="12.6887755102041"/>
    <col collapsed="false" hidden="false" max="1025" min="8" style="0" width="8.50510204081633"/>
  </cols>
  <sheetData>
    <row r="1" customFormat="false" ht="18.6" hidden="false" customHeight="true" outlineLevel="0" collapsed="false">
      <c r="A1" s="118" t="s">
        <v>374</v>
      </c>
      <c r="B1" s="118"/>
      <c r="C1" s="118"/>
      <c r="D1" s="118"/>
      <c r="E1" s="118"/>
      <c r="F1" s="118"/>
      <c r="G1" s="118"/>
      <c r="H1" s="43"/>
    </row>
    <row r="2" customFormat="false" ht="13.8" hidden="false" customHeight="true" outlineLevel="0" collapsed="false">
      <c r="A2" s="119" t="s">
        <v>2</v>
      </c>
      <c r="B2" s="119"/>
      <c r="C2" s="119"/>
      <c r="D2" s="119"/>
      <c r="E2" s="119"/>
      <c r="F2" s="119"/>
      <c r="G2" s="119"/>
      <c r="H2" s="44"/>
    </row>
    <row r="3" customFormat="false" ht="16.8" hidden="false" customHeight="false" outlineLevel="0" collapsed="false">
      <c r="A3" s="13" t="s">
        <v>3</v>
      </c>
      <c r="B3" s="14"/>
      <c r="C3" s="14"/>
      <c r="D3" s="14"/>
      <c r="E3" s="14"/>
      <c r="F3" s="46"/>
      <c r="G3" s="46" t="s">
        <v>4</v>
      </c>
      <c r="H3" s="66"/>
    </row>
    <row r="4" customFormat="false" ht="33.6" hidden="false" customHeight="false" outlineLevel="0" collapsed="false">
      <c r="A4" s="17" t="s">
        <v>375</v>
      </c>
      <c r="B4" s="17" t="s">
        <v>5</v>
      </c>
      <c r="C4" s="17" t="s">
        <v>376</v>
      </c>
      <c r="D4" s="17" t="s">
        <v>377</v>
      </c>
      <c r="E4" s="17" t="s">
        <v>378</v>
      </c>
      <c r="F4" s="17" t="s">
        <v>7</v>
      </c>
      <c r="G4" s="17" t="s">
        <v>8</v>
      </c>
      <c r="H4" s="1"/>
    </row>
    <row r="5" customFormat="false" ht="21" hidden="false" customHeight="true" outlineLevel="0" collapsed="false">
      <c r="A5" s="19" t="s">
        <v>9</v>
      </c>
      <c r="B5" s="20" t="n">
        <f aca="false">T6!E973</f>
        <v>0</v>
      </c>
      <c r="C5" s="20" t="n">
        <v>6525</v>
      </c>
      <c r="D5" s="20" t="n">
        <f aca="false">E5/C5</f>
        <v>3000</v>
      </c>
      <c r="E5" s="20" t="n">
        <v>19575000</v>
      </c>
      <c r="F5" s="20" t="n">
        <v>6525</v>
      </c>
      <c r="G5" s="47" t="n">
        <f aca="false">B5+C5-F5</f>
        <v>0</v>
      </c>
      <c r="H5" s="1"/>
    </row>
    <row r="6" customFormat="false" ht="21" hidden="false" customHeight="true" outlineLevel="0" collapsed="false">
      <c r="A6" s="19" t="s">
        <v>10</v>
      </c>
      <c r="B6" s="20"/>
      <c r="C6" s="20" t="n">
        <v>14526</v>
      </c>
      <c r="D6" s="20" t="n">
        <f aca="false">E6/C6</f>
        <v>5624.41140024783</v>
      </c>
      <c r="E6" s="20" t="n">
        <v>81700200</v>
      </c>
      <c r="F6" s="20" t="n">
        <v>14526</v>
      </c>
      <c r="G6" s="47" t="n">
        <f aca="false">B6+C6-F6</f>
        <v>0</v>
      </c>
      <c r="H6" s="45"/>
    </row>
    <row r="7" customFormat="false" ht="24" hidden="false" customHeight="true" outlineLevel="0" collapsed="false">
      <c r="A7" s="21" t="s">
        <v>11</v>
      </c>
      <c r="B7" s="22" t="n">
        <f aca="false">SUM(B5:B6)</f>
        <v>0</v>
      </c>
      <c r="C7" s="22" t="n">
        <f aca="false">SUM(C5:C6)</f>
        <v>21051</v>
      </c>
      <c r="D7" s="22"/>
      <c r="E7" s="22" t="n">
        <f aca="false">SUM(E5:E6)</f>
        <v>101275200</v>
      </c>
      <c r="F7" s="22" t="n">
        <f aca="false">SUM(F5:F6)</f>
        <v>21051</v>
      </c>
      <c r="G7" s="22" t="n">
        <f aca="false">SUM(G5:G6)</f>
        <v>0</v>
      </c>
      <c r="H7" s="121"/>
    </row>
    <row r="8" customFormat="false" ht="16.8" hidden="false" customHeight="false" outlineLevel="0" collapsed="false">
      <c r="A8" s="13" t="s">
        <v>12</v>
      </c>
      <c r="B8" s="13"/>
      <c r="C8" s="13"/>
      <c r="D8" s="13"/>
      <c r="E8" s="13"/>
      <c r="F8" s="13"/>
      <c r="G8" s="24"/>
      <c r="H8" s="24"/>
    </row>
    <row r="9" customFormat="false" ht="60" hidden="false" customHeight="true" outlineLevel="0" collapsed="false">
      <c r="A9" s="25" t="s">
        <v>379</v>
      </c>
      <c r="B9" s="17" t="s">
        <v>380</v>
      </c>
      <c r="C9" s="17" t="s">
        <v>381</v>
      </c>
      <c r="D9" s="129" t="s">
        <v>382</v>
      </c>
      <c r="E9" s="120" t="s">
        <v>16</v>
      </c>
      <c r="F9" s="130"/>
      <c r="G9" s="131"/>
    </row>
    <row r="10" customFormat="false" ht="30.75" hidden="false" customHeight="true" outlineLevel="0" collapsed="false">
      <c r="A10" s="49" t="s">
        <v>383</v>
      </c>
      <c r="B10" s="20" t="n">
        <v>1500</v>
      </c>
      <c r="C10" s="20"/>
      <c r="D10" s="20" t="n">
        <f aca="false">B10</f>
        <v>1500</v>
      </c>
      <c r="E10" s="20"/>
      <c r="F10" s="57"/>
      <c r="G10" s="124"/>
    </row>
    <row r="11" customFormat="false" ht="30.75" hidden="false" customHeight="true" outlineLevel="0" collapsed="false">
      <c r="A11" s="49" t="s">
        <v>384</v>
      </c>
      <c r="B11" s="19" t="n">
        <v>5100</v>
      </c>
      <c r="C11" s="51"/>
      <c r="D11" s="51" t="n">
        <f aca="false">B11</f>
        <v>5100</v>
      </c>
      <c r="E11" s="51"/>
      <c r="F11" s="132"/>
      <c r="G11" s="133"/>
    </row>
    <row r="12" customFormat="false" ht="23.25" hidden="false" customHeight="true" outlineLevel="0" collapsed="false">
      <c r="A12" s="30" t="s">
        <v>11</v>
      </c>
      <c r="B12" s="94" t="n">
        <f aca="false">SUM(B10:B11)</f>
        <v>6600</v>
      </c>
      <c r="C12" s="94" t="n">
        <f aca="false">SUM(C10:C11)</f>
        <v>0</v>
      </c>
      <c r="D12" s="94" t="n">
        <f aca="false">SUM(D10:D11)</f>
        <v>6600</v>
      </c>
      <c r="E12" s="89" t="n">
        <f aca="false">F7/D12</f>
        <v>3.18954545454545</v>
      </c>
      <c r="F12" s="56"/>
      <c r="G12" s="100"/>
    </row>
    <row r="13" s="127" customFormat="true" ht="18.75" hidden="false" customHeight="true" outlineLevel="0" collapsed="false">
      <c r="A13" s="55" t="s">
        <v>19</v>
      </c>
      <c r="B13" s="56"/>
      <c r="C13" s="56"/>
      <c r="D13" s="56"/>
      <c r="E13" s="56"/>
      <c r="F13" s="56"/>
      <c r="G13" s="100"/>
    </row>
    <row r="14" customFormat="false" ht="18.75" hidden="false" customHeight="true" outlineLevel="0" collapsed="false">
      <c r="A14" s="13" t="s">
        <v>20</v>
      </c>
      <c r="B14" s="1"/>
      <c r="C14" s="1"/>
      <c r="D14" s="1"/>
      <c r="E14" s="1"/>
      <c r="F14" s="1"/>
      <c r="G14" s="1"/>
      <c r="H14" s="1"/>
    </row>
    <row r="15" customFormat="false" ht="18.75" hidden="false" customHeight="true" outlineLevel="0" collapsed="false">
      <c r="A15" s="17" t="s">
        <v>13</v>
      </c>
      <c r="B15" s="17" t="s">
        <v>21</v>
      </c>
      <c r="C15" s="18"/>
      <c r="D15" s="18"/>
      <c r="E15" s="18"/>
      <c r="F15" s="18"/>
      <c r="G15" s="1"/>
      <c r="H15" s="1"/>
    </row>
    <row r="16" customFormat="false" ht="18.75" hidden="false" customHeight="true" outlineLevel="0" collapsed="false">
      <c r="A16" s="33" t="s">
        <v>383</v>
      </c>
      <c r="B16" s="34" t="n">
        <f aca="false">B10</f>
        <v>1500</v>
      </c>
      <c r="C16" s="1"/>
      <c r="D16" s="1"/>
      <c r="E16" s="1"/>
      <c r="F16" s="1"/>
      <c r="G16" s="39"/>
      <c r="H16" s="1"/>
    </row>
    <row r="17" customFormat="false" ht="18.75" hidden="false" customHeight="true" outlineLevel="0" collapsed="false">
      <c r="A17" s="33" t="s">
        <v>384</v>
      </c>
      <c r="B17" s="34" t="n">
        <f aca="false">B11</f>
        <v>5100</v>
      </c>
      <c r="C17" s="1"/>
      <c r="D17" s="1"/>
      <c r="E17" s="1"/>
      <c r="F17" s="1"/>
      <c r="G17" s="26"/>
      <c r="H17" s="39"/>
    </row>
    <row r="18" customFormat="false" ht="18.75" hidden="false" customHeight="true" outlineLevel="0" collapsed="false">
      <c r="A18" s="25" t="s">
        <v>11</v>
      </c>
      <c r="B18" s="35" t="n">
        <f aca="false">SUM(B16:B17)</f>
        <v>6600</v>
      </c>
      <c r="C18" s="1"/>
      <c r="D18" s="1"/>
      <c r="E18" s="1"/>
      <c r="F18" s="1"/>
      <c r="G18" s="123"/>
      <c r="H18" s="26"/>
    </row>
    <row r="19" customFormat="false" ht="13.2" hidden="false" customHeight="false" outlineLevel="0" collapsed="false">
      <c r="A19" s="1"/>
      <c r="B19" s="1"/>
      <c r="C19" s="1"/>
      <c r="D19" s="1"/>
      <c r="E19" s="1"/>
      <c r="F19" s="1"/>
      <c r="G19" s="26"/>
      <c r="H19" s="26"/>
    </row>
    <row r="20" customFormat="false" ht="13.2" hidden="false" customHeight="false" outlineLevel="0" collapsed="false">
      <c r="A20" s="39"/>
      <c r="B20" s="39"/>
      <c r="C20" s="39"/>
      <c r="D20" s="39"/>
      <c r="E20" s="39"/>
      <c r="F20" s="39" t="s">
        <v>385</v>
      </c>
      <c r="G20" s="41"/>
      <c r="H20" s="41"/>
    </row>
    <row r="21" customFormat="false" ht="13.2" hidden="false" customHeight="false" outlineLevel="0" collapsed="false">
      <c r="A21" s="26"/>
      <c r="B21" s="26"/>
      <c r="C21" s="26"/>
      <c r="D21" s="26"/>
      <c r="E21" s="26"/>
      <c r="F21" s="26"/>
      <c r="G21" s="26"/>
      <c r="H21" s="39"/>
    </row>
    <row r="22" customFormat="false" ht="13.2" hidden="false" customHeight="false" outlineLevel="0" collapsed="false">
      <c r="A22" s="26"/>
      <c r="B22" s="26"/>
      <c r="C22" s="26"/>
      <c r="D22" s="26"/>
      <c r="E22" s="26"/>
      <c r="F22" s="26"/>
      <c r="G22" s="26"/>
    </row>
    <row r="23" customFormat="false" ht="13.2" hidden="false" customHeight="false" outlineLevel="0" collapsed="false">
      <c r="A23" s="26"/>
      <c r="B23" s="26"/>
      <c r="C23" s="26"/>
      <c r="D23" s="26"/>
      <c r="E23" s="26"/>
      <c r="F23" s="26"/>
      <c r="G23" s="26"/>
    </row>
    <row r="24" customFormat="false" ht="13.2" hidden="false" customHeight="false" outlineLevel="0" collapsed="false">
      <c r="A24" s="26"/>
      <c r="B24" s="26"/>
      <c r="C24" s="26"/>
      <c r="D24" s="26"/>
      <c r="E24" s="26"/>
      <c r="F24" s="26"/>
      <c r="G24" s="26"/>
    </row>
    <row r="25" customFormat="false" ht="13.2" hidden="false" customHeight="false" outlineLevel="0" collapsed="false">
      <c r="A25" s="39"/>
      <c r="B25" s="39"/>
      <c r="C25" s="39"/>
      <c r="D25" s="39"/>
      <c r="E25" s="39"/>
      <c r="F25" s="39"/>
      <c r="G25" s="41"/>
      <c r="H25" s="41"/>
    </row>
    <row r="28" customFormat="false" ht="19.5" hidden="false" customHeight="true" outlineLevel="0" collapsed="false">
      <c r="A28" s="118" t="s">
        <v>386</v>
      </c>
      <c r="B28" s="118"/>
      <c r="C28" s="118"/>
      <c r="D28" s="118"/>
      <c r="E28" s="118"/>
      <c r="F28" s="118"/>
      <c r="G28" s="118"/>
      <c r="H28" s="43"/>
    </row>
    <row r="29" customFormat="false" ht="13.8" hidden="false" customHeight="true" outlineLevel="0" collapsed="false">
      <c r="A29" s="119" t="s">
        <v>2</v>
      </c>
      <c r="B29" s="119"/>
      <c r="C29" s="119"/>
      <c r="D29" s="119"/>
      <c r="E29" s="119"/>
      <c r="F29" s="119"/>
      <c r="G29" s="119"/>
      <c r="H29" s="44"/>
    </row>
    <row r="30" customFormat="false" ht="16.8" hidden="false" customHeight="false" outlineLevel="0" collapsed="false">
      <c r="A30" s="13" t="s">
        <v>3</v>
      </c>
      <c r="B30" s="14"/>
      <c r="C30" s="14"/>
      <c r="D30" s="14"/>
      <c r="E30" s="14"/>
      <c r="F30" s="46"/>
      <c r="G30" s="46" t="s">
        <v>4</v>
      </c>
      <c r="H30" s="66"/>
    </row>
    <row r="31" customFormat="false" ht="33.6" hidden="false" customHeight="false" outlineLevel="0" collapsed="false">
      <c r="A31" s="17" t="s">
        <v>375</v>
      </c>
      <c r="B31" s="17" t="s">
        <v>5</v>
      </c>
      <c r="C31" s="17" t="s">
        <v>376</v>
      </c>
      <c r="D31" s="17" t="s">
        <v>377</v>
      </c>
      <c r="E31" s="17" t="s">
        <v>378</v>
      </c>
      <c r="F31" s="17" t="s">
        <v>7</v>
      </c>
      <c r="G31" s="17" t="s">
        <v>8</v>
      </c>
      <c r="H31" s="1"/>
    </row>
    <row r="32" customFormat="false" ht="22.5" hidden="false" customHeight="true" outlineLevel="0" collapsed="false">
      <c r="A32" s="19" t="s">
        <v>387</v>
      </c>
      <c r="B32" s="20"/>
      <c r="C32" s="20" t="n">
        <v>1170</v>
      </c>
      <c r="D32" s="20" t="n">
        <f aca="false">E32/C32</f>
        <v>4000</v>
      </c>
      <c r="E32" s="20" t="n">
        <v>4680000</v>
      </c>
      <c r="F32" s="20" t="n">
        <v>1170</v>
      </c>
      <c r="G32" s="47" t="n">
        <f aca="false">B32+C32-F32</f>
        <v>0</v>
      </c>
      <c r="H32" s="1"/>
    </row>
    <row r="33" customFormat="false" ht="20.25" hidden="false" customHeight="true" outlineLevel="0" collapsed="false">
      <c r="A33" s="19" t="s">
        <v>10</v>
      </c>
      <c r="B33" s="20"/>
      <c r="C33" s="20" t="n">
        <f aca="false">2934+6055</f>
        <v>8989</v>
      </c>
      <c r="D33" s="20" t="n">
        <f aca="false">E34/C33</f>
        <v>6572.78896428969</v>
      </c>
      <c r="E33" s="20" t="n">
        <f aca="false">18072800+36330000</f>
        <v>54402800</v>
      </c>
      <c r="F33" s="20" t="n">
        <v>8989</v>
      </c>
      <c r="G33" s="47" t="n">
        <f aca="false">B33+C33-F33</f>
        <v>0</v>
      </c>
      <c r="H33" s="45"/>
    </row>
    <row r="34" customFormat="false" ht="16.8" hidden="false" customHeight="false" outlineLevel="0" collapsed="false">
      <c r="A34" s="21" t="s">
        <v>11</v>
      </c>
      <c r="B34" s="22" t="n">
        <f aca="false">SUM(B32:B33)</f>
        <v>0</v>
      </c>
      <c r="C34" s="22" t="n">
        <f aca="false">SUM(C32:C33)</f>
        <v>10159</v>
      </c>
      <c r="D34" s="22"/>
      <c r="E34" s="22" t="n">
        <f aca="false">SUM(E32:E33)</f>
        <v>59082800</v>
      </c>
      <c r="F34" s="22" t="n">
        <f aca="false">SUM(F32:F33)</f>
        <v>10159</v>
      </c>
      <c r="G34" s="22" t="n">
        <f aca="false">SUM(G32:G33)</f>
        <v>0</v>
      </c>
      <c r="H34" s="121"/>
    </row>
    <row r="35" customFormat="false" ht="16.8" hidden="false" customHeight="false" outlineLevel="0" collapsed="false">
      <c r="A35" s="13" t="s">
        <v>12</v>
      </c>
      <c r="B35" s="13"/>
      <c r="C35" s="13"/>
      <c r="D35" s="13"/>
      <c r="E35" s="13"/>
      <c r="F35" s="13"/>
      <c r="G35" s="24"/>
      <c r="H35" s="24"/>
    </row>
    <row r="36" customFormat="false" ht="33.6" hidden="false" customHeight="false" outlineLevel="0" collapsed="false">
      <c r="A36" s="25" t="s">
        <v>379</v>
      </c>
      <c r="B36" s="17" t="s">
        <v>380</v>
      </c>
      <c r="C36" s="17" t="s">
        <v>381</v>
      </c>
      <c r="D36" s="129" t="s">
        <v>382</v>
      </c>
      <c r="E36" s="120" t="s">
        <v>16</v>
      </c>
      <c r="F36" s="130"/>
      <c r="G36" s="131"/>
    </row>
    <row r="37" customFormat="false" ht="16.8" hidden="false" customHeight="false" outlineLevel="0" collapsed="false">
      <c r="A37" s="49" t="s">
        <v>384</v>
      </c>
      <c r="B37" s="20" t="n">
        <v>2400</v>
      </c>
      <c r="C37" s="20"/>
      <c r="D37" s="20" t="n">
        <f aca="false">B37</f>
        <v>2400</v>
      </c>
      <c r="E37" s="20"/>
      <c r="F37" s="124"/>
      <c r="G37" s="134"/>
    </row>
    <row r="38" customFormat="false" ht="16.8" hidden="false" customHeight="false" outlineLevel="0" collapsed="false">
      <c r="A38" s="30" t="s">
        <v>11</v>
      </c>
      <c r="B38" s="94" t="n">
        <f aca="false">SUM(B37:B37)</f>
        <v>2400</v>
      </c>
      <c r="C38" s="94"/>
      <c r="D38" s="94" t="n">
        <f aca="false">D37</f>
        <v>2400</v>
      </c>
      <c r="E38" s="89" t="n">
        <f aca="false">F34/D38</f>
        <v>4.23291666666667</v>
      </c>
      <c r="F38" s="100"/>
      <c r="G38" s="134"/>
    </row>
    <row r="39" customFormat="false" ht="16.8" hidden="false" customHeight="false" outlineLevel="0" collapsed="false">
      <c r="A39" s="55" t="s">
        <v>19</v>
      </c>
      <c r="B39" s="56"/>
      <c r="C39" s="56"/>
      <c r="D39" s="56"/>
      <c r="E39" s="56"/>
      <c r="F39" s="56"/>
      <c r="G39" s="100"/>
      <c r="H39" s="127"/>
    </row>
    <row r="40" customFormat="false" ht="16.8" hidden="false" customHeight="false" outlineLevel="0" collapsed="false">
      <c r="A40" s="13" t="s">
        <v>20</v>
      </c>
      <c r="B40" s="1"/>
      <c r="C40" s="1"/>
      <c r="D40" s="1"/>
      <c r="E40" s="1"/>
      <c r="F40" s="1"/>
      <c r="G40" s="1"/>
      <c r="H40" s="1"/>
    </row>
    <row r="41" customFormat="false" ht="16.8" hidden="false" customHeight="false" outlineLevel="0" collapsed="false">
      <c r="A41" s="17" t="s">
        <v>13</v>
      </c>
      <c r="B41" s="17" t="s">
        <v>21</v>
      </c>
      <c r="C41" s="18"/>
      <c r="D41" s="18"/>
      <c r="E41" s="18"/>
      <c r="F41" s="18"/>
      <c r="G41" s="1"/>
      <c r="H41" s="1"/>
    </row>
    <row r="42" customFormat="false" ht="23.25" hidden="false" customHeight="true" outlineLevel="0" collapsed="false">
      <c r="A42" s="33" t="s">
        <v>383</v>
      </c>
      <c r="B42" s="34" t="n">
        <f aca="false">B16</f>
        <v>1500</v>
      </c>
      <c r="C42" s="1"/>
      <c r="D42" s="1"/>
      <c r="E42" s="1"/>
      <c r="F42" s="1"/>
      <c r="G42" s="39"/>
      <c r="H42" s="1"/>
    </row>
    <row r="43" customFormat="false" ht="23.25" hidden="false" customHeight="true" outlineLevel="0" collapsed="false">
      <c r="A43" s="33" t="s">
        <v>384</v>
      </c>
      <c r="B43" s="34" t="n">
        <f aca="false">B17+B37</f>
        <v>7500</v>
      </c>
      <c r="C43" s="1"/>
      <c r="D43" s="1"/>
      <c r="E43" s="1"/>
      <c r="F43" s="1"/>
      <c r="G43" s="39"/>
      <c r="H43" s="1"/>
    </row>
    <row r="44" customFormat="false" ht="16.8" hidden="false" customHeight="false" outlineLevel="0" collapsed="false">
      <c r="A44" s="25" t="s">
        <v>11</v>
      </c>
      <c r="B44" s="35" t="n">
        <f aca="false">SUM(B42:B43)</f>
        <v>9000</v>
      </c>
      <c r="C44" s="1"/>
      <c r="D44" s="1"/>
      <c r="E44" s="1"/>
      <c r="F44" s="1"/>
      <c r="G44" s="123"/>
      <c r="H44" s="26"/>
    </row>
    <row r="45" customFormat="false" ht="13.2" hidden="false" customHeight="false" outlineLevel="0" collapsed="false">
      <c r="A45" s="1"/>
      <c r="B45" s="1"/>
      <c r="C45" s="1"/>
      <c r="D45" s="1"/>
      <c r="E45" s="1"/>
      <c r="F45" s="1"/>
      <c r="G45" s="26"/>
      <c r="H45" s="26"/>
    </row>
    <row r="46" customFormat="false" ht="13.2" hidden="false" customHeight="false" outlineLevel="0" collapsed="false">
      <c r="A46" s="39"/>
      <c r="B46" s="39"/>
      <c r="C46" s="39"/>
      <c r="D46" s="39"/>
      <c r="E46" s="39"/>
      <c r="F46" s="39" t="s">
        <v>385</v>
      </c>
      <c r="G46" s="41"/>
      <c r="H46" s="41"/>
    </row>
    <row r="47" customFormat="false" ht="13.2" hidden="false" customHeight="false" outlineLevel="0" collapsed="false">
      <c r="A47" s="26"/>
      <c r="B47" s="26"/>
      <c r="C47" s="26"/>
      <c r="D47" s="26"/>
      <c r="E47" s="26"/>
      <c r="F47" s="26"/>
      <c r="G47" s="26"/>
      <c r="H47" s="39"/>
    </row>
    <row r="48" customFormat="false" ht="13.2" hidden="false" customHeight="false" outlineLevel="0" collapsed="false">
      <c r="A48" s="26"/>
      <c r="B48" s="26"/>
      <c r="C48" s="26"/>
      <c r="D48" s="26"/>
      <c r="E48" s="26"/>
      <c r="F48" s="26"/>
      <c r="G48" s="26"/>
    </row>
    <row r="49" customFormat="false" ht="13.2" hidden="false" customHeight="false" outlineLevel="0" collapsed="false">
      <c r="A49" s="26"/>
      <c r="B49" s="26"/>
      <c r="C49" s="26"/>
      <c r="D49" s="26"/>
      <c r="E49" s="26"/>
      <c r="F49" s="26"/>
      <c r="G49" s="26"/>
    </row>
    <row r="50" customFormat="false" ht="13.2" hidden="false" customHeight="false" outlineLevel="0" collapsed="false">
      <c r="A50" s="26"/>
      <c r="B50" s="26"/>
      <c r="C50" s="26"/>
      <c r="D50" s="26"/>
      <c r="E50" s="26"/>
      <c r="F50" s="26"/>
      <c r="G50" s="26"/>
    </row>
    <row r="51" customFormat="false" ht="13.2" hidden="false" customHeight="false" outlineLevel="0" collapsed="false">
      <c r="A51" s="39"/>
      <c r="B51" s="39"/>
      <c r="C51" s="39"/>
      <c r="D51" s="39"/>
      <c r="E51" s="39"/>
      <c r="F51" s="39"/>
      <c r="G51" s="41"/>
      <c r="H51" s="41"/>
    </row>
    <row r="56" customFormat="false" ht="19.5" hidden="false" customHeight="true" outlineLevel="0" collapsed="false">
      <c r="A56" s="118" t="s">
        <v>388</v>
      </c>
      <c r="B56" s="118"/>
      <c r="C56" s="118"/>
      <c r="D56" s="118"/>
      <c r="E56" s="118"/>
      <c r="F56" s="118"/>
      <c r="G56" s="118"/>
      <c r="H56" s="43"/>
    </row>
    <row r="57" customFormat="false" ht="13.8" hidden="false" customHeight="true" outlineLevel="0" collapsed="false">
      <c r="A57" s="119" t="s">
        <v>2</v>
      </c>
      <c r="B57" s="119"/>
      <c r="C57" s="119"/>
      <c r="D57" s="119"/>
      <c r="E57" s="119"/>
      <c r="F57" s="119"/>
      <c r="G57" s="119"/>
      <c r="H57" s="44"/>
    </row>
    <row r="58" customFormat="false" ht="16.8" hidden="false" customHeight="false" outlineLevel="0" collapsed="false">
      <c r="A58" s="13" t="s">
        <v>3</v>
      </c>
      <c r="B58" s="14"/>
      <c r="C58" s="14"/>
      <c r="D58" s="14"/>
      <c r="E58" s="14"/>
      <c r="F58" s="46"/>
      <c r="G58" s="46" t="s">
        <v>4</v>
      </c>
      <c r="H58" s="66"/>
    </row>
    <row r="59" customFormat="false" ht="33.6" hidden="false" customHeight="false" outlineLevel="0" collapsed="false">
      <c r="A59" s="17" t="s">
        <v>375</v>
      </c>
      <c r="B59" s="17" t="s">
        <v>5</v>
      </c>
      <c r="C59" s="17" t="s">
        <v>376</v>
      </c>
      <c r="D59" s="17" t="s">
        <v>377</v>
      </c>
      <c r="E59" s="17" t="s">
        <v>378</v>
      </c>
      <c r="F59" s="17" t="s">
        <v>7</v>
      </c>
      <c r="G59" s="17" t="s">
        <v>8</v>
      </c>
      <c r="H59" s="1"/>
    </row>
    <row r="60" customFormat="false" ht="21.75" hidden="false" customHeight="true" outlineLevel="0" collapsed="false">
      <c r="A60" s="19" t="s">
        <v>9</v>
      </c>
      <c r="B60" s="20"/>
      <c r="C60" s="20" t="n">
        <v>4410</v>
      </c>
      <c r="D60" s="20" t="n">
        <f aca="false">E60/C60</f>
        <v>3000</v>
      </c>
      <c r="E60" s="20" t="n">
        <v>13230000</v>
      </c>
      <c r="F60" s="20" t="n">
        <v>4410</v>
      </c>
      <c r="G60" s="47" t="n">
        <f aca="false">B60+C60-F60</f>
        <v>0</v>
      </c>
      <c r="H60" s="1"/>
    </row>
    <row r="61" customFormat="false" ht="21.75" hidden="false" customHeight="true" outlineLevel="0" collapsed="false">
      <c r="A61" s="135" t="s">
        <v>389</v>
      </c>
      <c r="B61" s="20"/>
      <c r="C61" s="20" t="n">
        <v>2000</v>
      </c>
      <c r="D61" s="20"/>
      <c r="E61" s="20"/>
      <c r="F61" s="20" t="n">
        <v>2000</v>
      </c>
      <c r="G61" s="47"/>
      <c r="H61" s="1"/>
    </row>
    <row r="62" customFormat="false" ht="16.8" hidden="false" customHeight="false" outlineLevel="0" collapsed="false">
      <c r="A62" s="21" t="s">
        <v>11</v>
      </c>
      <c r="B62" s="22" t="n">
        <f aca="false">SUM(B60:B60)</f>
        <v>0</v>
      </c>
      <c r="C62" s="22" t="n">
        <f aca="false">C60+C61</f>
        <v>6410</v>
      </c>
      <c r="D62" s="22"/>
      <c r="E62" s="22" t="n">
        <f aca="false">E60</f>
        <v>13230000</v>
      </c>
      <c r="F62" s="22" t="n">
        <f aca="false">F60+F61</f>
        <v>6410</v>
      </c>
      <c r="G62" s="22" t="n">
        <f aca="false">SUM(G60:G60)</f>
        <v>0</v>
      </c>
      <c r="H62" s="121"/>
    </row>
    <row r="63" customFormat="false" ht="16.8" hidden="false" customHeight="false" outlineLevel="0" collapsed="false">
      <c r="A63" s="13" t="s">
        <v>12</v>
      </c>
      <c r="B63" s="13"/>
      <c r="C63" s="13"/>
      <c r="D63" s="13"/>
      <c r="E63" s="13"/>
      <c r="F63" s="13"/>
      <c r="G63" s="24"/>
      <c r="H63" s="24"/>
    </row>
    <row r="64" customFormat="false" ht="33.6" hidden="false" customHeight="false" outlineLevel="0" collapsed="false">
      <c r="A64" s="25" t="s">
        <v>379</v>
      </c>
      <c r="B64" s="17" t="s">
        <v>380</v>
      </c>
      <c r="C64" s="17" t="s">
        <v>381</v>
      </c>
      <c r="D64" s="136" t="s">
        <v>382</v>
      </c>
      <c r="E64" s="137" t="s">
        <v>16</v>
      </c>
      <c r="F64" s="130"/>
      <c r="G64" s="131"/>
    </row>
    <row r="65" customFormat="false" ht="23.25" hidden="false" customHeight="true" outlineLevel="0" collapsed="false">
      <c r="A65" s="49" t="s">
        <v>383</v>
      </c>
      <c r="B65" s="20" t="n">
        <v>1000</v>
      </c>
      <c r="C65" s="20"/>
      <c r="D65" s="20" t="n">
        <f aca="false">B65</f>
        <v>1000</v>
      </c>
      <c r="E65" s="20"/>
      <c r="F65" s="133"/>
      <c r="G65" s="134"/>
    </row>
    <row r="66" customFormat="false" ht="23.25" hidden="false" customHeight="true" outlineLevel="0" collapsed="false">
      <c r="A66" s="49" t="s">
        <v>390</v>
      </c>
      <c r="B66" s="20" t="n">
        <v>500</v>
      </c>
      <c r="C66" s="20"/>
      <c r="D66" s="20" t="n">
        <f aca="false">B66</f>
        <v>500</v>
      </c>
      <c r="E66" s="20"/>
      <c r="F66" s="133"/>
      <c r="G66" s="134"/>
    </row>
    <row r="67" customFormat="false" ht="23.25" hidden="false" customHeight="true" outlineLevel="0" collapsed="false">
      <c r="A67" s="49" t="s">
        <v>391</v>
      </c>
      <c r="B67" s="20" t="n">
        <v>1800</v>
      </c>
      <c r="C67" s="20"/>
      <c r="D67" s="20" t="n">
        <f aca="false">B67</f>
        <v>1800</v>
      </c>
      <c r="E67" s="20"/>
      <c r="F67" s="133"/>
      <c r="G67" s="134"/>
    </row>
    <row r="68" customFormat="false" ht="23.25" hidden="false" customHeight="true" outlineLevel="0" collapsed="false">
      <c r="A68" s="30" t="s">
        <v>11</v>
      </c>
      <c r="B68" s="94" t="n">
        <f aca="false">B67+B66+B65</f>
        <v>3300</v>
      </c>
      <c r="C68" s="94"/>
      <c r="D68" s="138" t="n">
        <f aca="false">SUM(D65:D67)</f>
        <v>3300</v>
      </c>
      <c r="E68" s="139" t="n">
        <f aca="false">F62/D68</f>
        <v>1.94242424242424</v>
      </c>
      <c r="F68" s="100"/>
      <c r="G68" s="134"/>
    </row>
    <row r="69" customFormat="false" ht="16.8" hidden="false" customHeight="false" outlineLevel="0" collapsed="false">
      <c r="A69" s="13" t="s">
        <v>20</v>
      </c>
      <c r="B69" s="1"/>
      <c r="C69" s="1"/>
      <c r="D69" s="1"/>
      <c r="E69" s="1"/>
      <c r="F69" s="1"/>
      <c r="G69" s="1"/>
      <c r="H69" s="1"/>
    </row>
    <row r="70" customFormat="false" ht="16.8" hidden="false" customHeight="false" outlineLevel="0" collapsed="false">
      <c r="A70" s="17" t="s">
        <v>13</v>
      </c>
      <c r="B70" s="17" t="s">
        <v>21</v>
      </c>
      <c r="C70" s="18"/>
      <c r="D70" s="18"/>
      <c r="E70" s="18"/>
      <c r="F70" s="18"/>
      <c r="G70" s="1"/>
      <c r="H70" s="1"/>
    </row>
    <row r="71" customFormat="false" ht="16.8" hidden="false" customHeight="false" outlineLevel="0" collapsed="false">
      <c r="A71" s="49" t="s">
        <v>383</v>
      </c>
      <c r="B71" s="20" t="n">
        <f aca="false">B42+B65</f>
        <v>2500</v>
      </c>
      <c r="C71" s="1"/>
      <c r="D71" s="1"/>
      <c r="E71" s="1"/>
      <c r="F71" s="1"/>
      <c r="G71" s="39"/>
      <c r="H71" s="1"/>
    </row>
    <row r="72" customFormat="false" ht="16.8" hidden="false" customHeight="false" outlineLevel="0" collapsed="false">
      <c r="A72" s="49" t="s">
        <v>390</v>
      </c>
      <c r="B72" s="20" t="n">
        <v>500</v>
      </c>
      <c r="C72" s="1"/>
      <c r="D72" s="1"/>
      <c r="E72" s="1"/>
      <c r="F72" s="1"/>
      <c r="G72" s="26"/>
      <c r="H72" s="39"/>
    </row>
    <row r="73" customFormat="false" ht="16.8" hidden="false" customHeight="false" outlineLevel="0" collapsed="false">
      <c r="A73" s="49" t="s">
        <v>391</v>
      </c>
      <c r="B73" s="20" t="n">
        <v>1800</v>
      </c>
      <c r="C73" s="1"/>
      <c r="D73" s="1"/>
      <c r="E73" s="1"/>
      <c r="F73" s="1"/>
      <c r="G73" s="26"/>
      <c r="H73" s="26"/>
    </row>
    <row r="74" customFormat="false" ht="16.8" hidden="false" customHeight="false" outlineLevel="0" collapsed="false">
      <c r="A74" s="49" t="s">
        <v>384</v>
      </c>
      <c r="B74" s="20" t="n">
        <f aca="false">B43</f>
        <v>7500</v>
      </c>
      <c r="C74" s="1"/>
      <c r="D74" s="1"/>
      <c r="E74" s="1"/>
      <c r="F74" s="1"/>
      <c r="G74" s="26"/>
      <c r="H74" s="26"/>
    </row>
    <row r="75" customFormat="false" ht="16.8" hidden="false" customHeight="false" outlineLevel="0" collapsed="false">
      <c r="A75" s="25" t="s">
        <v>11</v>
      </c>
      <c r="B75" s="35" t="n">
        <f aca="false">SUM(B71:B74)</f>
        <v>12300</v>
      </c>
      <c r="C75" s="1"/>
      <c r="D75" s="1"/>
      <c r="E75" s="1"/>
      <c r="F75" s="45"/>
      <c r="G75" s="123"/>
      <c r="H75" s="26"/>
    </row>
    <row r="76" customFormat="false" ht="13.2" hidden="false" customHeight="false" outlineLevel="0" collapsed="false">
      <c r="A76" s="1"/>
      <c r="B76" s="1"/>
      <c r="C76" s="1"/>
      <c r="D76" s="1"/>
      <c r="E76" s="1"/>
      <c r="F76" s="1"/>
      <c r="G76" s="26"/>
      <c r="H76" s="26"/>
    </row>
    <row r="77" customFormat="false" ht="13.2" hidden="false" customHeight="false" outlineLevel="0" collapsed="false">
      <c r="A77" s="39"/>
      <c r="B77" s="39"/>
      <c r="C77" s="39"/>
      <c r="D77" s="39"/>
      <c r="E77" s="39"/>
      <c r="F77" s="39" t="s">
        <v>385</v>
      </c>
      <c r="G77" s="41"/>
      <c r="H77" s="41"/>
    </row>
    <row r="78" customFormat="false" ht="13.2" hidden="false" customHeight="false" outlineLevel="0" collapsed="false">
      <c r="A78" s="26"/>
      <c r="B78" s="26"/>
      <c r="C78" s="26"/>
      <c r="D78" s="26"/>
      <c r="E78" s="26"/>
      <c r="F78" s="26"/>
      <c r="G78" s="26"/>
      <c r="H78" s="39"/>
    </row>
    <row r="79" customFormat="false" ht="13.2" hidden="false" customHeight="false" outlineLevel="0" collapsed="false">
      <c r="A79" s="26"/>
      <c r="B79" s="26"/>
      <c r="C79" s="26"/>
      <c r="D79" s="26"/>
      <c r="E79" s="26"/>
      <c r="F79" s="26"/>
      <c r="G79" s="26"/>
    </row>
    <row r="80" customFormat="false" ht="13.2" hidden="false" customHeight="false" outlineLevel="0" collapsed="false">
      <c r="A80" s="26"/>
      <c r="B80" s="26"/>
      <c r="C80" s="26"/>
      <c r="D80" s="26"/>
      <c r="E80" s="26"/>
      <c r="F80" s="26"/>
      <c r="G80" s="26"/>
    </row>
    <row r="81" customFormat="false" ht="13.2" hidden="false" customHeight="false" outlineLevel="0" collapsed="false">
      <c r="A81" s="26"/>
      <c r="B81" s="26"/>
      <c r="C81" s="26"/>
      <c r="D81" s="26"/>
      <c r="E81" s="26"/>
      <c r="F81" s="26"/>
      <c r="G81" s="26"/>
    </row>
    <row r="83" customFormat="false" ht="19.5" hidden="false" customHeight="true" outlineLevel="0" collapsed="false">
      <c r="A83" s="118" t="s">
        <v>392</v>
      </c>
      <c r="B83" s="118"/>
      <c r="C83" s="118"/>
      <c r="D83" s="118"/>
      <c r="E83" s="118"/>
      <c r="F83" s="118"/>
      <c r="G83" s="118"/>
      <c r="H83" s="43"/>
    </row>
    <row r="84" customFormat="false" ht="13.8" hidden="false" customHeight="true" outlineLevel="0" collapsed="false">
      <c r="A84" s="119" t="s">
        <v>2</v>
      </c>
      <c r="B84" s="119"/>
      <c r="C84" s="119"/>
      <c r="D84" s="119"/>
      <c r="E84" s="119"/>
      <c r="F84" s="119"/>
      <c r="G84" s="119"/>
      <c r="H84" s="44"/>
    </row>
    <row r="85" customFormat="false" ht="16.8" hidden="false" customHeight="false" outlineLevel="0" collapsed="false">
      <c r="A85" s="13" t="s">
        <v>3</v>
      </c>
      <c r="B85" s="14"/>
      <c r="C85" s="14"/>
      <c r="D85" s="14"/>
      <c r="E85" s="14"/>
      <c r="F85" s="46"/>
      <c r="G85" s="46" t="s">
        <v>4</v>
      </c>
      <c r="H85" s="66"/>
    </row>
    <row r="86" customFormat="false" ht="33.6" hidden="false" customHeight="false" outlineLevel="0" collapsed="false">
      <c r="A86" s="17" t="s">
        <v>375</v>
      </c>
      <c r="B86" s="17" t="s">
        <v>5</v>
      </c>
      <c r="C86" s="17" t="s">
        <v>376</v>
      </c>
      <c r="D86" s="17" t="s">
        <v>377</v>
      </c>
      <c r="E86" s="17" t="s">
        <v>378</v>
      </c>
      <c r="F86" s="17" t="s">
        <v>7</v>
      </c>
      <c r="G86" s="17" t="s">
        <v>8</v>
      </c>
      <c r="H86" s="1"/>
    </row>
    <row r="87" customFormat="false" ht="21.75" hidden="false" customHeight="true" outlineLevel="0" collapsed="false">
      <c r="A87" s="19" t="s">
        <v>9</v>
      </c>
      <c r="B87" s="20"/>
      <c r="C87" s="20" t="n">
        <f aca="false">540+28</f>
        <v>568</v>
      </c>
      <c r="D87" s="20" t="n">
        <f aca="false">E87/C87</f>
        <v>3000</v>
      </c>
      <c r="E87" s="20" t="n">
        <v>1704000</v>
      </c>
      <c r="F87" s="20" t="n">
        <f aca="false">C87</f>
        <v>568</v>
      </c>
      <c r="G87" s="47" t="n">
        <f aca="false">B87+C87-F87</f>
        <v>0</v>
      </c>
      <c r="H87" s="1"/>
    </row>
    <row r="88" customFormat="false" ht="21.75" hidden="false" customHeight="true" outlineLevel="0" collapsed="false">
      <c r="A88" s="135" t="s">
        <v>10</v>
      </c>
      <c r="B88" s="20"/>
      <c r="C88" s="20" t="n">
        <f aca="false">1592+2469+2221+815+578+1749+233</f>
        <v>9657</v>
      </c>
      <c r="D88" s="20" t="n">
        <f aca="false">E88/C88</f>
        <v>6688.02940871906</v>
      </c>
      <c r="E88" s="20" t="n">
        <v>64586300</v>
      </c>
      <c r="F88" s="20" t="n">
        <f aca="false">C88</f>
        <v>9657</v>
      </c>
      <c r="G88" s="47"/>
      <c r="H88" s="1"/>
    </row>
    <row r="89" customFormat="false" ht="16.8" hidden="false" customHeight="false" outlineLevel="0" collapsed="false">
      <c r="A89" s="21" t="s">
        <v>11</v>
      </c>
      <c r="B89" s="22" t="n">
        <f aca="false">SUM(B87:B87)</f>
        <v>0</v>
      </c>
      <c r="C89" s="22" t="n">
        <f aca="false">C87+C88</f>
        <v>10225</v>
      </c>
      <c r="D89" s="22"/>
      <c r="E89" s="22" t="n">
        <f aca="false">SUM(E87:E88)</f>
        <v>66290300</v>
      </c>
      <c r="F89" s="22" t="n">
        <f aca="false">F87+F88</f>
        <v>10225</v>
      </c>
      <c r="G89" s="22" t="n">
        <f aca="false">SUM(G87:G87)</f>
        <v>0</v>
      </c>
      <c r="H89" s="121"/>
    </row>
    <row r="90" customFormat="false" ht="16.8" hidden="false" customHeight="false" outlineLevel="0" collapsed="false">
      <c r="A90" s="13" t="s">
        <v>12</v>
      </c>
      <c r="B90" s="13"/>
      <c r="C90" s="13"/>
      <c r="D90" s="13"/>
      <c r="E90" s="13"/>
      <c r="F90" s="13"/>
      <c r="G90" s="24"/>
      <c r="H90" s="24"/>
    </row>
    <row r="91" customFormat="false" ht="33.6" hidden="false" customHeight="false" outlineLevel="0" collapsed="false">
      <c r="A91" s="25" t="s">
        <v>379</v>
      </c>
      <c r="B91" s="17" t="s">
        <v>380</v>
      </c>
      <c r="C91" s="17" t="s">
        <v>381</v>
      </c>
      <c r="D91" s="17" t="s">
        <v>382</v>
      </c>
      <c r="E91" s="120" t="s">
        <v>16</v>
      </c>
      <c r="F91" s="130"/>
      <c r="G91" s="131"/>
    </row>
    <row r="92" customFormat="false" ht="23.25" hidden="false" customHeight="true" outlineLevel="0" collapsed="false">
      <c r="A92" s="49" t="s">
        <v>393</v>
      </c>
      <c r="B92" s="20" t="n">
        <v>960</v>
      </c>
      <c r="C92" s="20"/>
      <c r="D92" s="20" t="n">
        <f aca="false">B92</f>
        <v>960</v>
      </c>
      <c r="E92" s="20"/>
      <c r="F92" s="133"/>
      <c r="G92" s="134"/>
    </row>
    <row r="93" customFormat="false" ht="23.25" hidden="false" customHeight="true" outlineLevel="0" collapsed="false">
      <c r="A93" s="49" t="s">
        <v>390</v>
      </c>
      <c r="B93" s="20" t="n">
        <v>960</v>
      </c>
      <c r="C93" s="20"/>
      <c r="D93" s="20" t="n">
        <f aca="false">B93</f>
        <v>960</v>
      </c>
      <c r="E93" s="20"/>
      <c r="F93" s="133"/>
      <c r="G93" s="134"/>
    </row>
    <row r="94" customFormat="false" ht="23.25" hidden="false" customHeight="true" outlineLevel="0" collapsed="false">
      <c r="A94" s="49" t="s">
        <v>17</v>
      </c>
      <c r="B94" s="20" t="n">
        <v>1080</v>
      </c>
      <c r="C94" s="20"/>
      <c r="D94" s="20" t="n">
        <f aca="false">B94</f>
        <v>1080</v>
      </c>
      <c r="E94" s="20"/>
      <c r="F94" s="133"/>
      <c r="G94" s="134"/>
    </row>
    <row r="95" customFormat="false" ht="23.25" hidden="false" customHeight="true" outlineLevel="0" collapsed="false">
      <c r="A95" s="30" t="s">
        <v>11</v>
      </c>
      <c r="B95" s="94" t="n">
        <f aca="false">B92+B93+B94</f>
        <v>3000</v>
      </c>
      <c r="C95" s="94"/>
      <c r="D95" s="94" t="n">
        <f aca="false">SUM(D92:D94)</f>
        <v>3000</v>
      </c>
      <c r="E95" s="89" t="n">
        <f aca="false">F89/D95</f>
        <v>3.40833333333333</v>
      </c>
      <c r="F95" s="100"/>
      <c r="G95" s="134"/>
    </row>
    <row r="96" customFormat="false" ht="16.8" hidden="false" customHeight="false" outlineLevel="0" collapsed="false">
      <c r="A96" s="13" t="s">
        <v>20</v>
      </c>
      <c r="B96" s="1"/>
      <c r="C96" s="1"/>
      <c r="D96" s="1"/>
      <c r="E96" s="1"/>
      <c r="F96" s="1"/>
      <c r="G96" s="1"/>
      <c r="H96" s="1"/>
    </row>
    <row r="97" customFormat="false" ht="16.8" hidden="false" customHeight="false" outlineLevel="0" collapsed="false">
      <c r="A97" s="17" t="s">
        <v>13</v>
      </c>
      <c r="B97" s="17" t="s">
        <v>21</v>
      </c>
      <c r="C97" s="18"/>
      <c r="D97" s="18"/>
      <c r="E97" s="18"/>
      <c r="F97" s="18"/>
      <c r="G97" s="1"/>
      <c r="H97" s="1"/>
    </row>
    <row r="98" customFormat="false" ht="16.8" hidden="false" customHeight="false" outlineLevel="0" collapsed="false">
      <c r="A98" s="49" t="s">
        <v>393</v>
      </c>
      <c r="B98" s="20" t="n">
        <v>960</v>
      </c>
      <c r="C98" s="1"/>
      <c r="D98" s="1"/>
      <c r="E98" s="1"/>
      <c r="F98" s="1"/>
      <c r="G98" s="39"/>
      <c r="H98" s="1"/>
    </row>
    <row r="99" customFormat="false" ht="16.8" hidden="false" customHeight="false" outlineLevel="0" collapsed="false">
      <c r="A99" s="49" t="s">
        <v>390</v>
      </c>
      <c r="B99" s="20" t="n">
        <f aca="false">B93+B72</f>
        <v>1460</v>
      </c>
      <c r="C99" s="1"/>
      <c r="D99" s="1"/>
      <c r="E99" s="1"/>
      <c r="F99" s="1"/>
      <c r="G99" s="26"/>
      <c r="H99" s="39"/>
    </row>
    <row r="100" customFormat="false" ht="16.8" hidden="false" customHeight="false" outlineLevel="0" collapsed="false">
      <c r="A100" s="49" t="s">
        <v>383</v>
      </c>
      <c r="B100" s="20" t="n">
        <f aca="false">B94+B71</f>
        <v>3580</v>
      </c>
      <c r="C100" s="1"/>
      <c r="D100" s="1"/>
      <c r="E100" s="1"/>
      <c r="F100" s="1"/>
      <c r="G100" s="26"/>
      <c r="H100" s="26"/>
    </row>
    <row r="101" customFormat="false" ht="16.8" hidden="false" customHeight="false" outlineLevel="0" collapsed="false">
      <c r="A101" s="49" t="s">
        <v>384</v>
      </c>
      <c r="B101" s="20" t="n">
        <f aca="false">B74</f>
        <v>7500</v>
      </c>
      <c r="C101" s="1"/>
      <c r="D101" s="1"/>
      <c r="E101" s="1"/>
      <c r="F101" s="1"/>
      <c r="G101" s="26"/>
      <c r="H101" s="26"/>
    </row>
    <row r="102" customFormat="false" ht="16.8" hidden="false" customHeight="false" outlineLevel="0" collapsed="false">
      <c r="A102" s="49" t="s">
        <v>391</v>
      </c>
      <c r="B102" s="20" t="n">
        <f aca="false">B73</f>
        <v>1800</v>
      </c>
      <c r="C102" s="1"/>
      <c r="D102" s="1"/>
      <c r="E102" s="1"/>
      <c r="F102" s="1"/>
      <c r="G102" s="26"/>
      <c r="H102" s="26"/>
    </row>
    <row r="103" customFormat="false" ht="16.8" hidden="false" customHeight="false" outlineLevel="0" collapsed="false">
      <c r="A103" s="25" t="s">
        <v>11</v>
      </c>
      <c r="B103" s="35" t="n">
        <f aca="false">SUM(B98:B102)</f>
        <v>15300</v>
      </c>
      <c r="C103" s="1"/>
      <c r="D103" s="1"/>
      <c r="E103" s="1"/>
      <c r="F103" s="45"/>
      <c r="G103" s="123"/>
      <c r="H103" s="26"/>
    </row>
    <row r="104" customFormat="false" ht="13.2" hidden="false" customHeight="false" outlineLevel="0" collapsed="false">
      <c r="A104" s="1"/>
      <c r="B104" s="1"/>
      <c r="C104" s="1"/>
      <c r="D104" s="1"/>
      <c r="E104" s="1"/>
      <c r="F104" s="1"/>
      <c r="G104" s="26"/>
      <c r="H104" s="26"/>
    </row>
    <row r="105" customFormat="false" ht="13.2" hidden="false" customHeight="false" outlineLevel="0" collapsed="false">
      <c r="A105" s="39"/>
      <c r="B105" s="39"/>
      <c r="C105" s="39"/>
      <c r="D105" s="39"/>
      <c r="E105" s="39"/>
      <c r="F105" s="39" t="s">
        <v>385</v>
      </c>
      <c r="G105" s="41"/>
      <c r="H105" s="41"/>
    </row>
    <row r="106" customFormat="false" ht="18" hidden="false" customHeight="false" outlineLevel="0" collapsed="false"/>
  </sheetData>
  <mergeCells count="16">
    <mergeCell ref="A1:G1"/>
    <mergeCell ref="A2:G2"/>
    <mergeCell ref="G20:H20"/>
    <mergeCell ref="G25:H25"/>
    <mergeCell ref="A28:G28"/>
    <mergeCell ref="A29:G29"/>
    <mergeCell ref="G46:H46"/>
    <mergeCell ref="G51:H51"/>
    <mergeCell ref="A56:G56"/>
    <mergeCell ref="A57:G57"/>
    <mergeCell ref="F65:F67"/>
    <mergeCell ref="G77:H77"/>
    <mergeCell ref="A83:G83"/>
    <mergeCell ref="A84:G84"/>
    <mergeCell ref="F92:F94"/>
    <mergeCell ref="G105:H105"/>
  </mergeCells>
  <printOptions headings="false" gridLines="false" gridLinesSet="true" horizontalCentered="false" verticalCentered="false"/>
  <pageMargins left="0.2" right="0.270138888888889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7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2"/>
  <cols>
    <col collapsed="false" hidden="false" max="1" min="1" style="0" width="21.1938775510204"/>
    <col collapsed="false" hidden="false" max="2" min="2" style="0" width="13.0918367346939"/>
    <col collapsed="false" hidden="false" max="4" min="3" style="0" width="12.1479591836735"/>
    <col collapsed="false" hidden="false" max="5" min="5" style="0" width="17.0102040816327"/>
    <col collapsed="false" hidden="false" max="6" min="6" style="0" width="16.0663265306122"/>
    <col collapsed="false" hidden="false" max="7" min="7" style="0" width="15.5255102040816"/>
    <col collapsed="false" hidden="false" max="8" min="8" style="0" width="12.8265306122449"/>
    <col collapsed="false" hidden="false" max="9" min="9" style="0" width="10.530612244898"/>
    <col collapsed="false" hidden="false" max="1025" min="10" style="0" width="8.50510204081633"/>
  </cols>
  <sheetData>
    <row r="1" customFormat="false" ht="18.6" hidden="false" customHeight="true" outlineLevel="0" collapsed="false">
      <c r="A1" s="118" t="s">
        <v>394</v>
      </c>
      <c r="B1" s="118"/>
      <c r="C1" s="118"/>
      <c r="D1" s="118"/>
      <c r="E1" s="118"/>
      <c r="F1" s="118"/>
      <c r="G1" s="118"/>
    </row>
    <row r="2" customFormat="false" ht="13.8" hidden="false" customHeight="true" outlineLevel="0" collapsed="false">
      <c r="A2" s="119" t="s">
        <v>2</v>
      </c>
      <c r="B2" s="119"/>
      <c r="C2" s="119"/>
      <c r="D2" s="119"/>
      <c r="E2" s="119"/>
      <c r="F2" s="119"/>
      <c r="G2" s="119"/>
    </row>
    <row r="3" customFormat="false" ht="16.8" hidden="false" customHeight="false" outlineLevel="0" collapsed="false">
      <c r="A3" s="13" t="s">
        <v>3</v>
      </c>
      <c r="B3" s="14"/>
      <c r="C3" s="14"/>
      <c r="D3" s="46"/>
      <c r="E3" s="46"/>
      <c r="F3" s="46"/>
      <c r="G3" s="46" t="s">
        <v>4</v>
      </c>
    </row>
    <row r="4" customFormat="false" ht="33.6" hidden="false" customHeight="false" outlineLevel="0" collapsed="false">
      <c r="A4" s="17" t="s">
        <v>375</v>
      </c>
      <c r="B4" s="17" t="s">
        <v>5</v>
      </c>
      <c r="C4" s="17" t="s">
        <v>376</v>
      </c>
      <c r="D4" s="17" t="s">
        <v>377</v>
      </c>
      <c r="E4" s="17" t="s">
        <v>378</v>
      </c>
      <c r="F4" s="17" t="s">
        <v>395</v>
      </c>
      <c r="G4" s="17" t="s">
        <v>8</v>
      </c>
    </row>
    <row r="5" customFormat="false" ht="21" hidden="false" customHeight="true" outlineLevel="0" collapsed="false">
      <c r="A5" s="19" t="s">
        <v>9</v>
      </c>
      <c r="B5" s="20"/>
      <c r="C5" s="20" t="n">
        <v>63</v>
      </c>
      <c r="D5" s="20" t="n">
        <v>16</v>
      </c>
      <c r="E5" s="20" t="n">
        <v>189000</v>
      </c>
      <c r="F5" s="20" t="n">
        <f aca="false">C5</f>
        <v>63</v>
      </c>
      <c r="G5" s="47"/>
    </row>
    <row r="6" customFormat="false" ht="21" hidden="false" customHeight="true" outlineLevel="0" collapsed="false">
      <c r="A6" s="19" t="s">
        <v>10</v>
      </c>
      <c r="B6" s="20"/>
      <c r="C6" s="20" t="n">
        <f aca="false">6207+3485</f>
        <v>9692</v>
      </c>
      <c r="D6" s="20" t="n">
        <f aca="false">3999+234+469+236</f>
        <v>4938</v>
      </c>
      <c r="E6" s="20" t="n">
        <f aca="false">38727400+20910000</f>
        <v>59637400</v>
      </c>
      <c r="F6" s="20" t="n">
        <f aca="false">C6</f>
        <v>9692</v>
      </c>
      <c r="G6" s="47"/>
    </row>
    <row r="7" customFormat="false" ht="16.8" hidden="false" customHeight="false" outlineLevel="0" collapsed="false">
      <c r="A7" s="21" t="s">
        <v>11</v>
      </c>
      <c r="B7" s="22" t="n">
        <f aca="false">SUM(B5:B6)</f>
        <v>0</v>
      </c>
      <c r="C7" s="22" t="n">
        <f aca="false">SUM(C5:C6)</f>
        <v>9755</v>
      </c>
      <c r="D7" s="22" t="n">
        <f aca="false">SUM(D5:D6)</f>
        <v>4954</v>
      </c>
      <c r="E7" s="22" t="n">
        <f aca="false">SUM(E5:E6)</f>
        <v>59826400</v>
      </c>
      <c r="F7" s="22" t="n">
        <f aca="false">SUM(F5:F6)</f>
        <v>9755</v>
      </c>
      <c r="G7" s="22" t="n">
        <f aca="false">G5+G6</f>
        <v>0</v>
      </c>
    </row>
    <row r="8" customFormat="false" ht="16.8" hidden="false" customHeight="false" outlineLevel="0" collapsed="false">
      <c r="A8" s="126" t="s">
        <v>19</v>
      </c>
      <c r="B8" s="126"/>
      <c r="C8" s="126"/>
      <c r="D8" s="126"/>
      <c r="E8" s="126"/>
      <c r="F8" s="126"/>
      <c r="G8" s="126"/>
    </row>
    <row r="9" customFormat="false" ht="16.8" hidden="false" customHeight="false" outlineLevel="0" collapsed="false">
      <c r="A9" s="13" t="s">
        <v>12</v>
      </c>
      <c r="B9" s="13"/>
      <c r="C9" s="13"/>
      <c r="D9" s="13"/>
      <c r="E9" s="13"/>
      <c r="F9" s="13"/>
      <c r="G9" s="24"/>
    </row>
    <row r="10" customFormat="false" ht="33.6" hidden="false" customHeight="false" outlineLevel="0" collapsed="false">
      <c r="A10" s="25" t="s">
        <v>379</v>
      </c>
      <c r="B10" s="17" t="s">
        <v>380</v>
      </c>
      <c r="C10" s="17" t="s">
        <v>381</v>
      </c>
      <c r="D10" s="17" t="s">
        <v>382</v>
      </c>
      <c r="E10" s="120" t="s">
        <v>16</v>
      </c>
      <c r="F10" s="130"/>
      <c r="G10" s="131"/>
    </row>
    <row r="11" customFormat="false" ht="23.25" hidden="false" customHeight="true" outlineLevel="0" collapsed="false">
      <c r="A11" s="49" t="s">
        <v>383</v>
      </c>
      <c r="B11" s="20" t="n">
        <v>640</v>
      </c>
      <c r="C11" s="20"/>
      <c r="D11" s="20" t="n">
        <f aca="false">B11</f>
        <v>640</v>
      </c>
      <c r="E11" s="20"/>
      <c r="F11" s="133"/>
      <c r="G11" s="134"/>
    </row>
    <row r="12" customFormat="false" ht="23.25" hidden="false" customHeight="true" outlineLevel="0" collapsed="false">
      <c r="A12" s="49" t="s">
        <v>390</v>
      </c>
      <c r="B12" s="20" t="n">
        <v>1400</v>
      </c>
      <c r="C12" s="20"/>
      <c r="D12" s="20" t="n">
        <f aca="false">B12</f>
        <v>1400</v>
      </c>
      <c r="E12" s="20"/>
      <c r="F12" s="133"/>
      <c r="G12" s="134"/>
    </row>
    <row r="13" customFormat="false" ht="23.25" hidden="false" customHeight="true" outlineLevel="0" collapsed="false">
      <c r="A13" s="30" t="s">
        <v>11</v>
      </c>
      <c r="B13" s="94" t="n">
        <f aca="false">SUM(B11:B12)</f>
        <v>2040</v>
      </c>
      <c r="C13" s="94"/>
      <c r="D13" s="94" t="n">
        <f aca="false">SUM(D11:D12)</f>
        <v>2040</v>
      </c>
      <c r="E13" s="89" t="n">
        <f aca="false">C7/B13</f>
        <v>4.78186274509804</v>
      </c>
      <c r="F13" s="100"/>
      <c r="G13" s="134"/>
    </row>
    <row r="14" customFormat="false" ht="16.8" hidden="false" customHeight="false" outlineLevel="0" collapsed="false">
      <c r="A14" s="13" t="s">
        <v>20</v>
      </c>
      <c r="B14" s="1"/>
      <c r="C14" s="1"/>
      <c r="D14" s="1"/>
      <c r="E14" s="1"/>
      <c r="F14" s="1"/>
      <c r="G14" s="1"/>
    </row>
    <row r="15" customFormat="false" ht="16.8" hidden="false" customHeight="false" outlineLevel="0" collapsed="false">
      <c r="A15" s="17" t="s">
        <v>13</v>
      </c>
      <c r="B15" s="17" t="s">
        <v>21</v>
      </c>
      <c r="C15" s="18"/>
      <c r="D15" s="18"/>
      <c r="E15" s="18"/>
      <c r="F15" s="18"/>
      <c r="G15" s="1"/>
    </row>
    <row r="16" customFormat="false" ht="16.8" hidden="false" customHeight="false" outlineLevel="0" collapsed="false">
      <c r="A16" s="49" t="s">
        <v>383</v>
      </c>
      <c r="B16" s="20" t="n">
        <f aca="false">B11</f>
        <v>640</v>
      </c>
      <c r="C16" s="1" t="n">
        <v>4220</v>
      </c>
      <c r="D16" s="1"/>
      <c r="E16" s="1"/>
      <c r="F16" s="1"/>
      <c r="G16" s="39"/>
    </row>
    <row r="17" customFormat="false" ht="16.8" hidden="false" customHeight="false" outlineLevel="0" collapsed="false">
      <c r="A17" s="49" t="s">
        <v>390</v>
      </c>
      <c r="B17" s="20" t="n">
        <f aca="false">B12</f>
        <v>1400</v>
      </c>
      <c r="C17" s="1" t="n">
        <v>2860</v>
      </c>
      <c r="D17" s="1"/>
      <c r="E17" s="1"/>
      <c r="F17" s="1"/>
      <c r="G17" s="26"/>
    </row>
    <row r="18" customFormat="false" ht="16.8" hidden="false" customHeight="false" outlineLevel="0" collapsed="false">
      <c r="A18" s="25" t="s">
        <v>11</v>
      </c>
      <c r="B18" s="35" t="n">
        <f aca="false">SUM(B16:B17)</f>
        <v>2040</v>
      </c>
      <c r="C18" s="1"/>
      <c r="D18" s="45"/>
      <c r="E18" s="45"/>
      <c r="F18" s="45"/>
      <c r="G18" s="123"/>
    </row>
    <row r="19" customFormat="false" ht="13.2" hidden="false" customHeight="false" outlineLevel="0" collapsed="false">
      <c r="A19" s="1"/>
      <c r="B19" s="1"/>
      <c r="C19" s="1"/>
      <c r="D19" s="1"/>
      <c r="E19" s="1"/>
      <c r="F19" s="1"/>
      <c r="G19" s="26"/>
    </row>
    <row r="20" customFormat="false" ht="16.8" hidden="false" customHeight="false" outlineLevel="0" collapsed="false">
      <c r="A20" s="39"/>
      <c r="B20" s="39"/>
      <c r="C20" s="41"/>
      <c r="D20" s="41"/>
      <c r="E20" s="140" t="s">
        <v>396</v>
      </c>
      <c r="F20" s="140"/>
      <c r="G20" s="140"/>
    </row>
    <row r="21" customFormat="false" ht="13.2" hidden="false" customHeight="false" outlineLevel="0" collapsed="false">
      <c r="A21" s="26"/>
      <c r="B21" s="26"/>
      <c r="C21" s="26"/>
      <c r="D21" s="26"/>
      <c r="E21" s="141"/>
      <c r="F21" s="141"/>
      <c r="G21" s="39"/>
    </row>
    <row r="22" customFormat="false" ht="13.2" hidden="false" customHeight="false" outlineLevel="0" collapsed="false">
      <c r="A22" s="26"/>
      <c r="B22" s="26"/>
      <c r="C22" s="26"/>
      <c r="D22" s="26"/>
      <c r="E22" s="26"/>
      <c r="F22" s="26"/>
      <c r="G22" s="26"/>
    </row>
    <row r="23" customFormat="false" ht="13.2" hidden="false" customHeight="false" outlineLevel="0" collapsed="false">
      <c r="A23" s="26"/>
      <c r="B23" s="26"/>
      <c r="C23" s="26"/>
      <c r="D23" s="26"/>
      <c r="E23" s="26"/>
      <c r="F23" s="26"/>
      <c r="G23" s="26"/>
    </row>
    <row r="24" customFormat="false" ht="13.2" hidden="false" customHeight="false" outlineLevel="0" collapsed="false">
      <c r="A24" s="26"/>
      <c r="B24" s="26"/>
      <c r="C24" s="26"/>
      <c r="D24" s="26"/>
      <c r="E24" s="26"/>
      <c r="F24" s="26"/>
      <c r="G24" s="26"/>
    </row>
    <row r="25" customFormat="false" ht="16.8" hidden="false" customHeight="false" outlineLevel="0" collapsed="false">
      <c r="A25" s="26"/>
      <c r="B25" s="26"/>
      <c r="C25" s="26"/>
      <c r="D25" s="26"/>
      <c r="E25" s="140"/>
      <c r="F25" s="140"/>
      <c r="G25" s="140"/>
    </row>
    <row r="29" customFormat="false" ht="18.6" hidden="false" customHeight="true" outlineLevel="0" collapsed="false">
      <c r="A29" s="118" t="s">
        <v>397</v>
      </c>
      <c r="B29" s="118"/>
      <c r="C29" s="118"/>
      <c r="D29" s="118"/>
      <c r="E29" s="118"/>
      <c r="F29" s="118"/>
      <c r="G29" s="118"/>
    </row>
    <row r="30" customFormat="false" ht="13.8" hidden="false" customHeight="true" outlineLevel="0" collapsed="false">
      <c r="A30" s="119" t="s">
        <v>2</v>
      </c>
      <c r="B30" s="119"/>
      <c r="C30" s="119"/>
      <c r="D30" s="119"/>
      <c r="E30" s="119"/>
      <c r="F30" s="119"/>
      <c r="G30" s="119"/>
    </row>
    <row r="31" customFormat="false" ht="16.8" hidden="false" customHeight="false" outlineLevel="0" collapsed="false">
      <c r="A31" s="13" t="s">
        <v>3</v>
      </c>
      <c r="B31" s="14"/>
      <c r="C31" s="14"/>
      <c r="D31" s="46"/>
      <c r="E31" s="46"/>
      <c r="F31" s="46"/>
      <c r="G31" s="46" t="s">
        <v>4</v>
      </c>
    </row>
    <row r="32" customFormat="false" ht="33.6" hidden="false" customHeight="false" outlineLevel="0" collapsed="false">
      <c r="A32" s="17" t="s">
        <v>375</v>
      </c>
      <c r="B32" s="17" t="s">
        <v>5</v>
      </c>
      <c r="C32" s="17" t="s">
        <v>376</v>
      </c>
      <c r="D32" s="17" t="s">
        <v>377</v>
      </c>
      <c r="E32" s="17" t="s">
        <v>378</v>
      </c>
      <c r="F32" s="17" t="s">
        <v>395</v>
      </c>
      <c r="G32" s="17" t="s">
        <v>8</v>
      </c>
    </row>
    <row r="33" customFormat="false" ht="16.8" hidden="false" customHeight="false" outlineLevel="0" collapsed="false">
      <c r="A33" s="19" t="s">
        <v>9</v>
      </c>
      <c r="B33" s="20" t="n">
        <f aca="false">G5</f>
        <v>0</v>
      </c>
      <c r="C33" s="20" t="n">
        <f aca="false">815+30+19</f>
        <v>864</v>
      </c>
      <c r="D33" s="20" t="n">
        <f aca="false">E33/C33</f>
        <v>868.055555555556</v>
      </c>
      <c r="E33" s="20" t="n">
        <v>750000</v>
      </c>
      <c r="F33" s="20" t="n">
        <f aca="false">C33</f>
        <v>864</v>
      </c>
      <c r="G33" s="47"/>
    </row>
    <row r="34" customFormat="false" ht="16.8" hidden="false" customHeight="false" outlineLevel="0" collapsed="false">
      <c r="A34" s="19" t="s">
        <v>10</v>
      </c>
      <c r="B34" s="20" t="n">
        <f aca="false">G6</f>
        <v>0</v>
      </c>
      <c r="C34" s="20" t="n">
        <f aca="false">29461</f>
        <v>29461</v>
      </c>
      <c r="D34" s="20" t="n">
        <f aca="false">E34/C34</f>
        <v>6063.67740402566</v>
      </c>
      <c r="E34" s="20" t="n">
        <f aca="false">176050000+2592000</f>
        <v>178642000</v>
      </c>
      <c r="F34" s="20" t="n">
        <v>29461</v>
      </c>
      <c r="G34" s="47" t="n">
        <f aca="false">C34-F34</f>
        <v>0</v>
      </c>
    </row>
    <row r="35" customFormat="false" ht="16.8" hidden="false" customHeight="false" outlineLevel="0" collapsed="false">
      <c r="A35" s="21" t="s">
        <v>11</v>
      </c>
      <c r="B35" s="22" t="n">
        <f aca="false">SUM(B33:B34)</f>
        <v>0</v>
      </c>
      <c r="C35" s="22" t="n">
        <f aca="false">SUM(C33:C34)</f>
        <v>30325</v>
      </c>
      <c r="D35" s="22" t="n">
        <f aca="false">SUM(D33:D34)</f>
        <v>6931.73295958122</v>
      </c>
      <c r="E35" s="22" t="n">
        <f aca="false">SUM(E33:E34)</f>
        <v>179392000</v>
      </c>
      <c r="F35" s="22" t="n">
        <f aca="false">SUM(F33:F34)</f>
        <v>30325</v>
      </c>
      <c r="G35" s="22" t="n">
        <f aca="false">SUM(G33:G34)</f>
        <v>0</v>
      </c>
    </row>
    <row r="36" customFormat="false" ht="16.8" hidden="false" customHeight="false" outlineLevel="0" collapsed="false">
      <c r="A36" s="13" t="s">
        <v>12</v>
      </c>
      <c r="B36" s="13"/>
      <c r="C36" s="13"/>
      <c r="D36" s="13"/>
      <c r="E36" s="13"/>
      <c r="F36" s="13"/>
      <c r="G36" s="24"/>
    </row>
    <row r="37" customFormat="false" ht="33.6" hidden="false" customHeight="false" outlineLevel="0" collapsed="false">
      <c r="A37" s="25" t="s">
        <v>379</v>
      </c>
      <c r="B37" s="17" t="s">
        <v>380</v>
      </c>
      <c r="C37" s="17" t="s">
        <v>381</v>
      </c>
      <c r="D37" s="17" t="s">
        <v>382</v>
      </c>
      <c r="E37" s="120" t="s">
        <v>16</v>
      </c>
      <c r="F37" s="130"/>
      <c r="G37" s="131"/>
    </row>
    <row r="38" customFormat="false" ht="23.25" hidden="false" customHeight="true" outlineLevel="0" collapsed="false">
      <c r="A38" s="49" t="s">
        <v>390</v>
      </c>
      <c r="B38" s="20" t="n">
        <v>1000</v>
      </c>
      <c r="C38" s="20"/>
      <c r="D38" s="20" t="n">
        <f aca="false">B38</f>
        <v>1000</v>
      </c>
      <c r="E38" s="20"/>
      <c r="F38" s="142"/>
      <c r="G38" s="134"/>
    </row>
    <row r="39" customFormat="false" ht="23.25" hidden="false" customHeight="true" outlineLevel="0" collapsed="false">
      <c r="A39" s="49" t="s">
        <v>398</v>
      </c>
      <c r="B39" s="20" t="n">
        <v>3000</v>
      </c>
      <c r="C39" s="20"/>
      <c r="D39" s="20" t="n">
        <f aca="false">B39</f>
        <v>3000</v>
      </c>
      <c r="E39" s="20"/>
      <c r="F39" s="142"/>
      <c r="G39" s="134"/>
    </row>
    <row r="40" customFormat="false" ht="23.25" hidden="false" customHeight="true" outlineLevel="0" collapsed="false">
      <c r="A40" s="49" t="s">
        <v>399</v>
      </c>
      <c r="B40" s="19" t="n">
        <v>3200</v>
      </c>
      <c r="C40" s="20"/>
      <c r="D40" s="20" t="n">
        <f aca="false">B40</f>
        <v>3200</v>
      </c>
      <c r="E40" s="20"/>
      <c r="F40" s="133"/>
      <c r="G40" s="134"/>
    </row>
    <row r="41" customFormat="false" ht="23.25" hidden="false" customHeight="true" outlineLevel="0" collapsed="false">
      <c r="A41" s="30" t="s">
        <v>11</v>
      </c>
      <c r="B41" s="94" t="n">
        <f aca="false">SUM(B38:B40)</f>
        <v>7200</v>
      </c>
      <c r="C41" s="94"/>
      <c r="D41" s="94" t="n">
        <f aca="false">SUM(D38:D40)</f>
        <v>7200</v>
      </c>
      <c r="E41" s="89" t="n">
        <f aca="false">F35/D41</f>
        <v>4.21180555555556</v>
      </c>
      <c r="F41" s="100"/>
      <c r="G41" s="134"/>
    </row>
    <row r="42" customFormat="false" ht="16.8" hidden="false" customHeight="false" outlineLevel="0" collapsed="false">
      <c r="A42" s="55" t="s">
        <v>19</v>
      </c>
      <c r="B42" s="56"/>
      <c r="C42" s="56"/>
      <c r="D42" s="56"/>
      <c r="E42" s="100"/>
      <c r="F42" s="100"/>
      <c r="G42" s="127"/>
    </row>
    <row r="43" customFormat="false" ht="16.8" hidden="false" customHeight="false" outlineLevel="0" collapsed="false">
      <c r="A43" s="13" t="s">
        <v>20</v>
      </c>
      <c r="B43" s="1"/>
      <c r="C43" s="1"/>
      <c r="D43" s="1"/>
      <c r="E43" s="1"/>
      <c r="F43" s="1"/>
      <c r="G43" s="1"/>
    </row>
    <row r="44" customFormat="false" ht="16.8" hidden="false" customHeight="false" outlineLevel="0" collapsed="false">
      <c r="A44" s="17" t="s">
        <v>13</v>
      </c>
      <c r="B44" s="17" t="s">
        <v>21</v>
      </c>
      <c r="C44" s="18"/>
      <c r="D44" s="18"/>
      <c r="E44" s="18"/>
      <c r="F44" s="18"/>
      <c r="G44" s="1"/>
    </row>
    <row r="45" customFormat="false" ht="16.8" hidden="false" customHeight="false" outlineLevel="0" collapsed="false">
      <c r="A45" s="49" t="s">
        <v>390</v>
      </c>
      <c r="B45" s="20" t="n">
        <f aca="false">B38+B17</f>
        <v>2400</v>
      </c>
      <c r="C45" s="1"/>
      <c r="D45" s="1"/>
      <c r="E45" s="1"/>
      <c r="F45" s="1"/>
      <c r="G45" s="39"/>
    </row>
    <row r="46" customFormat="false" ht="16.8" hidden="false" customHeight="false" outlineLevel="0" collapsed="false">
      <c r="A46" s="49" t="s">
        <v>383</v>
      </c>
      <c r="B46" s="20" t="n">
        <f aca="false">B16</f>
        <v>640</v>
      </c>
      <c r="C46" s="1"/>
      <c r="D46" s="1"/>
      <c r="E46" s="1"/>
      <c r="F46" s="1"/>
      <c r="G46" s="39"/>
    </row>
    <row r="47" customFormat="false" ht="16.8" hidden="false" customHeight="false" outlineLevel="0" collapsed="false">
      <c r="A47" s="49" t="s">
        <v>398</v>
      </c>
      <c r="B47" s="20" t="n">
        <f aca="false">B39</f>
        <v>3000</v>
      </c>
      <c r="C47" s="1"/>
      <c r="D47" s="1"/>
      <c r="E47" s="1"/>
      <c r="F47" s="1"/>
      <c r="G47" s="26"/>
    </row>
    <row r="48" customFormat="false" ht="16.8" hidden="false" customHeight="false" outlineLevel="0" collapsed="false">
      <c r="A48" s="49" t="s">
        <v>399</v>
      </c>
      <c r="B48" s="19" t="n">
        <f aca="false">B40</f>
        <v>3200</v>
      </c>
      <c r="C48" s="1"/>
      <c r="D48" s="1"/>
      <c r="E48" s="1"/>
      <c r="F48" s="1"/>
      <c r="G48" s="26"/>
    </row>
    <row r="49" customFormat="false" ht="16.8" hidden="false" customHeight="false" outlineLevel="0" collapsed="false">
      <c r="A49" s="25" t="s">
        <v>11</v>
      </c>
      <c r="B49" s="35" t="n">
        <f aca="false">SUM(B45:B48)</f>
        <v>9240</v>
      </c>
      <c r="C49" s="1"/>
      <c r="D49" s="45"/>
      <c r="E49" s="45"/>
      <c r="F49" s="45"/>
      <c r="G49" s="123"/>
    </row>
    <row r="50" customFormat="false" ht="13.2" hidden="false" customHeight="false" outlineLevel="0" collapsed="false">
      <c r="A50" s="1"/>
      <c r="B50" s="1"/>
      <c r="C50" s="1"/>
      <c r="D50" s="1"/>
      <c r="E50" s="1"/>
      <c r="F50" s="1"/>
      <c r="G50" s="26"/>
    </row>
    <row r="51" customFormat="false" ht="16.8" hidden="false" customHeight="false" outlineLevel="0" collapsed="false">
      <c r="A51" s="39"/>
      <c r="B51" s="39"/>
      <c r="C51" s="41"/>
      <c r="D51" s="41"/>
      <c r="E51" s="140" t="s">
        <v>396</v>
      </c>
      <c r="F51" s="140"/>
      <c r="G51" s="140"/>
    </row>
    <row r="52" customFormat="false" ht="13.2" hidden="false" customHeight="false" outlineLevel="0" collapsed="false">
      <c r="A52" s="26"/>
      <c r="B52" s="26"/>
      <c r="C52" s="26"/>
      <c r="D52" s="26"/>
      <c r="E52" s="141"/>
      <c r="F52" s="141"/>
      <c r="G52" s="39"/>
    </row>
    <row r="53" customFormat="false" ht="13.2" hidden="false" customHeight="false" outlineLevel="0" collapsed="false">
      <c r="A53" s="26"/>
      <c r="B53" s="26"/>
      <c r="C53" s="26"/>
      <c r="D53" s="26"/>
      <c r="E53" s="26"/>
      <c r="F53" s="26"/>
      <c r="G53" s="26"/>
    </row>
    <row r="54" customFormat="false" ht="13.2" hidden="false" customHeight="false" outlineLevel="0" collapsed="false">
      <c r="A54" s="26"/>
      <c r="B54" s="26"/>
      <c r="C54" s="26"/>
      <c r="D54" s="26"/>
      <c r="E54" s="26"/>
      <c r="F54" s="26"/>
      <c r="G54" s="26"/>
    </row>
    <row r="55" customFormat="false" ht="13.2" hidden="false" customHeight="false" outlineLevel="0" collapsed="false">
      <c r="A55" s="26"/>
      <c r="B55" s="26"/>
      <c r="C55" s="26"/>
      <c r="D55" s="26"/>
      <c r="E55" s="26"/>
      <c r="F55" s="26"/>
      <c r="G55" s="26"/>
    </row>
    <row r="56" customFormat="false" ht="16.8" hidden="false" customHeight="false" outlineLevel="0" collapsed="false">
      <c r="A56" s="26"/>
      <c r="B56" s="26"/>
      <c r="C56" s="26"/>
      <c r="D56" s="26"/>
      <c r="E56" s="140"/>
      <c r="F56" s="140"/>
      <c r="G56" s="140"/>
    </row>
    <row r="59" customFormat="false" ht="18.6" hidden="false" customHeight="true" outlineLevel="0" collapsed="false">
      <c r="A59" s="118" t="s">
        <v>400</v>
      </c>
      <c r="B59" s="118"/>
      <c r="C59" s="118"/>
      <c r="D59" s="118"/>
      <c r="E59" s="118"/>
      <c r="F59" s="118"/>
      <c r="G59" s="118"/>
    </row>
    <row r="60" customFormat="false" ht="13.8" hidden="false" customHeight="true" outlineLevel="0" collapsed="false">
      <c r="A60" s="119" t="s">
        <v>2</v>
      </c>
      <c r="B60" s="119"/>
      <c r="C60" s="119"/>
      <c r="D60" s="119"/>
      <c r="E60" s="119"/>
      <c r="F60" s="119"/>
      <c r="G60" s="119"/>
    </row>
    <row r="61" customFormat="false" ht="16.8" hidden="false" customHeight="false" outlineLevel="0" collapsed="false">
      <c r="A61" s="13" t="s">
        <v>3</v>
      </c>
      <c r="B61" s="14"/>
      <c r="C61" s="14"/>
      <c r="D61" s="46"/>
      <c r="E61" s="46"/>
      <c r="F61" s="46"/>
      <c r="G61" s="46" t="s">
        <v>4</v>
      </c>
    </row>
    <row r="62" customFormat="false" ht="33.6" hidden="false" customHeight="false" outlineLevel="0" collapsed="false">
      <c r="A62" s="17" t="s">
        <v>375</v>
      </c>
      <c r="B62" s="17" t="s">
        <v>5</v>
      </c>
      <c r="C62" s="17" t="s">
        <v>376</v>
      </c>
      <c r="D62" s="17" t="s">
        <v>377</v>
      </c>
      <c r="E62" s="17" t="s">
        <v>378</v>
      </c>
      <c r="F62" s="17" t="s">
        <v>395</v>
      </c>
      <c r="G62" s="17" t="s">
        <v>8</v>
      </c>
    </row>
    <row r="63" customFormat="false" ht="29.25" hidden="false" customHeight="true" outlineLevel="0" collapsed="false">
      <c r="A63" s="19" t="s">
        <v>10</v>
      </c>
      <c r="B63" s="20"/>
      <c r="C63" s="20" t="n">
        <v>12114</v>
      </c>
      <c r="D63" s="20" t="n">
        <f aca="false">E63/C63</f>
        <v>5288.83935941886</v>
      </c>
      <c r="E63" s="20" t="n">
        <v>64069000</v>
      </c>
      <c r="F63" s="20" t="n">
        <f aca="false">C63-3499</f>
        <v>8615</v>
      </c>
      <c r="G63" s="47" t="n">
        <v>3499</v>
      </c>
    </row>
    <row r="64" customFormat="false" ht="29.25" hidden="false" customHeight="true" outlineLevel="0" collapsed="false">
      <c r="A64" s="135" t="s">
        <v>9</v>
      </c>
      <c r="B64" s="20"/>
      <c r="C64" s="20" t="n">
        <v>1470</v>
      </c>
      <c r="D64" s="20" t="n">
        <f aca="false">E64/C64</f>
        <v>3000</v>
      </c>
      <c r="E64" s="20" t="n">
        <v>4410000</v>
      </c>
      <c r="F64" s="20"/>
      <c r="G64" s="47" t="n">
        <f aca="false">C64</f>
        <v>1470</v>
      </c>
    </row>
    <row r="65" customFormat="false" ht="29.25" hidden="false" customHeight="true" outlineLevel="0" collapsed="false">
      <c r="A65" s="21" t="s">
        <v>11</v>
      </c>
      <c r="B65" s="22" t="n">
        <f aca="false">SUM(B63:B63)</f>
        <v>0</v>
      </c>
      <c r="C65" s="22" t="n">
        <f aca="false">C63+C64</f>
        <v>13584</v>
      </c>
      <c r="D65" s="22" t="n">
        <f aca="false">SUM(D63:D63)</f>
        <v>5288.83935941886</v>
      </c>
      <c r="E65" s="22" t="n">
        <f aca="false">SUM(E63:E64)</f>
        <v>68479000</v>
      </c>
      <c r="F65" s="22" t="n">
        <f aca="false">F64+F63</f>
        <v>8615</v>
      </c>
      <c r="G65" s="22" t="n">
        <f aca="false">SUM(G63:G64)</f>
        <v>4969</v>
      </c>
    </row>
    <row r="66" customFormat="false" ht="16.8" hidden="false" customHeight="false" outlineLevel="0" collapsed="false">
      <c r="A66" s="126"/>
      <c r="B66" s="126"/>
      <c r="C66" s="126"/>
      <c r="D66" s="126"/>
      <c r="E66" s="126"/>
      <c r="F66" s="126"/>
      <c r="G66" s="126"/>
    </row>
    <row r="67" customFormat="false" ht="16.8" hidden="false" customHeight="false" outlineLevel="0" collapsed="false">
      <c r="A67" s="13" t="s">
        <v>12</v>
      </c>
      <c r="B67" s="13"/>
      <c r="C67" s="13"/>
      <c r="D67" s="13"/>
      <c r="E67" s="13"/>
      <c r="F67" s="13"/>
      <c r="G67" s="24"/>
    </row>
    <row r="68" customFormat="false" ht="33.6" hidden="false" customHeight="false" outlineLevel="0" collapsed="false">
      <c r="A68" s="25" t="s">
        <v>379</v>
      </c>
      <c r="B68" s="17" t="s">
        <v>380</v>
      </c>
      <c r="C68" s="17" t="s">
        <v>381</v>
      </c>
      <c r="D68" s="17" t="s">
        <v>382</v>
      </c>
      <c r="E68" s="120" t="s">
        <v>16</v>
      </c>
      <c r="F68" s="130"/>
      <c r="G68" s="131"/>
    </row>
    <row r="69" customFormat="false" ht="23.25" hidden="false" customHeight="true" outlineLevel="0" collapsed="false">
      <c r="A69" s="49" t="s">
        <v>401</v>
      </c>
      <c r="B69" s="20" t="n">
        <v>1560</v>
      </c>
      <c r="C69" s="20"/>
      <c r="D69" s="20" t="n">
        <f aca="false">B69</f>
        <v>1560</v>
      </c>
      <c r="E69" s="20"/>
      <c r="F69" s="142"/>
      <c r="G69" s="134"/>
    </row>
    <row r="70" customFormat="false" ht="23.25" hidden="false" customHeight="true" outlineLevel="0" collapsed="false">
      <c r="A70" s="49" t="s">
        <v>399</v>
      </c>
      <c r="B70" s="20" t="n">
        <v>800</v>
      </c>
      <c r="C70" s="20"/>
      <c r="D70" s="20" t="n">
        <f aca="false">B70</f>
        <v>800</v>
      </c>
      <c r="E70" s="20"/>
      <c r="F70" s="142"/>
      <c r="G70" s="134"/>
    </row>
    <row r="71" customFormat="false" ht="23.25" hidden="false" customHeight="true" outlineLevel="0" collapsed="false">
      <c r="A71" s="49"/>
      <c r="B71" s="19"/>
      <c r="C71" s="20"/>
      <c r="D71" s="20" t="n">
        <f aca="false">B71</f>
        <v>0</v>
      </c>
      <c r="E71" s="29"/>
      <c r="F71" s="133"/>
      <c r="G71" s="134"/>
    </row>
    <row r="72" customFormat="false" ht="23.25" hidden="false" customHeight="true" outlineLevel="0" collapsed="false">
      <c r="A72" s="30" t="s">
        <v>11</v>
      </c>
      <c r="B72" s="94" t="n">
        <f aca="false">SUM(B69:B71)</f>
        <v>2360</v>
      </c>
      <c r="C72" s="94"/>
      <c r="D72" s="94" t="n">
        <f aca="false">SUM(D69:D71)</f>
        <v>2360</v>
      </c>
      <c r="E72" s="89" t="n">
        <f aca="false">F65/B72</f>
        <v>3.65042372881356</v>
      </c>
      <c r="F72" s="100"/>
      <c r="G72" s="134"/>
    </row>
    <row r="73" customFormat="false" ht="16.8" hidden="false" customHeight="false" outlineLevel="0" collapsed="false">
      <c r="A73" s="55"/>
      <c r="B73" s="56"/>
      <c r="C73" s="56"/>
      <c r="D73" s="56"/>
      <c r="E73" s="100"/>
      <c r="F73" s="100"/>
      <c r="G73" s="127"/>
    </row>
    <row r="74" customFormat="false" ht="16.8" hidden="false" customHeight="false" outlineLevel="0" collapsed="false">
      <c r="A74" s="13" t="s">
        <v>20</v>
      </c>
      <c r="B74" s="1"/>
      <c r="C74" s="1"/>
      <c r="D74" s="1"/>
      <c r="E74" s="1"/>
      <c r="F74" s="1"/>
      <c r="G74" s="1"/>
    </row>
    <row r="75" customFormat="false" ht="21" hidden="false" customHeight="true" outlineLevel="0" collapsed="false">
      <c r="A75" s="17" t="s">
        <v>13</v>
      </c>
      <c r="B75" s="17" t="s">
        <v>21</v>
      </c>
      <c r="C75" s="18"/>
      <c r="D75" s="18"/>
      <c r="E75" s="18"/>
      <c r="F75" s="18"/>
      <c r="G75" s="1"/>
    </row>
    <row r="76" customFormat="false" ht="21" hidden="false" customHeight="true" outlineLevel="0" collapsed="false">
      <c r="A76" s="49" t="s">
        <v>399</v>
      </c>
      <c r="B76" s="20" t="n">
        <f aca="false">B48+B70</f>
        <v>4000</v>
      </c>
      <c r="C76" s="1"/>
      <c r="D76" s="1"/>
      <c r="E76" s="1"/>
      <c r="F76" s="1"/>
      <c r="G76" s="39"/>
    </row>
    <row r="77" customFormat="false" ht="21" hidden="false" customHeight="true" outlineLevel="0" collapsed="false">
      <c r="A77" s="49" t="s">
        <v>401</v>
      </c>
      <c r="B77" s="20" t="n">
        <v>1560</v>
      </c>
      <c r="C77" s="1"/>
      <c r="D77" s="1"/>
      <c r="E77" s="1"/>
      <c r="F77" s="1"/>
      <c r="G77" s="26"/>
    </row>
    <row r="78" customFormat="false" ht="21" hidden="false" customHeight="true" outlineLevel="0" collapsed="false">
      <c r="A78" s="49" t="s">
        <v>390</v>
      </c>
      <c r="B78" s="20" t="n">
        <f aca="false">B45</f>
        <v>2400</v>
      </c>
      <c r="C78" s="1"/>
      <c r="D78" s="1"/>
      <c r="E78" s="1"/>
      <c r="F78" s="1"/>
      <c r="G78" s="26"/>
    </row>
    <row r="79" customFormat="false" ht="21" hidden="false" customHeight="true" outlineLevel="0" collapsed="false">
      <c r="A79" s="49" t="s">
        <v>383</v>
      </c>
      <c r="B79" s="20" t="n">
        <f aca="false">B46</f>
        <v>640</v>
      </c>
      <c r="C79" s="1"/>
      <c r="D79" s="1"/>
      <c r="E79" s="1"/>
      <c r="F79" s="1"/>
      <c r="G79" s="26"/>
    </row>
    <row r="80" customFormat="false" ht="21" hidden="false" customHeight="true" outlineLevel="0" collapsed="false">
      <c r="A80" s="49" t="s">
        <v>398</v>
      </c>
      <c r="B80" s="20" t="n">
        <f aca="false">B47</f>
        <v>3000</v>
      </c>
      <c r="C80" s="1"/>
      <c r="D80" s="1"/>
      <c r="E80" s="1"/>
      <c r="F80" s="1"/>
      <c r="G80" s="26"/>
    </row>
    <row r="81" customFormat="false" ht="21" hidden="false" customHeight="true" outlineLevel="0" collapsed="false">
      <c r="A81" s="25" t="s">
        <v>11</v>
      </c>
      <c r="B81" s="35" t="n">
        <f aca="false">SUM(B76:B80)</f>
        <v>11600</v>
      </c>
      <c r="C81" s="1"/>
      <c r="D81" s="45"/>
      <c r="E81" s="45"/>
      <c r="F81" s="45"/>
      <c r="G81" s="123"/>
    </row>
    <row r="82" customFormat="false" ht="13.2" hidden="false" customHeight="false" outlineLevel="0" collapsed="false">
      <c r="A82" s="1"/>
      <c r="B82" s="1"/>
      <c r="C82" s="1"/>
      <c r="D82" s="1"/>
      <c r="E82" s="1"/>
      <c r="F82" s="1"/>
      <c r="G82" s="26"/>
    </row>
    <row r="83" customFormat="false" ht="16.8" hidden="false" customHeight="false" outlineLevel="0" collapsed="false">
      <c r="A83" s="39"/>
      <c r="B83" s="39"/>
      <c r="C83" s="41"/>
      <c r="D83" s="41"/>
      <c r="E83" s="140" t="s">
        <v>396</v>
      </c>
      <c r="F83" s="140"/>
      <c r="G83" s="140"/>
    </row>
    <row r="84" customFormat="false" ht="13.2" hidden="false" customHeight="false" outlineLevel="0" collapsed="false">
      <c r="A84" s="26"/>
      <c r="B84" s="26"/>
      <c r="C84" s="26"/>
      <c r="D84" s="26"/>
      <c r="E84" s="141"/>
      <c r="F84" s="141"/>
      <c r="G84" s="39"/>
    </row>
    <row r="85" customFormat="false" ht="13.2" hidden="false" customHeight="false" outlineLevel="0" collapsed="false">
      <c r="A85" s="26"/>
      <c r="B85" s="26"/>
      <c r="C85" s="26"/>
      <c r="D85" s="26"/>
      <c r="E85" s="26"/>
      <c r="F85" s="26"/>
      <c r="G85" s="26"/>
    </row>
    <row r="86" customFormat="false" ht="13.2" hidden="false" customHeight="false" outlineLevel="0" collapsed="false">
      <c r="A86" s="26"/>
      <c r="B86" s="26"/>
      <c r="C86" s="26"/>
      <c r="D86" s="26"/>
      <c r="E86" s="26"/>
      <c r="F86" s="26"/>
      <c r="G86" s="26"/>
    </row>
    <row r="87" customFormat="false" ht="13.2" hidden="false" customHeight="false" outlineLevel="0" collapsed="false">
      <c r="A87" s="26"/>
      <c r="B87" s="26"/>
      <c r="C87" s="26"/>
      <c r="D87" s="26"/>
      <c r="E87" s="26"/>
      <c r="F87" s="26"/>
      <c r="G87" s="26"/>
    </row>
    <row r="89" customFormat="false" ht="18.6" hidden="false" customHeight="true" outlineLevel="0" collapsed="false">
      <c r="A89" s="118" t="s">
        <v>402</v>
      </c>
      <c r="B89" s="118"/>
      <c r="C89" s="118"/>
      <c r="D89" s="118"/>
      <c r="E89" s="118"/>
      <c r="F89" s="118"/>
      <c r="G89" s="118"/>
    </row>
    <row r="90" customFormat="false" ht="13.8" hidden="false" customHeight="true" outlineLevel="0" collapsed="false">
      <c r="A90" s="119" t="s">
        <v>2</v>
      </c>
      <c r="B90" s="119"/>
      <c r="C90" s="119"/>
      <c r="D90" s="119"/>
      <c r="E90" s="119"/>
      <c r="F90" s="119"/>
      <c r="G90" s="119"/>
    </row>
    <row r="91" customFormat="false" ht="16.8" hidden="false" customHeight="false" outlineLevel="0" collapsed="false">
      <c r="A91" s="13" t="s">
        <v>3</v>
      </c>
      <c r="B91" s="14"/>
      <c r="C91" s="14"/>
      <c r="D91" s="46"/>
      <c r="E91" s="46"/>
      <c r="F91" s="46"/>
      <c r="G91" s="46" t="s">
        <v>4</v>
      </c>
    </row>
    <row r="92" customFormat="false" ht="33.6" hidden="false" customHeight="false" outlineLevel="0" collapsed="false">
      <c r="A92" s="17" t="s">
        <v>375</v>
      </c>
      <c r="B92" s="17" t="s">
        <v>5</v>
      </c>
      <c r="C92" s="17" t="s">
        <v>376</v>
      </c>
      <c r="D92" s="17" t="s">
        <v>377</v>
      </c>
      <c r="E92" s="17" t="s">
        <v>378</v>
      </c>
      <c r="F92" s="17" t="s">
        <v>395</v>
      </c>
      <c r="G92" s="17" t="s">
        <v>8</v>
      </c>
    </row>
    <row r="93" customFormat="false" ht="29.25" hidden="false" customHeight="true" outlineLevel="0" collapsed="false">
      <c r="A93" s="19" t="s">
        <v>10</v>
      </c>
      <c r="B93" s="20" t="n">
        <v>4969</v>
      </c>
      <c r="C93" s="20" t="n">
        <v>12200</v>
      </c>
      <c r="D93" s="20" t="n">
        <f aca="false">E93/C93</f>
        <v>5198.27868852459</v>
      </c>
      <c r="E93" s="20" t="n">
        <v>63419000</v>
      </c>
      <c r="F93" s="20" t="n">
        <f aca="false">B93+C93-G93</f>
        <v>14275</v>
      </c>
      <c r="G93" s="47" t="n">
        <v>2894</v>
      </c>
    </row>
    <row r="94" customFormat="false" ht="29.25" hidden="false" customHeight="true" outlineLevel="0" collapsed="false">
      <c r="A94" s="135" t="s">
        <v>9</v>
      </c>
      <c r="B94" s="20"/>
      <c r="C94" s="20" t="n">
        <v>697</v>
      </c>
      <c r="D94" s="20" t="n">
        <f aca="false">E94/C94</f>
        <v>3000</v>
      </c>
      <c r="E94" s="20" t="n">
        <v>2091000</v>
      </c>
      <c r="F94" s="20" t="n">
        <f aca="false">C94</f>
        <v>697</v>
      </c>
      <c r="G94" s="47"/>
    </row>
    <row r="95" customFormat="false" ht="29.25" hidden="false" customHeight="true" outlineLevel="0" collapsed="false">
      <c r="A95" s="21" t="s">
        <v>11</v>
      </c>
      <c r="B95" s="22" t="n">
        <f aca="false">SUM(B93:B93)</f>
        <v>4969</v>
      </c>
      <c r="C95" s="22" t="n">
        <f aca="false">C93+C94</f>
        <v>12897</v>
      </c>
      <c r="D95" s="22" t="n">
        <f aca="false">SUM(D93:D93)</f>
        <v>5198.27868852459</v>
      </c>
      <c r="E95" s="22" t="n">
        <f aca="false">SUM(E93:E94)</f>
        <v>65510000</v>
      </c>
      <c r="F95" s="22" t="n">
        <f aca="false">F94+F93</f>
        <v>14972</v>
      </c>
      <c r="G95" s="22" t="n">
        <f aca="false">SUM(G93:G94)</f>
        <v>2894</v>
      </c>
    </row>
    <row r="96" customFormat="false" ht="16.8" hidden="false" customHeight="false" outlineLevel="0" collapsed="false">
      <c r="A96" s="126"/>
      <c r="B96" s="126"/>
      <c r="C96" s="126"/>
      <c r="D96" s="126"/>
      <c r="E96" s="126"/>
      <c r="F96" s="126"/>
      <c r="G96" s="126"/>
    </row>
    <row r="97" customFormat="false" ht="16.8" hidden="false" customHeight="false" outlineLevel="0" collapsed="false">
      <c r="A97" s="13" t="s">
        <v>12</v>
      </c>
      <c r="B97" s="13"/>
      <c r="C97" s="13"/>
      <c r="D97" s="13"/>
      <c r="E97" s="13"/>
      <c r="F97" s="13"/>
      <c r="G97" s="24"/>
    </row>
    <row r="98" customFormat="false" ht="33.6" hidden="false" customHeight="false" outlineLevel="0" collapsed="false">
      <c r="A98" s="25" t="s">
        <v>379</v>
      </c>
      <c r="B98" s="17" t="s">
        <v>380</v>
      </c>
      <c r="C98" s="17" t="s">
        <v>381</v>
      </c>
      <c r="D98" s="17" t="s">
        <v>382</v>
      </c>
      <c r="E98" s="120" t="s">
        <v>16</v>
      </c>
      <c r="F98" s="130"/>
      <c r="G98" s="131"/>
    </row>
    <row r="99" customFormat="false" ht="23.25" hidden="false" customHeight="true" outlineLevel="0" collapsed="false">
      <c r="A99" s="49" t="s">
        <v>401</v>
      </c>
      <c r="B99" s="20" t="n">
        <v>1040</v>
      </c>
      <c r="C99" s="20"/>
      <c r="D99" s="20" t="n">
        <f aca="false">B99</f>
        <v>1040</v>
      </c>
      <c r="E99" s="20"/>
      <c r="F99" s="142"/>
      <c r="G99" s="134"/>
    </row>
    <row r="100" customFormat="false" ht="23.25" hidden="false" customHeight="true" outlineLevel="0" collapsed="false">
      <c r="A100" s="49" t="s">
        <v>403</v>
      </c>
      <c r="B100" s="20" t="n">
        <v>2030</v>
      </c>
      <c r="C100" s="20" t="n">
        <v>850</v>
      </c>
      <c r="D100" s="20" t="n">
        <f aca="false">B100</f>
        <v>2030</v>
      </c>
      <c r="E100" s="20"/>
      <c r="F100" s="142"/>
      <c r="G100" s="134"/>
    </row>
    <row r="101" customFormat="false" ht="23.25" hidden="false" customHeight="true" outlineLevel="0" collapsed="false">
      <c r="A101" s="49"/>
      <c r="B101" s="19"/>
      <c r="C101" s="20"/>
      <c r="D101" s="20" t="n">
        <f aca="false">B101</f>
        <v>0</v>
      </c>
      <c r="E101" s="20"/>
      <c r="F101" s="133"/>
      <c r="G101" s="134"/>
    </row>
    <row r="102" customFormat="false" ht="23.25" hidden="false" customHeight="true" outlineLevel="0" collapsed="false">
      <c r="A102" s="30" t="s">
        <v>11</v>
      </c>
      <c r="B102" s="94" t="n">
        <f aca="false">SUM(B99:B101)</f>
        <v>3070</v>
      </c>
      <c r="C102" s="94"/>
      <c r="D102" s="94" t="n">
        <f aca="false">SUM(D99:D101)</f>
        <v>3070</v>
      </c>
      <c r="E102" s="89" t="n">
        <f aca="false">F95/B102</f>
        <v>4.87687296416938</v>
      </c>
      <c r="F102" s="100"/>
      <c r="G102" s="134"/>
    </row>
    <row r="103" customFormat="false" ht="16.8" hidden="false" customHeight="false" outlineLevel="0" collapsed="false">
      <c r="A103" s="55"/>
      <c r="B103" s="56"/>
      <c r="C103" s="56"/>
      <c r="D103" s="56"/>
      <c r="E103" s="100"/>
      <c r="F103" s="100"/>
      <c r="G103" s="127"/>
    </row>
    <row r="104" customFormat="false" ht="16.8" hidden="false" customHeight="false" outlineLevel="0" collapsed="false">
      <c r="A104" s="13" t="s">
        <v>20</v>
      </c>
      <c r="B104" s="1"/>
      <c r="C104" s="1"/>
      <c r="D104" s="1"/>
      <c r="E104" s="1"/>
      <c r="F104" s="1"/>
      <c r="G104" s="1"/>
    </row>
    <row r="105" customFormat="false" ht="21" hidden="false" customHeight="true" outlineLevel="0" collapsed="false">
      <c r="A105" s="17" t="s">
        <v>13</v>
      </c>
      <c r="B105" s="17" t="s">
        <v>21</v>
      </c>
      <c r="C105" s="18"/>
      <c r="D105" s="18"/>
      <c r="E105" s="18"/>
      <c r="F105" s="18"/>
      <c r="G105" s="1"/>
    </row>
    <row r="106" customFormat="false" ht="21" hidden="false" customHeight="true" outlineLevel="0" collapsed="false">
      <c r="A106" s="49" t="s">
        <v>401</v>
      </c>
      <c r="B106" s="20" t="n">
        <f aca="false">B99+B77</f>
        <v>2600</v>
      </c>
      <c r="C106" s="1"/>
      <c r="D106" s="1"/>
      <c r="E106" s="1"/>
      <c r="F106" s="1"/>
      <c r="G106" s="39"/>
    </row>
    <row r="107" customFormat="false" ht="21" hidden="false" customHeight="true" outlineLevel="0" collapsed="false">
      <c r="A107" s="49" t="s">
        <v>403</v>
      </c>
      <c r="B107" s="20" t="n">
        <f aca="false">B100</f>
        <v>2030</v>
      </c>
      <c r="C107" s="1" t="s">
        <v>404</v>
      </c>
      <c r="D107" s="1"/>
      <c r="E107" s="1"/>
      <c r="F107" s="1"/>
      <c r="G107" s="26"/>
    </row>
    <row r="108" customFormat="false" ht="21" hidden="false" customHeight="true" outlineLevel="0" collapsed="false">
      <c r="A108" s="49" t="s">
        <v>399</v>
      </c>
      <c r="B108" s="20" t="n">
        <f aca="false">B76</f>
        <v>4000</v>
      </c>
      <c r="C108" s="1"/>
      <c r="D108" s="1"/>
      <c r="E108" s="1"/>
      <c r="F108" s="1"/>
      <c r="G108" s="26"/>
    </row>
    <row r="109" customFormat="false" ht="21" hidden="false" customHeight="true" outlineLevel="0" collapsed="false">
      <c r="A109" s="49" t="s">
        <v>390</v>
      </c>
      <c r="B109" s="19" t="n">
        <f aca="false">B78</f>
        <v>2400</v>
      </c>
      <c r="C109" s="1"/>
      <c r="D109" s="1"/>
      <c r="E109" s="1"/>
      <c r="F109" s="1"/>
      <c r="G109" s="26"/>
    </row>
    <row r="110" customFormat="false" ht="21" hidden="false" customHeight="true" outlineLevel="0" collapsed="false">
      <c r="A110" s="49" t="s">
        <v>383</v>
      </c>
      <c r="B110" s="19" t="n">
        <f aca="false">B79</f>
        <v>640</v>
      </c>
      <c r="C110" s="1"/>
      <c r="D110" s="1"/>
      <c r="E110" s="1"/>
      <c r="F110" s="1"/>
      <c r="G110" s="26"/>
    </row>
    <row r="111" customFormat="false" ht="21" hidden="false" customHeight="true" outlineLevel="0" collapsed="false">
      <c r="A111" s="49" t="s">
        <v>398</v>
      </c>
      <c r="B111" s="19" t="n">
        <f aca="false">B80</f>
        <v>3000</v>
      </c>
      <c r="C111" s="1"/>
      <c r="D111" s="1"/>
      <c r="E111" s="1"/>
      <c r="F111" s="1"/>
      <c r="G111" s="26"/>
    </row>
    <row r="112" customFormat="false" ht="21" hidden="false" customHeight="true" outlineLevel="0" collapsed="false">
      <c r="A112" s="25" t="s">
        <v>11</v>
      </c>
      <c r="B112" s="35" t="n">
        <f aca="false">SUM(B106:B111)</f>
        <v>14670</v>
      </c>
      <c r="C112" s="1"/>
      <c r="D112" s="45"/>
      <c r="E112" s="45"/>
      <c r="F112" s="45"/>
      <c r="G112" s="123"/>
    </row>
    <row r="113" customFormat="false" ht="13.2" hidden="false" customHeight="false" outlineLevel="0" collapsed="false">
      <c r="A113" s="1"/>
      <c r="B113" s="1"/>
      <c r="C113" s="1"/>
      <c r="D113" s="1"/>
      <c r="E113" s="1"/>
      <c r="F113" s="1"/>
      <c r="G113" s="26"/>
    </row>
    <row r="114" customFormat="false" ht="16.8" hidden="false" customHeight="false" outlineLevel="0" collapsed="false">
      <c r="A114" s="39"/>
      <c r="B114" s="39"/>
      <c r="C114" s="41"/>
      <c r="D114" s="41"/>
      <c r="E114" s="140" t="s">
        <v>396</v>
      </c>
      <c r="F114" s="140"/>
      <c r="G114" s="140"/>
    </row>
    <row r="115" customFormat="false" ht="13.2" hidden="false" customHeight="false" outlineLevel="0" collapsed="false">
      <c r="A115" s="26"/>
      <c r="B115" s="26"/>
      <c r="C115" s="26"/>
      <c r="D115" s="26"/>
      <c r="E115" s="141"/>
      <c r="F115" s="141"/>
      <c r="G115" s="39"/>
    </row>
    <row r="116" customFormat="false" ht="13.2" hidden="false" customHeight="false" outlineLevel="0" collapsed="false">
      <c r="A116" s="26"/>
      <c r="B116" s="26"/>
      <c r="C116" s="26"/>
      <c r="D116" s="26"/>
      <c r="E116" s="26"/>
      <c r="F116" s="26"/>
      <c r="G116" s="26"/>
    </row>
    <row r="119" customFormat="false" ht="18.6" hidden="false" customHeight="true" outlineLevel="0" collapsed="false">
      <c r="A119" s="118" t="s">
        <v>405</v>
      </c>
      <c r="B119" s="118"/>
      <c r="C119" s="118"/>
      <c r="D119" s="118"/>
      <c r="E119" s="118"/>
      <c r="F119" s="118"/>
      <c r="G119" s="118"/>
    </row>
    <row r="120" customFormat="false" ht="13.8" hidden="false" customHeight="true" outlineLevel="0" collapsed="false">
      <c r="A120" s="119" t="s">
        <v>2</v>
      </c>
      <c r="B120" s="119"/>
      <c r="C120" s="119"/>
      <c r="D120" s="119"/>
      <c r="E120" s="119"/>
      <c r="F120" s="119"/>
      <c r="G120" s="119"/>
    </row>
    <row r="121" customFormat="false" ht="16.8" hidden="false" customHeight="false" outlineLevel="0" collapsed="false">
      <c r="A121" s="13" t="s">
        <v>3</v>
      </c>
      <c r="B121" s="14"/>
      <c r="C121" s="14"/>
      <c r="D121" s="46"/>
      <c r="E121" s="46"/>
      <c r="F121" s="46"/>
      <c r="G121" s="46" t="s">
        <v>4</v>
      </c>
    </row>
    <row r="122" customFormat="false" ht="33.6" hidden="false" customHeight="false" outlineLevel="0" collapsed="false">
      <c r="A122" s="17" t="s">
        <v>375</v>
      </c>
      <c r="B122" s="17" t="s">
        <v>5</v>
      </c>
      <c r="C122" s="17" t="s">
        <v>376</v>
      </c>
      <c r="D122" s="17" t="s">
        <v>377</v>
      </c>
      <c r="E122" s="17" t="s">
        <v>378</v>
      </c>
      <c r="F122" s="17" t="s">
        <v>395</v>
      </c>
      <c r="G122" s="17" t="s">
        <v>8</v>
      </c>
    </row>
    <row r="123" customFormat="false" ht="29.25" hidden="false" customHeight="true" outlineLevel="0" collapsed="false">
      <c r="A123" s="19" t="s">
        <v>10</v>
      </c>
      <c r="B123" s="20" t="n">
        <f aca="false">G95</f>
        <v>2894</v>
      </c>
      <c r="C123" s="20" t="n">
        <v>31013</v>
      </c>
      <c r="D123" s="20" t="n">
        <f aca="false">E123/C123</f>
        <v>6659.39767194402</v>
      </c>
      <c r="E123" s="20" t="n">
        <v>206527900</v>
      </c>
      <c r="F123" s="20" t="n">
        <v>31877</v>
      </c>
      <c r="G123" s="47" t="n">
        <f aca="false">B123+C123-F123</f>
        <v>2030</v>
      </c>
    </row>
    <row r="124" customFormat="false" ht="29.25" hidden="false" customHeight="true" outlineLevel="0" collapsed="false">
      <c r="A124" s="135" t="s">
        <v>9</v>
      </c>
      <c r="B124" s="20"/>
      <c r="C124" s="20" t="n">
        <v>160</v>
      </c>
      <c r="D124" s="20" t="n">
        <f aca="false">E124/C124</f>
        <v>300</v>
      </c>
      <c r="E124" s="20" t="n">
        <v>48000</v>
      </c>
      <c r="F124" s="20" t="n">
        <v>25</v>
      </c>
      <c r="G124" s="47" t="n">
        <f aca="false">C124-F124</f>
        <v>135</v>
      </c>
    </row>
    <row r="125" customFormat="false" ht="29.25" hidden="false" customHeight="true" outlineLevel="0" collapsed="false">
      <c r="A125" s="21" t="s">
        <v>11</v>
      </c>
      <c r="B125" s="22" t="n">
        <f aca="false">SUM(B123:B123)</f>
        <v>2894</v>
      </c>
      <c r="C125" s="22" t="n">
        <f aca="false">C123+C124</f>
        <v>31173</v>
      </c>
      <c r="D125" s="22" t="n">
        <f aca="false">SUM(D123:D123)</f>
        <v>6659.39767194402</v>
      </c>
      <c r="E125" s="22" t="n">
        <f aca="false">SUM(E123:E124)</f>
        <v>206575900</v>
      </c>
      <c r="F125" s="22" t="n">
        <f aca="false">F124+F123</f>
        <v>31902</v>
      </c>
      <c r="G125" s="22" t="n">
        <f aca="false">SUM(G123:G124)</f>
        <v>2165</v>
      </c>
    </row>
    <row r="126" customFormat="false" ht="16.8" hidden="false" customHeight="false" outlineLevel="0" collapsed="false">
      <c r="A126" s="126"/>
      <c r="B126" s="126"/>
      <c r="C126" s="126"/>
      <c r="D126" s="126"/>
      <c r="E126" s="126"/>
      <c r="F126" s="126"/>
      <c r="G126" s="126"/>
    </row>
    <row r="127" customFormat="false" ht="16.8" hidden="false" customHeight="false" outlineLevel="0" collapsed="false">
      <c r="A127" s="13" t="s">
        <v>12</v>
      </c>
      <c r="B127" s="13"/>
      <c r="C127" s="13"/>
      <c r="D127" s="13"/>
      <c r="E127" s="13"/>
      <c r="F127" s="13"/>
      <c r="G127" s="24"/>
    </row>
    <row r="128" customFormat="false" ht="33.6" hidden="false" customHeight="false" outlineLevel="0" collapsed="false">
      <c r="A128" s="25" t="s">
        <v>379</v>
      </c>
      <c r="B128" s="17" t="s">
        <v>380</v>
      </c>
      <c r="C128" s="17" t="s">
        <v>381</v>
      </c>
      <c r="D128" s="17" t="s">
        <v>382</v>
      </c>
      <c r="E128" s="120" t="s">
        <v>16</v>
      </c>
      <c r="F128" s="130"/>
      <c r="G128" s="131"/>
    </row>
    <row r="129" customFormat="false" ht="23.25" hidden="false" customHeight="true" outlineLevel="0" collapsed="false">
      <c r="A129" s="49" t="s">
        <v>406</v>
      </c>
      <c r="B129" s="20" t="n">
        <v>8020</v>
      </c>
      <c r="C129" s="20" t="n">
        <v>900</v>
      </c>
      <c r="D129" s="20" t="n">
        <f aca="false">B129</f>
        <v>8020</v>
      </c>
      <c r="E129" s="20"/>
      <c r="F129" s="142"/>
      <c r="G129" s="134"/>
    </row>
    <row r="130" customFormat="false" ht="23.25" hidden="false" customHeight="true" outlineLevel="0" collapsed="false">
      <c r="A130" s="49" t="s">
        <v>407</v>
      </c>
      <c r="B130" s="20" t="n">
        <v>1820</v>
      </c>
      <c r="C130" s="20" t="n">
        <v>100</v>
      </c>
      <c r="D130" s="20" t="n">
        <f aca="false">B130</f>
        <v>1820</v>
      </c>
      <c r="E130" s="20"/>
      <c r="F130" s="142"/>
      <c r="G130" s="134"/>
    </row>
    <row r="131" customFormat="false" ht="23.25" hidden="false" customHeight="true" outlineLevel="0" collapsed="false">
      <c r="A131" s="49" t="s">
        <v>408</v>
      </c>
      <c r="B131" s="19" t="n">
        <v>640</v>
      </c>
      <c r="C131" s="20" t="n">
        <v>400</v>
      </c>
      <c r="D131" s="20" t="n">
        <f aca="false">B131</f>
        <v>640</v>
      </c>
      <c r="E131" s="20"/>
      <c r="F131" s="133"/>
      <c r="G131" s="134"/>
    </row>
    <row r="132" customFormat="false" ht="23.25" hidden="false" customHeight="true" outlineLevel="0" collapsed="false">
      <c r="A132" s="30" t="s">
        <v>11</v>
      </c>
      <c r="B132" s="94" t="n">
        <f aca="false">SUM(B129:B131)</f>
        <v>10480</v>
      </c>
      <c r="C132" s="94" t="n">
        <f aca="false">SUM(C129:C131)</f>
        <v>1400</v>
      </c>
      <c r="D132" s="94" t="n">
        <f aca="false">SUM(D129:D131)</f>
        <v>10480</v>
      </c>
      <c r="E132" s="89"/>
      <c r="F132" s="100"/>
      <c r="G132" s="134"/>
    </row>
    <row r="133" customFormat="false" ht="16.8" hidden="false" customHeight="false" outlineLevel="0" collapsed="false">
      <c r="A133" s="55"/>
      <c r="B133" s="56"/>
      <c r="C133" s="56"/>
      <c r="D133" s="56"/>
      <c r="E133" s="100"/>
      <c r="F133" s="100"/>
      <c r="G133" s="127"/>
    </row>
    <row r="134" customFormat="false" ht="16.8" hidden="true" customHeight="false" outlineLevel="0" collapsed="false">
      <c r="A134" s="13" t="s">
        <v>20</v>
      </c>
      <c r="B134" s="1"/>
      <c r="C134" s="1"/>
      <c r="D134" s="1"/>
      <c r="E134" s="1"/>
      <c r="F134" s="1"/>
      <c r="G134" s="1"/>
    </row>
    <row r="135" customFormat="false" ht="21" hidden="true" customHeight="true" outlineLevel="0" collapsed="false">
      <c r="A135" s="17" t="s">
        <v>13</v>
      </c>
      <c r="B135" s="17" t="s">
        <v>21</v>
      </c>
      <c r="C135" s="18"/>
      <c r="D135" s="18"/>
      <c r="E135" s="18"/>
      <c r="F135" s="18"/>
      <c r="G135" s="1"/>
    </row>
    <row r="136" customFormat="false" ht="21" hidden="true" customHeight="true" outlineLevel="0" collapsed="false">
      <c r="A136" s="49" t="s">
        <v>401</v>
      </c>
      <c r="B136" s="20" t="n">
        <f aca="false">B129+B107</f>
        <v>10050</v>
      </c>
      <c r="C136" s="1"/>
      <c r="D136" s="1"/>
      <c r="E136" s="1"/>
      <c r="F136" s="1"/>
      <c r="G136" s="39"/>
    </row>
    <row r="137" customFormat="false" ht="21" hidden="true" customHeight="true" outlineLevel="0" collapsed="false">
      <c r="A137" s="49" t="s">
        <v>403</v>
      </c>
      <c r="B137" s="20" t="n">
        <f aca="false">B130</f>
        <v>1820</v>
      </c>
      <c r="C137" s="1"/>
      <c r="D137" s="1"/>
      <c r="E137" s="1"/>
      <c r="F137" s="1"/>
      <c r="G137" s="26"/>
    </row>
    <row r="138" customFormat="false" ht="21" hidden="true" customHeight="true" outlineLevel="0" collapsed="false">
      <c r="A138" s="49" t="s">
        <v>399</v>
      </c>
      <c r="B138" s="20" t="n">
        <f aca="false">B106</f>
        <v>2600</v>
      </c>
      <c r="C138" s="1"/>
      <c r="D138" s="1"/>
      <c r="E138" s="1"/>
      <c r="F138" s="1"/>
      <c r="G138" s="26"/>
    </row>
    <row r="139" customFormat="false" ht="21" hidden="true" customHeight="true" outlineLevel="0" collapsed="false">
      <c r="A139" s="49" t="s">
        <v>390</v>
      </c>
      <c r="B139" s="19" t="n">
        <f aca="false">B108</f>
        <v>4000</v>
      </c>
      <c r="C139" s="1"/>
      <c r="D139" s="1"/>
      <c r="E139" s="1"/>
      <c r="F139" s="1"/>
      <c r="G139" s="26"/>
    </row>
    <row r="140" customFormat="false" ht="21" hidden="true" customHeight="true" outlineLevel="0" collapsed="false">
      <c r="A140" s="49" t="s">
        <v>383</v>
      </c>
      <c r="B140" s="19" t="n">
        <f aca="false">B109</f>
        <v>2400</v>
      </c>
      <c r="C140" s="1"/>
      <c r="D140" s="1"/>
      <c r="E140" s="1"/>
      <c r="F140" s="1"/>
      <c r="G140" s="26"/>
    </row>
    <row r="141" customFormat="false" ht="21" hidden="true" customHeight="true" outlineLevel="0" collapsed="false">
      <c r="A141" s="49" t="s">
        <v>398</v>
      </c>
      <c r="B141" s="19" t="n">
        <f aca="false">B110</f>
        <v>640</v>
      </c>
      <c r="C141" s="1"/>
      <c r="D141" s="1"/>
      <c r="E141" s="1"/>
      <c r="F141" s="1"/>
      <c r="G141" s="26"/>
    </row>
    <row r="142" customFormat="false" ht="21" hidden="true" customHeight="true" outlineLevel="0" collapsed="false">
      <c r="A142" s="25" t="s">
        <v>11</v>
      </c>
      <c r="B142" s="35" t="n">
        <f aca="false">SUM(B136:B141)</f>
        <v>21510</v>
      </c>
      <c r="C142" s="1"/>
      <c r="D142" s="45"/>
      <c r="E142" s="45"/>
      <c r="F142" s="45"/>
      <c r="G142" s="123"/>
    </row>
    <row r="143" customFormat="false" ht="13.2" hidden="false" customHeight="false" outlineLevel="0" collapsed="false">
      <c r="A143" s="1"/>
      <c r="B143" s="1"/>
      <c r="C143" s="1"/>
      <c r="D143" s="1"/>
      <c r="E143" s="1"/>
      <c r="F143" s="1"/>
      <c r="G143" s="26"/>
    </row>
    <row r="144" customFormat="false" ht="16.8" hidden="false" customHeight="false" outlineLevel="0" collapsed="false">
      <c r="A144" s="39"/>
      <c r="B144" s="39"/>
      <c r="C144" s="41"/>
      <c r="D144" s="41"/>
      <c r="E144" s="140" t="s">
        <v>396</v>
      </c>
      <c r="F144" s="140"/>
      <c r="G144" s="140"/>
    </row>
    <row r="145" customFormat="false" ht="13.2" hidden="false" customHeight="false" outlineLevel="0" collapsed="false">
      <c r="A145" s="26"/>
      <c r="B145" s="26"/>
      <c r="C145" s="26"/>
      <c r="D145" s="26"/>
      <c r="E145" s="141"/>
      <c r="F145" s="141"/>
      <c r="G145" s="39"/>
    </row>
    <row r="149" customFormat="false" ht="18.6" hidden="false" customHeight="true" outlineLevel="0" collapsed="false">
      <c r="A149" s="118" t="s">
        <v>409</v>
      </c>
      <c r="B149" s="118"/>
      <c r="C149" s="118"/>
      <c r="D149" s="118"/>
      <c r="E149" s="118"/>
      <c r="F149" s="118"/>
      <c r="G149" s="118"/>
    </row>
    <row r="150" customFormat="false" ht="13.8" hidden="false" customHeight="true" outlineLevel="0" collapsed="false">
      <c r="A150" s="119" t="s">
        <v>2</v>
      </c>
      <c r="B150" s="119"/>
      <c r="C150" s="119"/>
      <c r="D150" s="119"/>
      <c r="E150" s="119"/>
      <c r="F150" s="119"/>
      <c r="G150" s="119"/>
    </row>
    <row r="151" customFormat="false" ht="16.8" hidden="false" customHeight="false" outlineLevel="0" collapsed="false">
      <c r="A151" s="13" t="s">
        <v>3</v>
      </c>
      <c r="B151" s="14"/>
      <c r="C151" s="14"/>
      <c r="D151" s="46"/>
      <c r="E151" s="46"/>
      <c r="F151" s="46"/>
      <c r="G151" s="46" t="s">
        <v>4</v>
      </c>
    </row>
    <row r="152" customFormat="false" ht="33.6" hidden="false" customHeight="false" outlineLevel="0" collapsed="false">
      <c r="A152" s="17" t="s">
        <v>375</v>
      </c>
      <c r="B152" s="17" t="s">
        <v>5</v>
      </c>
      <c r="C152" s="17" t="s">
        <v>376</v>
      </c>
      <c r="D152" s="17" t="s">
        <v>377</v>
      </c>
      <c r="E152" s="17" t="s">
        <v>378</v>
      </c>
      <c r="F152" s="17" t="s">
        <v>395</v>
      </c>
      <c r="G152" s="17" t="s">
        <v>8</v>
      </c>
    </row>
    <row r="153" customFormat="false" ht="29.25" hidden="false" customHeight="true" outlineLevel="0" collapsed="false">
      <c r="A153" s="19" t="s">
        <v>10</v>
      </c>
      <c r="B153" s="20" t="n">
        <f aca="false">G125</f>
        <v>2165</v>
      </c>
      <c r="C153" s="20" t="n">
        <v>31013</v>
      </c>
      <c r="D153" s="20" t="n">
        <f aca="false">E153/C153</f>
        <v>6659.39767194402</v>
      </c>
      <c r="E153" s="20" t="n">
        <v>206527900</v>
      </c>
      <c r="F153" s="20" t="n">
        <v>31877</v>
      </c>
      <c r="G153" s="47" t="n">
        <f aca="false">B153+C153-F153</f>
        <v>1301</v>
      </c>
    </row>
    <row r="154" customFormat="false" ht="29.25" hidden="false" customHeight="true" outlineLevel="0" collapsed="false">
      <c r="A154" s="135" t="s">
        <v>9</v>
      </c>
      <c r="B154" s="20"/>
      <c r="C154" s="20" t="n">
        <v>160</v>
      </c>
      <c r="D154" s="20" t="n">
        <f aca="false">E154/C154</f>
        <v>300</v>
      </c>
      <c r="E154" s="20" t="n">
        <v>48000</v>
      </c>
      <c r="F154" s="20" t="n">
        <v>25</v>
      </c>
      <c r="G154" s="47" t="n">
        <f aca="false">C154-F154</f>
        <v>135</v>
      </c>
    </row>
    <row r="155" customFormat="false" ht="29.25" hidden="false" customHeight="true" outlineLevel="0" collapsed="false">
      <c r="A155" s="21" t="s">
        <v>11</v>
      </c>
      <c r="B155" s="22" t="n">
        <f aca="false">SUM(B153:B153)</f>
        <v>2165</v>
      </c>
      <c r="C155" s="22" t="n">
        <f aca="false">C153+C154</f>
        <v>31173</v>
      </c>
      <c r="D155" s="22" t="n">
        <f aca="false">SUM(D153:D153)</f>
        <v>6659.39767194402</v>
      </c>
      <c r="E155" s="22" t="n">
        <f aca="false">SUM(E153:E154)</f>
        <v>206575900</v>
      </c>
      <c r="F155" s="22" t="n">
        <f aca="false">F154+F153</f>
        <v>31902</v>
      </c>
      <c r="G155" s="22" t="n">
        <f aca="false">SUM(G153:G154)</f>
        <v>1436</v>
      </c>
    </row>
    <row r="156" customFormat="false" ht="16.8" hidden="false" customHeight="false" outlineLevel="0" collapsed="false">
      <c r="A156" s="126"/>
      <c r="B156" s="126"/>
      <c r="C156" s="126"/>
      <c r="D156" s="126"/>
      <c r="E156" s="126"/>
      <c r="F156" s="126"/>
      <c r="G156" s="126"/>
    </row>
    <row r="157" customFormat="false" ht="16.8" hidden="false" customHeight="false" outlineLevel="0" collapsed="false">
      <c r="A157" s="13" t="s">
        <v>12</v>
      </c>
      <c r="B157" s="13"/>
      <c r="C157" s="13"/>
      <c r="D157" s="13"/>
      <c r="E157" s="13"/>
      <c r="F157" s="13"/>
      <c r="G157" s="24"/>
    </row>
    <row r="158" customFormat="false" ht="33.6" hidden="false" customHeight="false" outlineLevel="0" collapsed="false">
      <c r="A158" s="25" t="s">
        <v>379</v>
      </c>
      <c r="B158" s="17" t="s">
        <v>380</v>
      </c>
      <c r="C158" s="17" t="s">
        <v>381</v>
      </c>
      <c r="D158" s="17" t="s">
        <v>382</v>
      </c>
      <c r="E158" s="120" t="s">
        <v>16</v>
      </c>
      <c r="F158" s="130"/>
      <c r="G158" s="131"/>
    </row>
    <row r="159" customFormat="false" ht="23.25" hidden="false" customHeight="true" outlineLevel="0" collapsed="false">
      <c r="A159" s="49" t="s">
        <v>406</v>
      </c>
      <c r="B159" s="20" t="n">
        <v>8020</v>
      </c>
      <c r="C159" s="20" t="n">
        <v>900</v>
      </c>
      <c r="D159" s="20" t="n">
        <f aca="false">B159</f>
        <v>8020</v>
      </c>
      <c r="E159" s="20"/>
      <c r="F159" s="142"/>
      <c r="G159" s="134"/>
    </row>
    <row r="160" customFormat="false" ht="23.25" hidden="false" customHeight="true" outlineLevel="0" collapsed="false">
      <c r="A160" s="49" t="s">
        <v>407</v>
      </c>
      <c r="B160" s="20" t="n">
        <v>1820</v>
      </c>
      <c r="C160" s="20" t="n">
        <v>100</v>
      </c>
      <c r="D160" s="20" t="n">
        <f aca="false">B160</f>
        <v>1820</v>
      </c>
      <c r="E160" s="20"/>
      <c r="F160" s="142"/>
      <c r="G160" s="134"/>
    </row>
    <row r="161" customFormat="false" ht="23.25" hidden="false" customHeight="true" outlineLevel="0" collapsed="false">
      <c r="A161" s="49" t="s">
        <v>408</v>
      </c>
      <c r="B161" s="19" t="n">
        <v>640</v>
      </c>
      <c r="C161" s="20" t="n">
        <v>400</v>
      </c>
      <c r="D161" s="20" t="n">
        <f aca="false">B161</f>
        <v>640</v>
      </c>
      <c r="E161" s="20"/>
      <c r="F161" s="133"/>
      <c r="G161" s="134"/>
    </row>
    <row r="162" customFormat="false" ht="23.25" hidden="false" customHeight="true" outlineLevel="0" collapsed="false">
      <c r="A162" s="30" t="s">
        <v>11</v>
      </c>
      <c r="B162" s="94" t="n">
        <f aca="false">SUM(B159:B161)</f>
        <v>10480</v>
      </c>
      <c r="C162" s="94" t="n">
        <f aca="false">SUM(C159:C161)</f>
        <v>1400</v>
      </c>
      <c r="D162" s="94" t="n">
        <f aca="false">SUM(D159:D161)</f>
        <v>10480</v>
      </c>
      <c r="E162" s="89"/>
      <c r="F162" s="100"/>
      <c r="G162" s="134"/>
    </row>
    <row r="163" customFormat="false" ht="16.8" hidden="false" customHeight="false" outlineLevel="0" collapsed="false">
      <c r="A163" s="55"/>
      <c r="B163" s="56"/>
      <c r="C163" s="56"/>
      <c r="D163" s="56"/>
      <c r="E163" s="100"/>
      <c r="F163" s="100"/>
      <c r="G163" s="127"/>
    </row>
    <row r="164" customFormat="false" ht="16.8" hidden="true" customHeight="false" outlineLevel="0" collapsed="false">
      <c r="A164" s="13" t="s">
        <v>20</v>
      </c>
      <c r="B164" s="1"/>
      <c r="C164" s="1"/>
      <c r="D164" s="1"/>
      <c r="E164" s="1"/>
      <c r="F164" s="1"/>
      <c r="G164" s="1"/>
    </row>
    <row r="165" customFormat="false" ht="21" hidden="true" customHeight="true" outlineLevel="0" collapsed="false">
      <c r="A165" s="17" t="s">
        <v>13</v>
      </c>
      <c r="B165" s="17" t="s">
        <v>21</v>
      </c>
      <c r="C165" s="18"/>
      <c r="D165" s="18"/>
      <c r="E165" s="18"/>
      <c r="F165" s="18"/>
      <c r="G165" s="1"/>
    </row>
    <row r="166" customFormat="false" ht="21" hidden="true" customHeight="true" outlineLevel="0" collapsed="false">
      <c r="A166" s="49" t="s">
        <v>401</v>
      </c>
      <c r="B166" s="20" t="n">
        <f aca="false">B159+B137</f>
        <v>9840</v>
      </c>
      <c r="C166" s="1"/>
      <c r="D166" s="1"/>
      <c r="E166" s="1"/>
      <c r="F166" s="1"/>
      <c r="G166" s="39"/>
    </row>
    <row r="167" customFormat="false" ht="21" hidden="true" customHeight="true" outlineLevel="0" collapsed="false">
      <c r="A167" s="49" t="s">
        <v>403</v>
      </c>
      <c r="B167" s="20" t="n">
        <f aca="false">B160</f>
        <v>1820</v>
      </c>
      <c r="C167" s="1"/>
      <c r="D167" s="1"/>
      <c r="E167" s="1"/>
      <c r="F167" s="1"/>
      <c r="G167" s="26"/>
    </row>
    <row r="168" customFormat="false" ht="21" hidden="true" customHeight="true" outlineLevel="0" collapsed="false">
      <c r="A168" s="49" t="s">
        <v>399</v>
      </c>
      <c r="B168" s="20" t="n">
        <f aca="false">B136</f>
        <v>10050</v>
      </c>
      <c r="C168" s="1"/>
      <c r="D168" s="1"/>
      <c r="E168" s="1"/>
      <c r="F168" s="1"/>
      <c r="G168" s="26"/>
    </row>
    <row r="169" customFormat="false" ht="21" hidden="true" customHeight="true" outlineLevel="0" collapsed="false">
      <c r="A169" s="49" t="s">
        <v>390</v>
      </c>
      <c r="B169" s="19" t="n">
        <f aca="false">B138</f>
        <v>2600</v>
      </c>
      <c r="C169" s="1"/>
      <c r="D169" s="1"/>
      <c r="E169" s="1"/>
      <c r="F169" s="1"/>
      <c r="G169" s="26"/>
    </row>
    <row r="170" customFormat="false" ht="21" hidden="true" customHeight="true" outlineLevel="0" collapsed="false">
      <c r="A170" s="49" t="s">
        <v>383</v>
      </c>
      <c r="B170" s="19" t="n">
        <f aca="false">B139</f>
        <v>4000</v>
      </c>
      <c r="C170" s="1"/>
      <c r="D170" s="1"/>
      <c r="E170" s="1"/>
      <c r="F170" s="1"/>
      <c r="G170" s="26"/>
    </row>
    <row r="171" customFormat="false" ht="21" hidden="true" customHeight="true" outlineLevel="0" collapsed="false">
      <c r="A171" s="49" t="s">
        <v>398</v>
      </c>
      <c r="B171" s="19" t="n">
        <f aca="false">B140</f>
        <v>2400</v>
      </c>
      <c r="C171" s="1"/>
      <c r="D171" s="1"/>
      <c r="E171" s="1"/>
      <c r="F171" s="1"/>
      <c r="G171" s="26"/>
    </row>
    <row r="172" customFormat="false" ht="21" hidden="true" customHeight="true" outlineLevel="0" collapsed="false">
      <c r="A172" s="25" t="s">
        <v>11</v>
      </c>
      <c r="B172" s="35" t="n">
        <f aca="false">SUM(B166:B171)</f>
        <v>30710</v>
      </c>
      <c r="C172" s="1"/>
      <c r="D172" s="45"/>
      <c r="E172" s="45"/>
      <c r="F172" s="45"/>
      <c r="G172" s="123"/>
    </row>
    <row r="173" customFormat="false" ht="13.2" hidden="false" customHeight="false" outlineLevel="0" collapsed="false">
      <c r="A173" s="1"/>
      <c r="B173" s="1"/>
      <c r="C173" s="1"/>
      <c r="D173" s="1"/>
      <c r="E173" s="1"/>
      <c r="F173" s="1"/>
      <c r="G173" s="26"/>
    </row>
    <row r="174" customFormat="false" ht="16.8" hidden="false" customHeight="false" outlineLevel="0" collapsed="false">
      <c r="A174" s="39"/>
      <c r="B174" s="39"/>
      <c r="C174" s="41"/>
      <c r="D174" s="41"/>
      <c r="E174" s="140" t="s">
        <v>396</v>
      </c>
      <c r="F174" s="140"/>
      <c r="G174" s="140"/>
    </row>
  </sheetData>
  <mergeCells count="37">
    <mergeCell ref="A1:G1"/>
    <mergeCell ref="A2:G2"/>
    <mergeCell ref="A8:G8"/>
    <mergeCell ref="F11:F12"/>
    <mergeCell ref="C20:D20"/>
    <mergeCell ref="E20:G20"/>
    <mergeCell ref="E25:G25"/>
    <mergeCell ref="A29:G29"/>
    <mergeCell ref="A30:G30"/>
    <mergeCell ref="F38:F39"/>
    <mergeCell ref="C51:D51"/>
    <mergeCell ref="E51:G51"/>
    <mergeCell ref="E56:G56"/>
    <mergeCell ref="A59:G59"/>
    <mergeCell ref="A60:G60"/>
    <mergeCell ref="A66:G66"/>
    <mergeCell ref="F69:F70"/>
    <mergeCell ref="C83:D83"/>
    <mergeCell ref="E83:G83"/>
    <mergeCell ref="A89:G89"/>
    <mergeCell ref="A90:G90"/>
    <mergeCell ref="A96:G96"/>
    <mergeCell ref="F99:F100"/>
    <mergeCell ref="C114:D114"/>
    <mergeCell ref="E114:G114"/>
    <mergeCell ref="A119:G119"/>
    <mergeCell ref="A120:G120"/>
    <mergeCell ref="A126:G126"/>
    <mergeCell ref="F129:F130"/>
    <mergeCell ref="C144:D144"/>
    <mergeCell ref="E144:G144"/>
    <mergeCell ref="A149:G149"/>
    <mergeCell ref="A150:G150"/>
    <mergeCell ref="A156:G156"/>
    <mergeCell ref="F159:F160"/>
    <mergeCell ref="C174:D174"/>
    <mergeCell ref="E174:G174"/>
  </mergeCells>
  <printOptions headings="false" gridLines="false" gridLinesSet="true" horizontalCentered="false" verticalCentered="false"/>
  <pageMargins left="0.2" right="0.2" top="0.309722222222222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203"/>
  <sheetViews>
    <sheetView windowProtection="false" showFormulas="false" showGridLines="tru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E130" activeCellId="0" sqref="E130"/>
    </sheetView>
  </sheetViews>
  <sheetFormatPr defaultRowHeight="13.2"/>
  <cols>
    <col collapsed="false" hidden="false" max="1" min="1" style="0" width="21.3265306122449"/>
    <col collapsed="false" hidden="false" max="2" min="2" style="0" width="12.8265306122449"/>
    <col collapsed="false" hidden="false" max="3" min="3" style="0" width="15.2551020408163"/>
    <col collapsed="false" hidden="false" max="4" min="4" style="0" width="14.5816326530612"/>
    <col collapsed="false" hidden="false" max="5" min="5" style="0" width="16.3316326530612"/>
    <col collapsed="false" hidden="false" max="6" min="6" style="0" width="10.3928571428571"/>
    <col collapsed="false" hidden="false" max="7" min="7" style="0" width="22.4081632653061"/>
    <col collapsed="false" hidden="false" max="1025" min="8" style="0" width="8.50510204081633"/>
  </cols>
  <sheetData>
    <row r="1" customFormat="false" ht="18.6" hidden="false" customHeight="true" outlineLevel="0" collapsed="false">
      <c r="A1" s="118" t="s">
        <v>410</v>
      </c>
      <c r="B1" s="118"/>
      <c r="C1" s="118"/>
      <c r="D1" s="118"/>
      <c r="E1" s="118"/>
      <c r="F1" s="118"/>
      <c r="G1" s="118"/>
    </row>
    <row r="2" customFormat="false" ht="13.8" hidden="false" customHeight="true" outlineLevel="0" collapsed="false">
      <c r="A2" s="119" t="s">
        <v>2</v>
      </c>
      <c r="B2" s="119"/>
      <c r="C2" s="119"/>
      <c r="D2" s="119"/>
      <c r="E2" s="119"/>
      <c r="F2" s="119"/>
      <c r="G2" s="119"/>
    </row>
    <row r="3" customFormat="false" ht="16.8" hidden="false" customHeight="false" outlineLevel="0" collapsed="false">
      <c r="A3" s="13" t="s">
        <v>3</v>
      </c>
      <c r="B3" s="14"/>
      <c r="C3" s="14"/>
      <c r="D3" s="46"/>
      <c r="E3" s="46"/>
      <c r="F3" s="46"/>
      <c r="G3" s="46" t="s">
        <v>4</v>
      </c>
    </row>
    <row r="4" customFormat="false" ht="50.4" hidden="false" customHeight="false" outlineLevel="0" collapsed="false">
      <c r="A4" s="17" t="s">
        <v>5</v>
      </c>
      <c r="B4" s="17" t="s">
        <v>5</v>
      </c>
      <c r="C4" s="17" t="s">
        <v>411</v>
      </c>
      <c r="D4" s="17" t="s">
        <v>7</v>
      </c>
      <c r="E4" s="17" t="s">
        <v>412</v>
      </c>
      <c r="F4" s="17" t="s">
        <v>413</v>
      </c>
      <c r="G4" s="17" t="s">
        <v>8</v>
      </c>
    </row>
    <row r="5" customFormat="false" ht="16.8" hidden="false" customHeight="false" outlineLevel="0" collapsed="false">
      <c r="A5" s="19" t="s">
        <v>9</v>
      </c>
      <c r="B5" s="20" t="e">
        <f aca="false">t3.19!#REF!</f>
        <v>#VALUE!</v>
      </c>
      <c r="C5" s="20" t="e">
        <f aca="false">t3.19!#REF!</f>
        <v>#VALUE!</v>
      </c>
      <c r="D5" s="20"/>
      <c r="E5" s="20"/>
      <c r="F5" s="20"/>
      <c r="G5" s="47" t="e">
        <f aca="false">B5+C5-D5-F5-E5</f>
        <v>#VALUE!</v>
      </c>
    </row>
    <row r="6" customFormat="false" ht="33" hidden="false" customHeight="true" outlineLevel="0" collapsed="false">
      <c r="A6" s="97" t="s">
        <v>159</v>
      </c>
      <c r="B6" s="20" t="e">
        <f aca="false">t3.19!#REF!</f>
        <v>#VALUE!</v>
      </c>
      <c r="C6" s="20" t="e">
        <f aca="false">t3.19!#REF!</f>
        <v>#VALUE!</v>
      </c>
      <c r="D6" s="20"/>
      <c r="E6" s="20"/>
      <c r="F6" s="20"/>
      <c r="G6" s="47" t="e">
        <f aca="false">B6+C6-D6-F6-E6</f>
        <v>#VALUE!</v>
      </c>
    </row>
    <row r="7" customFormat="false" ht="49.5" hidden="false" customHeight="true" outlineLevel="0" collapsed="false">
      <c r="A7" s="97" t="s">
        <v>414</v>
      </c>
      <c r="B7" s="20" t="e">
        <f aca="false">t3.19!#REF!</f>
        <v>#VALUE!</v>
      </c>
      <c r="C7" s="20" t="e">
        <f aca="false">t3.19!#REF!</f>
        <v>#VALUE!</v>
      </c>
      <c r="D7" s="20"/>
      <c r="E7" s="20"/>
      <c r="F7" s="20"/>
      <c r="G7" s="47" t="e">
        <f aca="false">B7+C7-D7-F7-E7</f>
        <v>#VALUE!</v>
      </c>
    </row>
    <row r="8" customFormat="false" ht="55.5" hidden="false" customHeight="true" outlineLevel="0" collapsed="false">
      <c r="A8" s="97" t="s">
        <v>202</v>
      </c>
      <c r="B8" s="20" t="e">
        <f aca="false">t3.19!#REF!</f>
        <v>#VALUE!</v>
      </c>
      <c r="C8" s="20" t="e">
        <f aca="false">t3.19!#REF!</f>
        <v>#VALUE!</v>
      </c>
      <c r="D8" s="20"/>
      <c r="E8" s="20"/>
      <c r="F8" s="20"/>
      <c r="G8" s="47" t="e">
        <f aca="false">B8+C8-D8-F8-E8</f>
        <v>#VALUE!</v>
      </c>
    </row>
    <row r="9" customFormat="false" ht="16.8" hidden="false" customHeight="false" outlineLevel="0" collapsed="false">
      <c r="A9" s="19" t="s">
        <v>10</v>
      </c>
      <c r="B9" s="20" t="e">
        <f aca="false">t3.19!#REF!</f>
        <v>#VALUE!</v>
      </c>
      <c r="C9" s="20" t="e">
        <f aca="false">t3.19!#REF!</f>
        <v>#VALUE!</v>
      </c>
      <c r="D9" s="20"/>
      <c r="E9" s="20"/>
      <c r="F9" s="20"/>
      <c r="G9" s="47" t="e">
        <f aca="false">B9+C9-D9-F9-E9</f>
        <v>#VALUE!</v>
      </c>
    </row>
    <row r="10" customFormat="false" ht="16.8" hidden="false" customHeight="false" outlineLevel="0" collapsed="false">
      <c r="A10" s="21" t="s">
        <v>11</v>
      </c>
      <c r="B10" s="22" t="e">
        <f aca="false">SUM(B5:B9)</f>
        <v>#VALUE!</v>
      </c>
      <c r="C10" s="22" t="e">
        <f aca="false">SUM(C5:C9)</f>
        <v>#VALUE!</v>
      </c>
      <c r="D10" s="22" t="n">
        <f aca="false">SUM(D5:D9)</f>
        <v>0</v>
      </c>
      <c r="E10" s="22"/>
      <c r="F10" s="22" t="n">
        <f aca="false">SUM(F5:F9)</f>
        <v>0</v>
      </c>
      <c r="G10" s="22" t="e">
        <f aca="false">SUM(G5:G9)</f>
        <v>#VALUE!</v>
      </c>
    </row>
    <row r="11" customFormat="false" ht="16.8" hidden="false" customHeight="false" outlineLevel="0" collapsed="false">
      <c r="A11" s="126" t="s">
        <v>415</v>
      </c>
      <c r="B11" s="126"/>
      <c r="C11" s="126"/>
      <c r="D11" s="126"/>
      <c r="E11" s="126"/>
      <c r="F11" s="126"/>
      <c r="G11" s="126"/>
    </row>
    <row r="12" customFormat="false" ht="16.8" hidden="false" customHeight="false" outlineLevel="0" collapsed="false">
      <c r="A12" s="13" t="s">
        <v>12</v>
      </c>
      <c r="B12" s="13"/>
      <c r="C12" s="13"/>
      <c r="D12" s="13"/>
      <c r="E12" s="13"/>
      <c r="F12" s="13"/>
      <c r="G12" s="24"/>
    </row>
    <row r="13" customFormat="false" ht="33.6" hidden="false" customHeight="false" outlineLevel="0" collapsed="false">
      <c r="A13" s="25" t="s">
        <v>13</v>
      </c>
      <c r="B13" s="17" t="s">
        <v>416</v>
      </c>
      <c r="C13" s="17" t="s">
        <v>417</v>
      </c>
      <c r="D13" s="120" t="s">
        <v>418</v>
      </c>
      <c r="E13" s="143" t="s">
        <v>419</v>
      </c>
      <c r="F13" s="120" t="s">
        <v>16</v>
      </c>
    </row>
    <row r="14" customFormat="false" ht="28.5" hidden="false" customHeight="true" outlineLevel="0" collapsed="false">
      <c r="A14" s="49" t="s">
        <v>420</v>
      </c>
      <c r="B14" s="20" t="n">
        <v>15500</v>
      </c>
      <c r="C14" s="20" t="n">
        <v>20850</v>
      </c>
      <c r="D14" s="19" t="n">
        <f aca="false">+C14+B14</f>
        <v>36350</v>
      </c>
      <c r="E14" s="19" t="n">
        <f aca="false">E5+E6</f>
        <v>0</v>
      </c>
      <c r="F14" s="51" t="n">
        <f aca="false">E14/D14</f>
        <v>0</v>
      </c>
    </row>
    <row r="15" customFormat="false" ht="28.5" hidden="false" customHeight="true" outlineLevel="0" collapsed="false">
      <c r="A15" s="49" t="s">
        <v>53</v>
      </c>
      <c r="B15" s="20" t="n">
        <f aca="false">36600+2100</f>
        <v>38700</v>
      </c>
      <c r="C15" s="20" t="n">
        <f aca="false">11150+1200</f>
        <v>12350</v>
      </c>
      <c r="D15" s="144" t="n">
        <f aca="false">+C15+C16+B15+B16</f>
        <v>67290</v>
      </c>
      <c r="E15" s="144" t="n">
        <f aca="false">E8+E9</f>
        <v>0</v>
      </c>
      <c r="F15" s="145" t="n">
        <f aca="false">E15/D15</f>
        <v>0</v>
      </c>
    </row>
    <row r="16" customFormat="false" ht="28.5" hidden="false" customHeight="true" outlineLevel="0" collapsed="false">
      <c r="A16" s="49" t="s">
        <v>269</v>
      </c>
      <c r="B16" s="20"/>
      <c r="C16" s="20" t="n">
        <v>16240</v>
      </c>
      <c r="D16" s="146"/>
      <c r="E16" s="146"/>
      <c r="F16" s="147"/>
    </row>
    <row r="17" customFormat="false" ht="16.8" hidden="false" customHeight="false" outlineLevel="0" collapsed="false">
      <c r="A17" s="53" t="s">
        <v>18</v>
      </c>
      <c r="B17" s="20"/>
      <c r="C17" s="20"/>
      <c r="D17" s="20"/>
      <c r="E17" s="20"/>
      <c r="F17" s="20"/>
    </row>
    <row r="18" customFormat="false" ht="16.8" hidden="false" customHeight="false" outlineLevel="0" collapsed="false">
      <c r="A18" s="30" t="s">
        <v>11</v>
      </c>
      <c r="B18" s="94" t="n">
        <f aca="false">SUM(B14:B17)</f>
        <v>54200</v>
      </c>
      <c r="C18" s="94" t="n">
        <f aca="false">SUM(C14:C17)</f>
        <v>49440</v>
      </c>
      <c r="D18" s="94" t="n">
        <f aca="false">SUM(D14:D17)</f>
        <v>103640</v>
      </c>
      <c r="E18" s="94" t="n">
        <f aca="false">E14+E15+E17</f>
        <v>0</v>
      </c>
      <c r="F18" s="89" t="n">
        <f aca="false">E10/D18</f>
        <v>0</v>
      </c>
    </row>
    <row r="19" customFormat="false" ht="16.8" hidden="false" customHeight="false" outlineLevel="0" collapsed="false">
      <c r="A19" s="55" t="s">
        <v>421</v>
      </c>
      <c r="B19" s="56"/>
      <c r="C19" s="56"/>
      <c r="D19" s="56"/>
      <c r="E19" s="100"/>
      <c r="F19" s="100"/>
      <c r="G19" s="127"/>
    </row>
    <row r="20" customFormat="false" ht="16.8" hidden="false" customHeight="false" outlineLevel="0" collapsed="false">
      <c r="A20" s="13" t="s">
        <v>20</v>
      </c>
      <c r="B20" s="1"/>
      <c r="C20" s="1"/>
      <c r="D20" s="1"/>
      <c r="E20" s="1"/>
      <c r="F20" s="1"/>
      <c r="G20" s="1"/>
    </row>
    <row r="21" customFormat="false" ht="16.8" hidden="false" customHeight="false" outlineLevel="0" collapsed="false">
      <c r="A21" s="17" t="s">
        <v>13</v>
      </c>
      <c r="B21" s="17" t="s">
        <v>21</v>
      </c>
      <c r="C21" s="18"/>
      <c r="D21" s="18"/>
      <c r="E21" s="18"/>
      <c r="F21" s="39"/>
      <c r="G21" s="1"/>
    </row>
    <row r="22" customFormat="false" ht="16.8" hidden="false" customHeight="false" outlineLevel="0" collapsed="false">
      <c r="A22" s="33" t="s">
        <v>22</v>
      </c>
      <c r="B22" s="34" t="n">
        <v>77600</v>
      </c>
      <c r="C22" s="1"/>
      <c r="D22" s="1"/>
      <c r="E22" s="1"/>
      <c r="F22" s="26"/>
      <c r="G22" s="39"/>
    </row>
    <row r="23" customFormat="false" ht="16.8" hidden="false" customHeight="false" outlineLevel="0" collapsed="false">
      <c r="A23" s="33" t="s">
        <v>17</v>
      </c>
      <c r="B23" s="34" t="n">
        <v>160350</v>
      </c>
      <c r="C23" s="1"/>
      <c r="D23" s="1"/>
      <c r="E23" s="1"/>
      <c r="F23" s="26"/>
      <c r="G23" s="26"/>
    </row>
    <row r="24" customFormat="false" ht="16.8" hidden="false" customHeight="false" outlineLevel="0" collapsed="false">
      <c r="A24" s="33" t="s">
        <v>18</v>
      </c>
      <c r="B24" s="34"/>
      <c r="C24" s="1"/>
      <c r="D24" s="1"/>
      <c r="E24" s="1"/>
      <c r="F24" s="26"/>
      <c r="G24" s="26"/>
    </row>
    <row r="25" customFormat="false" ht="16.8" hidden="false" customHeight="false" outlineLevel="0" collapsed="false">
      <c r="A25" s="25" t="s">
        <v>11</v>
      </c>
      <c r="B25" s="35" t="n">
        <f aca="false">SUM(B22:B24)</f>
        <v>237950</v>
      </c>
      <c r="C25" s="1"/>
      <c r="D25" s="45"/>
      <c r="E25" s="45"/>
      <c r="F25" s="26"/>
      <c r="G25" s="123"/>
    </row>
    <row r="26" customFormat="false" ht="13.2" hidden="false" customHeight="false" outlineLevel="0" collapsed="false">
      <c r="A26" s="1"/>
      <c r="B26" s="1"/>
      <c r="C26" s="1"/>
      <c r="D26" s="1"/>
      <c r="E26" s="1"/>
      <c r="F26" s="39"/>
      <c r="G26" s="26"/>
    </row>
    <row r="27" customFormat="false" ht="16.8" hidden="false" customHeight="false" outlineLevel="0" collapsed="false">
      <c r="A27" s="39"/>
      <c r="B27" s="39"/>
      <c r="C27" s="41"/>
      <c r="D27" s="41"/>
      <c r="E27" s="140" t="s">
        <v>396</v>
      </c>
      <c r="F27" s="140"/>
      <c r="G27" s="140"/>
    </row>
    <row r="28" customFormat="false" ht="13.2" hidden="false" customHeight="false" outlineLevel="0" collapsed="false">
      <c r="A28" s="26"/>
      <c r="B28" s="26"/>
      <c r="C28" s="26"/>
      <c r="D28" s="26"/>
      <c r="E28" s="141"/>
      <c r="F28" s="41"/>
      <c r="G28" s="41"/>
    </row>
    <row r="29" customFormat="false" ht="13.2" hidden="false" customHeight="false" outlineLevel="0" collapsed="false">
      <c r="A29" s="26"/>
      <c r="B29" s="26"/>
      <c r="C29" s="26"/>
      <c r="D29" s="26"/>
      <c r="E29" s="26"/>
      <c r="G29" s="26"/>
    </row>
    <row r="30" customFormat="false" ht="13.2" hidden="false" customHeight="false" outlineLevel="0" collapsed="false">
      <c r="A30" s="26"/>
      <c r="B30" s="26"/>
      <c r="C30" s="26"/>
      <c r="D30" s="26"/>
      <c r="E30" s="26"/>
      <c r="G30" s="26"/>
    </row>
    <row r="31" customFormat="false" ht="13.2" hidden="false" customHeight="false" outlineLevel="0" collapsed="false">
      <c r="A31" s="26"/>
      <c r="B31" s="26"/>
      <c r="C31" s="26"/>
      <c r="D31" s="26"/>
      <c r="E31" s="26"/>
      <c r="G31" s="26"/>
    </row>
    <row r="32" customFormat="false" ht="16.8" hidden="false" customHeight="false" outlineLevel="0" collapsed="false">
      <c r="A32" s="26"/>
      <c r="B32" s="26"/>
      <c r="C32" s="26"/>
      <c r="D32" s="26"/>
      <c r="E32" s="140" t="s">
        <v>422</v>
      </c>
      <c r="F32" s="140"/>
      <c r="G32" s="140"/>
    </row>
    <row r="35" customFormat="false" ht="19.5" hidden="false" customHeight="true" outlineLevel="0" collapsed="false">
      <c r="A35" s="118" t="s">
        <v>423</v>
      </c>
      <c r="B35" s="118"/>
      <c r="C35" s="118"/>
      <c r="D35" s="118"/>
      <c r="E35" s="118"/>
      <c r="F35" s="118"/>
      <c r="G35" s="148"/>
    </row>
    <row r="36" customFormat="false" ht="13.8" hidden="false" customHeight="true" outlineLevel="0" collapsed="false">
      <c r="A36" s="119" t="s">
        <v>2</v>
      </c>
      <c r="B36" s="119"/>
      <c r="C36" s="119"/>
      <c r="D36" s="119"/>
      <c r="E36" s="119"/>
      <c r="F36" s="119"/>
      <c r="G36" s="149"/>
    </row>
    <row r="37" customFormat="false" ht="16.8" hidden="false" customHeight="false" outlineLevel="0" collapsed="false">
      <c r="A37" s="13" t="s">
        <v>3</v>
      </c>
      <c r="B37" s="14"/>
      <c r="C37" s="14"/>
      <c r="D37" s="46"/>
      <c r="E37" s="66" t="s">
        <v>4</v>
      </c>
      <c r="F37" s="66"/>
      <c r="G37" s="66"/>
    </row>
    <row r="38" customFormat="false" ht="33.6" hidden="false" customHeight="false" outlineLevel="0" collapsed="false">
      <c r="A38" s="17" t="s">
        <v>5</v>
      </c>
      <c r="B38" s="17" t="s">
        <v>5</v>
      </c>
      <c r="C38" s="17" t="s">
        <v>424</v>
      </c>
      <c r="D38" s="17" t="s">
        <v>7</v>
      </c>
      <c r="E38" s="17" t="s">
        <v>8</v>
      </c>
      <c r="F38" s="150"/>
      <c r="G38" s="150"/>
    </row>
    <row r="39" customFormat="false" ht="16.8" hidden="false" customHeight="false" outlineLevel="0" collapsed="false">
      <c r="A39" s="19" t="s">
        <v>9</v>
      </c>
      <c r="B39" s="20" t="e">
        <f aca="false">G5</f>
        <v>#VALUE!</v>
      </c>
      <c r="C39" s="20" t="n">
        <f aca="false">'t3.19'!C95</f>
        <v>12897</v>
      </c>
      <c r="D39" s="20"/>
      <c r="E39" s="47" t="e">
        <f aca="false">B39+C39-D39</f>
        <v>#VALUE!</v>
      </c>
    </row>
    <row r="40" customFormat="false" ht="33.6" hidden="false" customHeight="false" outlineLevel="0" collapsed="false">
      <c r="A40" s="97" t="s">
        <v>159</v>
      </c>
      <c r="B40" s="20" t="e">
        <f aca="false">G6</f>
        <v>#VALUE!</v>
      </c>
      <c r="C40" s="20" t="n">
        <v>55525</v>
      </c>
      <c r="D40" s="20"/>
      <c r="E40" s="47" t="e">
        <f aca="false">B40+C40-D40</f>
        <v>#VALUE!</v>
      </c>
    </row>
    <row r="41" customFormat="false" ht="50.4" hidden="false" customHeight="false" outlineLevel="0" collapsed="false">
      <c r="A41" s="97" t="s">
        <v>414</v>
      </c>
      <c r="B41" s="20" t="e">
        <f aca="false">G7</f>
        <v>#VALUE!</v>
      </c>
      <c r="C41" s="20" t="n">
        <f aca="false">'t3.19'!C97</f>
        <v>0</v>
      </c>
      <c r="D41" s="20"/>
      <c r="E41" s="47" t="e">
        <f aca="false">B41+C41-D41</f>
        <v>#VALUE!</v>
      </c>
    </row>
    <row r="42" customFormat="false" ht="33.6" hidden="false" customHeight="false" outlineLevel="0" collapsed="false">
      <c r="A42" s="97" t="s">
        <v>202</v>
      </c>
      <c r="B42" s="20" t="e">
        <f aca="false">G8</f>
        <v>#VALUE!</v>
      </c>
      <c r="C42" s="20" t="n">
        <f aca="false">2045+3700</f>
        <v>5745</v>
      </c>
      <c r="D42" s="20"/>
      <c r="E42" s="47" t="e">
        <f aca="false">B42+C42-D42</f>
        <v>#VALUE!</v>
      </c>
    </row>
    <row r="43" customFormat="false" ht="16.8" hidden="false" customHeight="false" outlineLevel="0" collapsed="false">
      <c r="A43" s="19" t="s">
        <v>10</v>
      </c>
      <c r="B43" s="20" t="e">
        <f aca="false">G9</f>
        <v>#VALUE!</v>
      </c>
      <c r="C43" s="20" t="n">
        <v>174067</v>
      </c>
      <c r="D43" s="20"/>
      <c r="E43" s="47" t="e">
        <f aca="false">B43+C43-D43</f>
        <v>#VALUE!</v>
      </c>
    </row>
    <row r="44" customFormat="false" ht="16.8" hidden="false" customHeight="false" outlineLevel="0" collapsed="false">
      <c r="A44" s="21" t="s">
        <v>11</v>
      </c>
      <c r="B44" s="22" t="e">
        <f aca="false">SUM(B39:B43)</f>
        <v>#VALUE!</v>
      </c>
      <c r="C44" s="22" t="n">
        <f aca="false">SUM(C39:C43)</f>
        <v>248234</v>
      </c>
      <c r="D44" s="22" t="n">
        <f aca="false">SUM(D39:D43)</f>
        <v>0</v>
      </c>
      <c r="E44" s="22" t="e">
        <f aca="false">SUM(E39:E43)</f>
        <v>#VALUE!</v>
      </c>
    </row>
    <row r="45" customFormat="false" ht="16.8" hidden="false" customHeight="false" outlineLevel="0" collapsed="false">
      <c r="A45" s="13" t="s">
        <v>12</v>
      </c>
      <c r="B45" s="13"/>
      <c r="C45" s="13"/>
      <c r="D45" s="13"/>
      <c r="E45" s="13"/>
      <c r="F45" s="13"/>
      <c r="G45" s="24"/>
    </row>
    <row r="46" customFormat="false" ht="33.6" hidden="false" customHeight="false" outlineLevel="0" collapsed="false">
      <c r="A46" s="25" t="s">
        <v>13</v>
      </c>
      <c r="B46" s="17" t="s">
        <v>425</v>
      </c>
      <c r="C46" s="17" t="s">
        <v>426</v>
      </c>
      <c r="D46" s="120" t="s">
        <v>418</v>
      </c>
      <c r="E46" s="143" t="s">
        <v>419</v>
      </c>
      <c r="F46" s="120" t="s">
        <v>16</v>
      </c>
    </row>
    <row r="47" customFormat="false" ht="50.4" hidden="false" customHeight="false" outlineLevel="0" collapsed="false">
      <c r="A47" s="49" t="s">
        <v>427</v>
      </c>
      <c r="B47" s="20" t="n">
        <f aca="false">C14+B14</f>
        <v>36350</v>
      </c>
      <c r="C47" s="20" t="n">
        <f aca="false">14900+3750</f>
        <v>18650</v>
      </c>
      <c r="D47" s="19" t="n">
        <f aca="false">+C47+B47</f>
        <v>55000</v>
      </c>
      <c r="E47" s="19" t="n">
        <f aca="false">D39+D40</f>
        <v>0</v>
      </c>
      <c r="F47" s="51" t="n">
        <f aca="false">E47/D47</f>
        <v>0</v>
      </c>
    </row>
    <row r="48" customFormat="false" ht="16.8" hidden="false" customHeight="false" outlineLevel="0" collapsed="false">
      <c r="A48" s="49" t="s">
        <v>53</v>
      </c>
      <c r="B48" s="20" t="n">
        <f aca="false">C15+B15</f>
        <v>51050</v>
      </c>
      <c r="C48" s="20" t="n">
        <f aca="false">3000+16700</f>
        <v>19700</v>
      </c>
      <c r="D48" s="34" t="n">
        <f aca="false">+C48+C49+B48+B49</f>
        <v>116350</v>
      </c>
      <c r="E48" s="34" t="n">
        <f aca="false">D42+D43</f>
        <v>0</v>
      </c>
      <c r="F48" s="122" t="n">
        <f aca="false">E48/D48</f>
        <v>0</v>
      </c>
    </row>
    <row r="49" customFormat="false" ht="33.6" hidden="false" customHeight="false" outlineLevel="0" collapsed="false">
      <c r="A49" s="49" t="s">
        <v>269</v>
      </c>
      <c r="B49" s="20" t="n">
        <f aca="false">C16+B16</f>
        <v>16240</v>
      </c>
      <c r="C49" s="20" t="n">
        <v>29360</v>
      </c>
      <c r="D49" s="34"/>
      <c r="E49" s="34"/>
      <c r="F49" s="122"/>
    </row>
    <row r="50" customFormat="false" ht="16.8" hidden="false" customHeight="false" outlineLevel="0" collapsed="false">
      <c r="A50" s="30" t="s">
        <v>11</v>
      </c>
      <c r="B50" s="94" t="n">
        <f aca="false">SUM(B47:B49)</f>
        <v>103640</v>
      </c>
      <c r="C50" s="94" t="n">
        <f aca="false">SUM(C47:C49)</f>
        <v>67710</v>
      </c>
      <c r="D50" s="94" t="n">
        <f aca="false">SUM(D47:D49)</f>
        <v>171350</v>
      </c>
      <c r="E50" s="94" t="n">
        <f aca="false">E47+E48</f>
        <v>0</v>
      </c>
      <c r="F50" s="89" t="n">
        <f aca="false">E50/D50</f>
        <v>0</v>
      </c>
    </row>
    <row r="51" customFormat="false" ht="16.8" hidden="false" customHeight="false" outlineLevel="0" collapsed="false">
      <c r="A51" s="55" t="s">
        <v>421</v>
      </c>
      <c r="B51" s="56"/>
      <c r="C51" s="56"/>
      <c r="D51" s="56"/>
      <c r="E51" s="100"/>
      <c r="F51" s="100"/>
      <c r="G51" s="127"/>
    </row>
    <row r="52" customFormat="false" ht="16.8" hidden="false" customHeight="false" outlineLevel="0" collapsed="false">
      <c r="A52" s="13" t="s">
        <v>20</v>
      </c>
      <c r="B52" s="1"/>
      <c r="C52" s="1"/>
      <c r="D52" s="1"/>
      <c r="E52" s="1"/>
      <c r="F52" s="1"/>
      <c r="G52" s="1"/>
    </row>
    <row r="53" customFormat="false" ht="16.8" hidden="false" customHeight="false" outlineLevel="0" collapsed="false">
      <c r="A53" s="17" t="s">
        <v>13</v>
      </c>
      <c r="B53" s="17" t="s">
        <v>21</v>
      </c>
      <c r="C53" s="18"/>
      <c r="D53" s="18"/>
      <c r="E53" s="18"/>
      <c r="F53" s="39"/>
      <c r="G53" s="1"/>
    </row>
    <row r="54" customFormat="false" ht="16.8" hidden="false" customHeight="false" outlineLevel="0" collapsed="false">
      <c r="A54" s="33" t="s">
        <v>22</v>
      </c>
      <c r="B54" s="34" t="n">
        <v>96250</v>
      </c>
      <c r="C54" s="1"/>
      <c r="D54" s="1"/>
      <c r="E54" s="1"/>
      <c r="F54" s="26"/>
      <c r="G54" s="39"/>
    </row>
    <row r="55" customFormat="false" ht="16.8" hidden="false" customHeight="false" outlineLevel="0" collapsed="false">
      <c r="A55" s="33" t="s">
        <v>17</v>
      </c>
      <c r="B55" s="34" t="n">
        <v>208560</v>
      </c>
      <c r="C55" s="1"/>
      <c r="D55" s="1"/>
      <c r="E55" s="1"/>
      <c r="F55" s="26"/>
      <c r="G55" s="26"/>
    </row>
    <row r="56" customFormat="false" ht="16.8" hidden="false" customHeight="false" outlineLevel="0" collapsed="false">
      <c r="A56" s="33" t="s">
        <v>18</v>
      </c>
      <c r="B56" s="34"/>
      <c r="C56" s="1"/>
      <c r="D56" s="1"/>
      <c r="E56" s="1"/>
      <c r="F56" s="26"/>
      <c r="G56" s="26"/>
    </row>
    <row r="57" customFormat="false" ht="16.8" hidden="false" customHeight="false" outlineLevel="0" collapsed="false">
      <c r="A57" s="25" t="s">
        <v>11</v>
      </c>
      <c r="B57" s="35" t="n">
        <f aca="false">SUM(B54:B56)</f>
        <v>304810</v>
      </c>
      <c r="C57" s="1"/>
      <c r="D57" s="45"/>
      <c r="E57" s="45"/>
      <c r="F57" s="26"/>
      <c r="G57" s="123"/>
    </row>
    <row r="58" customFormat="false" ht="13.2" hidden="false" customHeight="false" outlineLevel="0" collapsed="false">
      <c r="A58" s="1"/>
      <c r="B58" s="1"/>
      <c r="C58" s="1"/>
      <c r="D58" s="1"/>
      <c r="E58" s="1"/>
      <c r="F58" s="39"/>
      <c r="G58" s="26"/>
    </row>
    <row r="59" customFormat="false" ht="16.8" hidden="false" customHeight="false" outlineLevel="0" collapsed="false">
      <c r="A59" s="39"/>
      <c r="B59" s="39"/>
      <c r="C59" s="141"/>
      <c r="D59" s="140" t="s">
        <v>396</v>
      </c>
      <c r="E59" s="140"/>
      <c r="F59" s="140"/>
      <c r="G59" s="151"/>
    </row>
    <row r="60" customFormat="false" ht="13.2" hidden="false" customHeight="false" outlineLevel="0" collapsed="false">
      <c r="A60" s="26"/>
      <c r="B60" s="26"/>
      <c r="C60" s="26"/>
      <c r="D60" s="26"/>
      <c r="E60" s="141"/>
      <c r="F60" s="141"/>
      <c r="G60" s="141"/>
    </row>
    <row r="61" customFormat="false" ht="13.2" hidden="false" customHeight="false" outlineLevel="0" collapsed="false">
      <c r="A61" s="26"/>
      <c r="B61" s="26"/>
      <c r="C61" s="26"/>
      <c r="D61" s="26"/>
      <c r="E61" s="26"/>
      <c r="G61" s="26"/>
    </row>
    <row r="62" customFormat="false" ht="13.2" hidden="false" customHeight="false" outlineLevel="0" collapsed="false">
      <c r="A62" s="26"/>
      <c r="B62" s="26"/>
      <c r="C62" s="26"/>
      <c r="D62" s="26"/>
      <c r="E62" s="26"/>
      <c r="G62" s="26"/>
    </row>
    <row r="63" customFormat="false" ht="13.2" hidden="false" customHeight="false" outlineLevel="0" collapsed="false">
      <c r="A63" s="26"/>
      <c r="B63" s="26"/>
      <c r="C63" s="26"/>
      <c r="D63" s="26"/>
      <c r="E63" s="26"/>
      <c r="G63" s="26"/>
    </row>
    <row r="64" customFormat="false" ht="16.8" hidden="false" customHeight="false" outlineLevel="0" collapsed="false">
      <c r="A64" s="26"/>
      <c r="B64" s="26"/>
      <c r="C64" s="26"/>
      <c r="D64" s="140" t="s">
        <v>422</v>
      </c>
      <c r="E64" s="140"/>
      <c r="F64" s="140"/>
      <c r="G64" s="151"/>
    </row>
    <row r="68" customFormat="false" ht="18.6" hidden="false" customHeight="true" outlineLevel="0" collapsed="false">
      <c r="A68" s="118" t="s">
        <v>428</v>
      </c>
      <c r="B68" s="118"/>
      <c r="C68" s="118"/>
      <c r="D68" s="118"/>
      <c r="E68" s="118"/>
      <c r="F68" s="118"/>
    </row>
    <row r="69" customFormat="false" ht="13.8" hidden="false" customHeight="true" outlineLevel="0" collapsed="false">
      <c r="A69" s="119" t="s">
        <v>2</v>
      </c>
      <c r="B69" s="119"/>
      <c r="C69" s="119"/>
      <c r="D69" s="119"/>
      <c r="E69" s="119"/>
      <c r="F69" s="119"/>
    </row>
    <row r="70" customFormat="false" ht="16.8" hidden="false" customHeight="false" outlineLevel="0" collapsed="false">
      <c r="A70" s="13" t="s">
        <v>3</v>
      </c>
      <c r="B70" s="14"/>
      <c r="C70" s="14"/>
      <c r="D70" s="46"/>
      <c r="E70" s="66" t="s">
        <v>4</v>
      </c>
      <c r="F70" s="66"/>
    </row>
    <row r="71" customFormat="false" ht="33.6" hidden="false" customHeight="false" outlineLevel="0" collapsed="false">
      <c r="A71" s="17" t="s">
        <v>5</v>
      </c>
      <c r="B71" s="17" t="s">
        <v>5</v>
      </c>
      <c r="C71" s="17" t="s">
        <v>429</v>
      </c>
      <c r="D71" s="17" t="s">
        <v>7</v>
      </c>
      <c r="E71" s="17" t="s">
        <v>8</v>
      </c>
      <c r="F71" s="150"/>
    </row>
    <row r="72" customFormat="false" ht="16.8" hidden="false" customHeight="false" outlineLevel="0" collapsed="false">
      <c r="A72" s="19" t="s">
        <v>9</v>
      </c>
      <c r="B72" s="20" t="e">
        <f aca="false">E39</f>
        <v>#VALUE!</v>
      </c>
      <c r="C72" s="20"/>
      <c r="D72" s="20"/>
      <c r="E72" s="47" t="e">
        <f aca="false">B72+C72-D72</f>
        <v>#VALUE!</v>
      </c>
    </row>
    <row r="73" customFormat="false" ht="33.6" hidden="false" customHeight="false" outlineLevel="0" collapsed="false">
      <c r="A73" s="97" t="s">
        <v>159</v>
      </c>
      <c r="B73" s="20" t="e">
        <f aca="false">E40</f>
        <v>#VALUE!</v>
      </c>
      <c r="C73" s="20" t="n">
        <v>60025</v>
      </c>
      <c r="D73" s="20"/>
      <c r="E73" s="47" t="e">
        <f aca="false">B73+C73-D73</f>
        <v>#VALUE!</v>
      </c>
    </row>
    <row r="74" customFormat="false" ht="50.4" hidden="false" customHeight="false" outlineLevel="0" collapsed="false">
      <c r="A74" s="97" t="s">
        <v>414</v>
      </c>
      <c r="B74" s="20" t="e">
        <f aca="false">E41</f>
        <v>#VALUE!</v>
      </c>
      <c r="C74" s="20"/>
      <c r="D74" s="20"/>
      <c r="E74" s="47" t="e">
        <f aca="false">B74+C74-D74</f>
        <v>#VALUE!</v>
      </c>
    </row>
    <row r="75" customFormat="false" ht="33.6" hidden="false" customHeight="false" outlineLevel="0" collapsed="false">
      <c r="A75" s="97" t="s">
        <v>202</v>
      </c>
      <c r="B75" s="20" t="e">
        <f aca="false">E42</f>
        <v>#VALUE!</v>
      </c>
      <c r="C75" s="20" t="n">
        <v>605</v>
      </c>
      <c r="D75" s="20"/>
      <c r="E75" s="47" t="e">
        <f aca="false">B75+C75-D75</f>
        <v>#VALUE!</v>
      </c>
    </row>
    <row r="76" customFormat="false" ht="16.8" hidden="false" customHeight="false" outlineLevel="0" collapsed="false">
      <c r="A76" s="19" t="s">
        <v>10</v>
      </c>
      <c r="B76" s="20" t="e">
        <f aca="false">E43</f>
        <v>#VALUE!</v>
      </c>
      <c r="C76" s="20" t="n">
        <v>40896</v>
      </c>
      <c r="D76" s="20"/>
      <c r="E76" s="47" t="e">
        <f aca="false">B76+C76-D76</f>
        <v>#VALUE!</v>
      </c>
    </row>
    <row r="77" customFormat="false" ht="16.8" hidden="false" customHeight="false" outlineLevel="0" collapsed="false">
      <c r="A77" s="21" t="s">
        <v>11</v>
      </c>
      <c r="B77" s="22" t="e">
        <f aca="false">SUM(B72:B76)</f>
        <v>#VALUE!</v>
      </c>
      <c r="C77" s="22" t="n">
        <f aca="false">SUM(C72:C76)</f>
        <v>101526</v>
      </c>
      <c r="D77" s="22" t="n">
        <f aca="false">SUM(D72:D76)</f>
        <v>0</v>
      </c>
      <c r="E77" s="22" t="e">
        <f aca="false">SUM(E72:E76)</f>
        <v>#VALUE!</v>
      </c>
    </row>
    <row r="78" customFormat="false" ht="16.8" hidden="false" customHeight="false" outlineLevel="0" collapsed="false">
      <c r="A78" s="13" t="s">
        <v>12</v>
      </c>
      <c r="B78" s="13"/>
      <c r="C78" s="13"/>
      <c r="D78" s="13"/>
      <c r="E78" s="13"/>
      <c r="F78" s="13"/>
    </row>
    <row r="79" customFormat="false" ht="33.6" hidden="false" customHeight="false" outlineLevel="0" collapsed="false">
      <c r="A79" s="25" t="s">
        <v>13</v>
      </c>
      <c r="B79" s="17" t="s">
        <v>430</v>
      </c>
      <c r="C79" s="17" t="s">
        <v>431</v>
      </c>
      <c r="D79" s="120" t="s">
        <v>418</v>
      </c>
      <c r="E79" s="143" t="s">
        <v>419</v>
      </c>
      <c r="F79" s="120" t="s">
        <v>16</v>
      </c>
    </row>
    <row r="80" customFormat="false" ht="50.4" hidden="false" customHeight="false" outlineLevel="0" collapsed="false">
      <c r="A80" s="49" t="s">
        <v>427</v>
      </c>
      <c r="B80" s="20" t="n">
        <f aca="false">15500+20850+18650</f>
        <v>55000</v>
      </c>
      <c r="C80" s="20" t="n">
        <v>19800</v>
      </c>
      <c r="D80" s="19" t="n">
        <f aca="false">+C80+B80</f>
        <v>74800</v>
      </c>
      <c r="E80" s="19" t="n">
        <f aca="false">D72+D73</f>
        <v>0</v>
      </c>
      <c r="F80" s="51" t="n">
        <f aca="false">E80/D80</f>
        <v>0</v>
      </c>
    </row>
    <row r="81" customFormat="false" ht="16.8" hidden="false" customHeight="false" outlineLevel="0" collapsed="false">
      <c r="A81" s="49" t="s">
        <v>432</v>
      </c>
      <c r="B81" s="20"/>
      <c r="C81" s="20"/>
      <c r="D81" s="34" t="n">
        <f aca="false">SUM(B81:C91)</f>
        <v>132250</v>
      </c>
      <c r="E81" s="34" t="n">
        <f aca="false">D75+D76</f>
        <v>0</v>
      </c>
      <c r="F81" s="122" t="e">
        <f aca="false">E81/D88</f>
        <v>#DIV/0!</v>
      </c>
    </row>
    <row r="82" customFormat="false" ht="16.8" hidden="false" customHeight="false" outlineLevel="0" collapsed="false">
      <c r="A82" s="49" t="s">
        <v>403</v>
      </c>
      <c r="B82" s="20" t="n">
        <v>3500</v>
      </c>
      <c r="C82" s="20"/>
      <c r="D82" s="34"/>
      <c r="E82" s="34"/>
      <c r="F82" s="122"/>
    </row>
    <row r="83" customFormat="false" ht="16.8" hidden="false" customHeight="false" outlineLevel="0" collapsed="false">
      <c r="A83" s="49" t="s">
        <v>401</v>
      </c>
      <c r="B83" s="20" t="n">
        <f aca="false">7840+18520</f>
        <v>26360</v>
      </c>
      <c r="C83" s="20"/>
      <c r="D83" s="34"/>
      <c r="E83" s="34"/>
      <c r="F83" s="122"/>
    </row>
    <row r="84" customFormat="false" ht="16.8" hidden="false" customHeight="false" outlineLevel="0" collapsed="false">
      <c r="A84" s="49" t="s">
        <v>433</v>
      </c>
      <c r="B84" s="20" t="n">
        <v>10590</v>
      </c>
      <c r="C84" s="20" t="n">
        <v>3400</v>
      </c>
      <c r="D84" s="34"/>
      <c r="E84" s="34"/>
      <c r="F84" s="122"/>
    </row>
    <row r="85" customFormat="false" ht="16.8" hidden="false" customHeight="false" outlineLevel="0" collapsed="false">
      <c r="A85" s="49" t="s">
        <v>434</v>
      </c>
      <c r="B85" s="20" t="n">
        <f aca="false">17050+9500+750</f>
        <v>27300</v>
      </c>
      <c r="C85" s="20"/>
      <c r="D85" s="34"/>
      <c r="E85" s="34"/>
      <c r="F85" s="122"/>
    </row>
    <row r="86" customFormat="false" ht="16.8" hidden="false" customHeight="false" outlineLevel="0" collapsed="false">
      <c r="A86" s="49" t="s">
        <v>399</v>
      </c>
      <c r="B86" s="20"/>
      <c r="C86" s="20"/>
      <c r="D86" s="34"/>
      <c r="E86" s="34"/>
      <c r="F86" s="122"/>
    </row>
    <row r="87" customFormat="false" ht="16.8" hidden="false" customHeight="false" outlineLevel="0" collapsed="false">
      <c r="A87" s="49" t="s">
        <v>435</v>
      </c>
      <c r="B87" s="20" t="n">
        <f aca="false">9450+8950+4800</f>
        <v>23200</v>
      </c>
      <c r="C87" s="20" t="n">
        <v>8550</v>
      </c>
      <c r="D87" s="34"/>
      <c r="E87" s="34"/>
      <c r="F87" s="122"/>
    </row>
    <row r="88" customFormat="false" ht="16.8" hidden="false" customHeight="false" outlineLevel="0" collapsed="false">
      <c r="A88" s="49" t="s">
        <v>436</v>
      </c>
      <c r="B88" s="20" t="n">
        <f aca="false">10100+1100+7900</f>
        <v>19100</v>
      </c>
      <c r="C88" s="20" t="n">
        <v>1200</v>
      </c>
      <c r="D88" s="34"/>
      <c r="E88" s="34"/>
      <c r="F88" s="122"/>
    </row>
    <row r="89" customFormat="false" ht="16.8" hidden="false" customHeight="false" outlineLevel="0" collapsed="false">
      <c r="A89" s="49" t="s">
        <v>398</v>
      </c>
      <c r="B89" s="20"/>
      <c r="C89" s="20"/>
      <c r="D89" s="34"/>
      <c r="E89" s="34"/>
      <c r="F89" s="122"/>
    </row>
    <row r="90" customFormat="false" ht="16.8" hidden="false" customHeight="false" outlineLevel="0" collapsed="false">
      <c r="A90" s="49" t="s">
        <v>384</v>
      </c>
      <c r="B90" s="20"/>
      <c r="C90" s="20"/>
      <c r="D90" s="34"/>
      <c r="E90" s="34"/>
      <c r="F90" s="122"/>
    </row>
    <row r="91" customFormat="false" ht="16.8" hidden="false" customHeight="false" outlineLevel="0" collapsed="false">
      <c r="A91" s="49" t="s">
        <v>390</v>
      </c>
      <c r="B91" s="20" t="n">
        <f aca="false">2100+1200+3000</f>
        <v>6300</v>
      </c>
      <c r="C91" s="20" t="n">
        <v>2750</v>
      </c>
      <c r="D91" s="34"/>
      <c r="E91" s="34"/>
      <c r="F91" s="122"/>
    </row>
    <row r="92" customFormat="false" ht="16.8" hidden="false" customHeight="false" outlineLevel="0" collapsed="false">
      <c r="A92" s="30" t="s">
        <v>11</v>
      </c>
      <c r="B92" s="94" t="n">
        <f aca="false">SUM(B80:B91)</f>
        <v>171350</v>
      </c>
      <c r="C92" s="94" t="n">
        <f aca="false">SUM(C80:C91)</f>
        <v>35700</v>
      </c>
      <c r="D92" s="94" t="n">
        <f aca="false">SUM(D80:D91)</f>
        <v>207050</v>
      </c>
      <c r="E92" s="94" t="n">
        <f aca="false">E80+E81</f>
        <v>0</v>
      </c>
      <c r="F92" s="89" t="n">
        <f aca="false">E92/D92</f>
        <v>0</v>
      </c>
    </row>
    <row r="93" customFormat="false" ht="16.8" hidden="false" customHeight="false" outlineLevel="0" collapsed="false">
      <c r="A93" s="55" t="s">
        <v>421</v>
      </c>
      <c r="B93" s="56"/>
      <c r="C93" s="56"/>
      <c r="D93" s="56"/>
      <c r="E93" s="100"/>
      <c r="F93" s="100"/>
    </row>
    <row r="94" customFormat="false" ht="16.8" hidden="false" customHeight="false" outlineLevel="0" collapsed="false">
      <c r="A94" s="13" t="s">
        <v>20</v>
      </c>
      <c r="B94" s="1"/>
      <c r="C94" s="1"/>
      <c r="D94" s="1"/>
      <c r="E94" s="1"/>
      <c r="F94" s="1"/>
    </row>
    <row r="95" customFormat="false" ht="16.8" hidden="false" customHeight="false" outlineLevel="0" collapsed="false">
      <c r="A95" s="17" t="s">
        <v>13</v>
      </c>
      <c r="B95" s="17" t="s">
        <v>21</v>
      </c>
      <c r="C95" s="18"/>
      <c r="D95" s="18"/>
      <c r="E95" s="18"/>
      <c r="F95" s="39"/>
    </row>
    <row r="96" customFormat="false" ht="21" hidden="false" customHeight="true" outlineLevel="0" collapsed="false">
      <c r="A96" s="49" t="s">
        <v>420</v>
      </c>
      <c r="B96" s="20" t="n">
        <v>95050</v>
      </c>
      <c r="C96" s="18"/>
      <c r="D96" s="18"/>
      <c r="E96" s="18"/>
      <c r="F96" s="39"/>
    </row>
    <row r="97" customFormat="false" ht="16.8" hidden="false" customHeight="false" outlineLevel="0" collapsed="false">
      <c r="A97" s="49" t="s">
        <v>432</v>
      </c>
      <c r="B97" s="20"/>
      <c r="C97" s="18"/>
      <c r="D97" s="18"/>
      <c r="E97" s="18"/>
      <c r="F97" s="39"/>
    </row>
    <row r="98" customFormat="false" ht="16.8" hidden="false" customHeight="false" outlineLevel="0" collapsed="false">
      <c r="A98" s="49" t="s">
        <v>403</v>
      </c>
      <c r="B98" s="20" t="n">
        <v>3600</v>
      </c>
      <c r="C98" s="18"/>
      <c r="D98" s="18"/>
      <c r="E98" s="18"/>
      <c r="F98" s="39"/>
    </row>
    <row r="99" customFormat="false" ht="16.8" hidden="false" customHeight="false" outlineLevel="0" collapsed="false">
      <c r="A99" s="49" t="s">
        <v>401</v>
      </c>
      <c r="B99" s="20" t="n">
        <v>18520</v>
      </c>
      <c r="C99" s="18"/>
      <c r="D99" s="18"/>
      <c r="E99" s="18"/>
      <c r="F99" s="39"/>
    </row>
    <row r="100" customFormat="false" ht="16.8" hidden="false" customHeight="false" outlineLevel="0" collapsed="false">
      <c r="A100" s="49" t="s">
        <v>433</v>
      </c>
      <c r="B100" s="20" t="n">
        <v>106190</v>
      </c>
      <c r="C100" s="18"/>
      <c r="D100" s="18"/>
      <c r="E100" s="18"/>
      <c r="F100" s="39"/>
    </row>
    <row r="101" customFormat="false" ht="16.8" hidden="false" customHeight="false" outlineLevel="0" collapsed="false">
      <c r="A101" s="49" t="s">
        <v>434</v>
      </c>
      <c r="B101" s="20" t="n">
        <v>10000</v>
      </c>
      <c r="C101" s="18"/>
      <c r="D101" s="18"/>
      <c r="E101" s="18"/>
      <c r="F101" s="39"/>
    </row>
    <row r="102" customFormat="false" ht="16.8" hidden="false" customHeight="false" outlineLevel="0" collapsed="false">
      <c r="A102" s="49" t="s">
        <v>399</v>
      </c>
      <c r="B102" s="20"/>
      <c r="C102" s="18"/>
      <c r="D102" s="18"/>
      <c r="E102" s="18"/>
      <c r="F102" s="39"/>
    </row>
    <row r="103" customFormat="false" ht="16.8" hidden="false" customHeight="false" outlineLevel="0" collapsed="false">
      <c r="A103" s="49" t="s">
        <v>435</v>
      </c>
      <c r="B103" s="20" t="n">
        <v>56090</v>
      </c>
      <c r="C103" s="18"/>
      <c r="D103" s="18"/>
      <c r="E103" s="18"/>
      <c r="F103" s="39"/>
    </row>
    <row r="104" customFormat="false" ht="16.8" hidden="false" customHeight="false" outlineLevel="0" collapsed="false">
      <c r="A104" s="49" t="s">
        <v>436</v>
      </c>
      <c r="B104" s="20" t="n">
        <v>9200</v>
      </c>
      <c r="C104" s="18"/>
      <c r="D104" s="18"/>
      <c r="E104" s="18"/>
      <c r="F104" s="39"/>
    </row>
    <row r="105" customFormat="false" ht="16.8" hidden="false" customHeight="false" outlineLevel="0" collapsed="false">
      <c r="A105" s="49" t="s">
        <v>398</v>
      </c>
      <c r="B105" s="20"/>
      <c r="C105" s="1"/>
      <c r="D105" s="1"/>
      <c r="E105" s="1"/>
      <c r="F105" s="26"/>
    </row>
    <row r="106" customFormat="false" ht="16.8" hidden="false" customHeight="false" outlineLevel="0" collapsed="false">
      <c r="A106" s="49" t="s">
        <v>384</v>
      </c>
      <c r="B106" s="20"/>
      <c r="C106" s="1"/>
      <c r="D106" s="1"/>
      <c r="E106" s="1"/>
      <c r="F106" s="26"/>
    </row>
    <row r="107" customFormat="false" ht="16.8" hidden="false" customHeight="false" outlineLevel="0" collapsed="false">
      <c r="A107" s="49" t="s">
        <v>390</v>
      </c>
      <c r="B107" s="20" t="n">
        <v>6160</v>
      </c>
      <c r="C107" s="1"/>
      <c r="D107" s="1"/>
      <c r="E107" s="1"/>
      <c r="F107" s="26"/>
    </row>
    <row r="108" customFormat="false" ht="16.8" hidden="false" customHeight="false" outlineLevel="0" collapsed="false">
      <c r="A108" s="25" t="s">
        <v>11</v>
      </c>
      <c r="B108" s="35" t="n">
        <f aca="false">SUM(B96:B107)</f>
        <v>304810</v>
      </c>
      <c r="C108" s="1"/>
      <c r="D108" s="45"/>
      <c r="E108" s="45"/>
      <c r="F108" s="26"/>
    </row>
    <row r="109" customFormat="false" ht="13.2" hidden="false" customHeight="false" outlineLevel="0" collapsed="false">
      <c r="A109" s="1"/>
      <c r="B109" s="1"/>
      <c r="C109" s="1"/>
      <c r="D109" s="1"/>
      <c r="E109" s="1"/>
      <c r="F109" s="39"/>
    </row>
    <row r="110" customFormat="false" ht="16.8" hidden="false" customHeight="false" outlineLevel="0" collapsed="false">
      <c r="A110" s="39"/>
      <c r="B110" s="39"/>
      <c r="C110" s="141"/>
      <c r="D110" s="140" t="s">
        <v>396</v>
      </c>
      <c r="E110" s="140"/>
      <c r="F110" s="140"/>
    </row>
    <row r="111" customFormat="false" ht="13.2" hidden="false" customHeight="false" outlineLevel="0" collapsed="false">
      <c r="A111" s="26"/>
      <c r="B111" s="26"/>
      <c r="C111" s="26"/>
      <c r="D111" s="26"/>
      <c r="E111" s="141"/>
      <c r="F111" s="141"/>
    </row>
    <row r="112" customFormat="false" ht="13.2" hidden="false" customHeight="false" outlineLevel="0" collapsed="false">
      <c r="A112" s="26"/>
      <c r="B112" s="26"/>
      <c r="C112" s="26"/>
      <c r="D112" s="26"/>
      <c r="E112" s="26"/>
    </row>
    <row r="113" customFormat="false" ht="13.2" hidden="false" customHeight="false" outlineLevel="0" collapsed="false">
      <c r="A113" s="26"/>
      <c r="B113" s="26"/>
      <c r="C113" s="26"/>
      <c r="D113" s="26"/>
      <c r="E113" s="26"/>
    </row>
    <row r="114" customFormat="false" ht="13.2" hidden="false" customHeight="false" outlineLevel="0" collapsed="false">
      <c r="A114" s="26"/>
      <c r="B114" s="26"/>
      <c r="C114" s="26"/>
      <c r="D114" s="26"/>
      <c r="E114" s="26"/>
    </row>
    <row r="115" customFormat="false" ht="16.8" hidden="false" customHeight="false" outlineLevel="0" collapsed="false">
      <c r="A115" s="26"/>
      <c r="B115" s="26"/>
      <c r="C115" s="26"/>
      <c r="D115" s="140" t="s">
        <v>422</v>
      </c>
      <c r="E115" s="140"/>
      <c r="F115" s="140"/>
    </row>
    <row r="118" customFormat="false" ht="18.6" hidden="false" customHeight="true" outlineLevel="0" collapsed="false">
      <c r="A118" s="118" t="s">
        <v>437</v>
      </c>
      <c r="B118" s="118"/>
      <c r="C118" s="118"/>
      <c r="D118" s="118"/>
      <c r="E118" s="118"/>
      <c r="F118" s="118"/>
    </row>
    <row r="119" customFormat="false" ht="13.8" hidden="false" customHeight="true" outlineLevel="0" collapsed="false">
      <c r="A119" s="119" t="s">
        <v>2</v>
      </c>
      <c r="B119" s="119"/>
      <c r="C119" s="119"/>
      <c r="D119" s="119"/>
      <c r="E119" s="119"/>
      <c r="F119" s="119"/>
    </row>
    <row r="120" customFormat="false" ht="16.8" hidden="false" customHeight="false" outlineLevel="0" collapsed="false">
      <c r="A120" s="13" t="s">
        <v>3</v>
      </c>
      <c r="B120" s="14"/>
      <c r="C120" s="14"/>
      <c r="D120" s="46"/>
      <c r="E120" s="66" t="s">
        <v>4</v>
      </c>
      <c r="F120" s="66"/>
    </row>
    <row r="121" customFormat="false" ht="33.6" hidden="false" customHeight="false" outlineLevel="0" collapsed="false">
      <c r="A121" s="17" t="s">
        <v>5</v>
      </c>
      <c r="B121" s="17" t="s">
        <v>5</v>
      </c>
      <c r="C121" s="17" t="s">
        <v>438</v>
      </c>
      <c r="D121" s="17" t="s">
        <v>7</v>
      </c>
      <c r="E121" s="17" t="s">
        <v>8</v>
      </c>
      <c r="F121" s="150"/>
    </row>
    <row r="122" customFormat="false" ht="16.8" hidden="false" customHeight="false" outlineLevel="0" collapsed="false">
      <c r="A122" s="19" t="s">
        <v>9</v>
      </c>
      <c r="B122" s="20" t="e">
        <f aca="false">E72</f>
        <v>#VALUE!</v>
      </c>
      <c r="C122" s="20"/>
      <c r="D122" s="20" t="n">
        <v>170</v>
      </c>
      <c r="E122" s="47" t="e">
        <f aca="false">B122+C122-D122</f>
        <v>#VALUE!</v>
      </c>
    </row>
    <row r="123" customFormat="false" ht="33.6" hidden="false" customHeight="false" outlineLevel="0" collapsed="false">
      <c r="A123" s="97" t="s">
        <v>159</v>
      </c>
      <c r="B123" s="20" t="e">
        <f aca="false">E73</f>
        <v>#VALUE!</v>
      </c>
      <c r="C123" s="20" t="n">
        <v>32100</v>
      </c>
      <c r="D123" s="20" t="n">
        <v>253275</v>
      </c>
      <c r="E123" s="47" t="e">
        <f aca="false">B123+C123-D123</f>
        <v>#VALUE!</v>
      </c>
    </row>
    <row r="124" customFormat="false" ht="50.4" hidden="false" customHeight="false" outlineLevel="0" collapsed="false">
      <c r="A124" s="97" t="s">
        <v>414</v>
      </c>
      <c r="B124" s="20" t="e">
        <f aca="false">E74</f>
        <v>#VALUE!</v>
      </c>
      <c r="C124" s="20"/>
      <c r="D124" s="20"/>
      <c r="E124" s="47" t="e">
        <f aca="false">B124+C124-D124</f>
        <v>#VALUE!</v>
      </c>
    </row>
    <row r="125" customFormat="false" ht="33.6" hidden="false" customHeight="false" outlineLevel="0" collapsed="false">
      <c r="A125" s="97" t="s">
        <v>202</v>
      </c>
      <c r="B125" s="20" t="e">
        <f aca="false">E75</f>
        <v>#VALUE!</v>
      </c>
      <c r="C125" s="20"/>
      <c r="D125" s="20" t="n">
        <v>25540</v>
      </c>
      <c r="E125" s="47" t="e">
        <f aca="false">B125+C125-D125</f>
        <v>#VALUE!</v>
      </c>
    </row>
    <row r="126" customFormat="false" ht="16.8" hidden="false" customHeight="false" outlineLevel="0" collapsed="false">
      <c r="A126" s="19" t="s">
        <v>10</v>
      </c>
      <c r="B126" s="20" t="e">
        <f aca="false">E76</f>
        <v>#VALUE!</v>
      </c>
      <c r="C126" s="20" t="n">
        <v>73415</v>
      </c>
      <c r="D126" s="20" t="n">
        <v>504267</v>
      </c>
      <c r="E126" s="47" t="e">
        <f aca="false">B126+C126-D126</f>
        <v>#VALUE!</v>
      </c>
    </row>
    <row r="127" customFormat="false" ht="16.8" hidden="false" customHeight="false" outlineLevel="0" collapsed="false">
      <c r="A127" s="21" t="s">
        <v>11</v>
      </c>
      <c r="B127" s="22" t="e">
        <f aca="false">SUM(B122:B126)</f>
        <v>#VALUE!</v>
      </c>
      <c r="C127" s="22" t="n">
        <f aca="false">SUM(C122:C126)</f>
        <v>105515</v>
      </c>
      <c r="D127" s="22" t="n">
        <f aca="false">SUM(D122:D126)</f>
        <v>783252</v>
      </c>
      <c r="E127" s="22" t="e">
        <f aca="false">SUM(E122:E126)</f>
        <v>#VALUE!</v>
      </c>
    </row>
    <row r="128" customFormat="false" ht="16.8" hidden="false" customHeight="false" outlineLevel="0" collapsed="false">
      <c r="A128" s="13" t="s">
        <v>12</v>
      </c>
      <c r="B128" s="13"/>
      <c r="C128" s="13"/>
      <c r="D128" s="13"/>
      <c r="E128" s="13"/>
      <c r="F128" s="13"/>
    </row>
    <row r="129" customFormat="false" ht="33.6" hidden="false" customHeight="false" outlineLevel="0" collapsed="false">
      <c r="A129" s="25" t="s">
        <v>13</v>
      </c>
      <c r="B129" s="17" t="s">
        <v>439</v>
      </c>
      <c r="C129" s="17" t="s">
        <v>440</v>
      </c>
      <c r="D129" s="120" t="s">
        <v>418</v>
      </c>
      <c r="E129" s="143" t="s">
        <v>419</v>
      </c>
      <c r="F129" s="120" t="s">
        <v>16</v>
      </c>
    </row>
    <row r="130" customFormat="false" ht="50.4" hidden="false" customHeight="false" outlineLevel="0" collapsed="false">
      <c r="A130" s="49" t="s">
        <v>427</v>
      </c>
      <c r="B130" s="20" t="n">
        <f aca="false">B80+C80</f>
        <v>74800</v>
      </c>
      <c r="C130" s="20" t="n">
        <v>17000</v>
      </c>
      <c r="D130" s="19" t="n">
        <f aca="false">+C130+B130</f>
        <v>91800</v>
      </c>
      <c r="E130" s="19" t="n">
        <f aca="false">D122+D123</f>
        <v>253445</v>
      </c>
      <c r="F130" s="51" t="n">
        <f aca="false">E130/D130</f>
        <v>2.76083877995643</v>
      </c>
    </row>
    <row r="131" customFormat="false" ht="16.8" hidden="false" customHeight="false" outlineLevel="0" collapsed="false">
      <c r="A131" s="49" t="s">
        <v>432</v>
      </c>
      <c r="B131" s="20" t="n">
        <f aca="false">B81+C81</f>
        <v>0</v>
      </c>
      <c r="C131" s="20"/>
      <c r="D131" s="34" t="n">
        <f aca="false">SUM(B131:C141)</f>
        <v>151400</v>
      </c>
      <c r="E131" s="34" t="n">
        <f aca="false">D125+D126</f>
        <v>529807</v>
      </c>
      <c r="F131" s="122" t="n">
        <f aca="false">E131/D131</f>
        <v>3.4993857331572</v>
      </c>
    </row>
    <row r="132" customFormat="false" ht="16.8" hidden="false" customHeight="false" outlineLevel="0" collapsed="false">
      <c r="A132" s="49" t="s">
        <v>403</v>
      </c>
      <c r="B132" s="20" t="n">
        <f aca="false">B82+C82</f>
        <v>3500</v>
      </c>
      <c r="C132" s="20"/>
      <c r="D132" s="34"/>
      <c r="E132" s="34"/>
      <c r="F132" s="122"/>
    </row>
    <row r="133" customFormat="false" ht="16.8" hidden="false" customHeight="false" outlineLevel="0" collapsed="false">
      <c r="A133" s="49" t="s">
        <v>401</v>
      </c>
      <c r="B133" s="20" t="n">
        <f aca="false">B83+C83</f>
        <v>26360</v>
      </c>
      <c r="C133" s="20" t="n">
        <v>6650</v>
      </c>
      <c r="D133" s="34"/>
      <c r="E133" s="34"/>
      <c r="F133" s="122"/>
    </row>
    <row r="134" customFormat="false" ht="16.8" hidden="false" customHeight="false" outlineLevel="0" collapsed="false">
      <c r="A134" s="49" t="s">
        <v>433</v>
      </c>
      <c r="B134" s="20" t="n">
        <f aca="false">B84+C84</f>
        <v>13990</v>
      </c>
      <c r="C134" s="20"/>
      <c r="D134" s="34"/>
      <c r="E134" s="34"/>
      <c r="F134" s="122"/>
    </row>
    <row r="135" customFormat="false" ht="16.8" hidden="false" customHeight="false" outlineLevel="0" collapsed="false">
      <c r="A135" s="49" t="s">
        <v>434</v>
      </c>
      <c r="B135" s="20" t="n">
        <f aca="false">B85+C85</f>
        <v>27300</v>
      </c>
      <c r="C135" s="20"/>
      <c r="D135" s="34"/>
      <c r="E135" s="34"/>
      <c r="F135" s="122"/>
    </row>
    <row r="136" customFormat="false" ht="16.8" hidden="false" customHeight="false" outlineLevel="0" collapsed="false">
      <c r="A136" s="49" t="s">
        <v>399</v>
      </c>
      <c r="B136" s="20" t="n">
        <f aca="false">B86+C86</f>
        <v>0</v>
      </c>
      <c r="C136" s="20"/>
      <c r="D136" s="34"/>
      <c r="E136" s="34"/>
      <c r="F136" s="122"/>
    </row>
    <row r="137" customFormat="false" ht="16.8" hidden="false" customHeight="false" outlineLevel="0" collapsed="false">
      <c r="A137" s="49" t="s">
        <v>435</v>
      </c>
      <c r="B137" s="20" t="n">
        <f aca="false">B87+C87</f>
        <v>31750</v>
      </c>
      <c r="C137" s="20"/>
      <c r="D137" s="34"/>
      <c r="E137" s="34"/>
      <c r="F137" s="122"/>
    </row>
    <row r="138" customFormat="false" ht="16.8" hidden="false" customHeight="false" outlineLevel="0" collapsed="false">
      <c r="A138" s="49" t="s">
        <v>436</v>
      </c>
      <c r="B138" s="20" t="n">
        <f aca="false">B88+C88</f>
        <v>20300</v>
      </c>
      <c r="C138" s="20" t="n">
        <v>12500</v>
      </c>
      <c r="D138" s="34"/>
      <c r="E138" s="34"/>
      <c r="F138" s="122"/>
    </row>
    <row r="139" customFormat="false" ht="16.8" hidden="false" customHeight="false" outlineLevel="0" collapsed="false">
      <c r="A139" s="49" t="s">
        <v>398</v>
      </c>
      <c r="B139" s="20" t="n">
        <f aca="false">B89+C89</f>
        <v>0</v>
      </c>
      <c r="C139" s="20"/>
      <c r="D139" s="34"/>
      <c r="E139" s="34"/>
      <c r="F139" s="122"/>
    </row>
    <row r="140" customFormat="false" ht="16.8" hidden="false" customHeight="false" outlineLevel="0" collapsed="false">
      <c r="A140" s="49" t="s">
        <v>384</v>
      </c>
      <c r="B140" s="20" t="n">
        <f aca="false">B90+C90</f>
        <v>0</v>
      </c>
      <c r="C140" s="20"/>
      <c r="D140" s="34"/>
      <c r="E140" s="34"/>
      <c r="F140" s="122"/>
    </row>
    <row r="141" customFormat="false" ht="16.8" hidden="false" customHeight="false" outlineLevel="0" collapsed="false">
      <c r="A141" s="49" t="s">
        <v>390</v>
      </c>
      <c r="B141" s="20" t="n">
        <f aca="false">B91+C91</f>
        <v>9050</v>
      </c>
      <c r="C141" s="20"/>
      <c r="D141" s="34"/>
      <c r="E141" s="34"/>
      <c r="F141" s="122"/>
    </row>
    <row r="142" customFormat="false" ht="16.8" hidden="false" customHeight="false" outlineLevel="0" collapsed="false">
      <c r="A142" s="30" t="s">
        <v>11</v>
      </c>
      <c r="B142" s="94" t="n">
        <f aca="false">SUM(B130:B141)</f>
        <v>207050</v>
      </c>
      <c r="C142" s="94" t="n">
        <f aca="false">SUM(C130:C141)</f>
        <v>36150</v>
      </c>
      <c r="D142" s="94" t="n">
        <f aca="false">SUM(D130:D141)</f>
        <v>243200</v>
      </c>
      <c r="E142" s="94" t="n">
        <f aca="false">E130+E131</f>
        <v>783252</v>
      </c>
      <c r="F142" s="89" t="n">
        <f aca="false">E142/D142</f>
        <v>3.22060855263158</v>
      </c>
    </row>
    <row r="143" customFormat="false" ht="16.8" hidden="false" customHeight="false" outlineLevel="0" collapsed="false">
      <c r="A143" s="55" t="s">
        <v>421</v>
      </c>
      <c r="B143" s="56"/>
      <c r="C143" s="56"/>
      <c r="D143" s="56"/>
      <c r="E143" s="100"/>
      <c r="F143" s="100"/>
    </row>
    <row r="144" customFormat="false" ht="16.8" hidden="false" customHeight="false" outlineLevel="0" collapsed="false">
      <c r="A144" s="13" t="s">
        <v>20</v>
      </c>
      <c r="B144" s="1"/>
      <c r="C144" s="1"/>
      <c r="D144" s="1"/>
      <c r="E144" s="1"/>
      <c r="F144" s="1"/>
    </row>
    <row r="145" customFormat="false" ht="16.8" hidden="false" customHeight="false" outlineLevel="0" collapsed="false">
      <c r="A145" s="17" t="s">
        <v>13</v>
      </c>
      <c r="B145" s="17" t="s">
        <v>21</v>
      </c>
      <c r="C145" s="18"/>
      <c r="D145" s="18"/>
      <c r="E145" s="18"/>
      <c r="F145" s="39"/>
    </row>
    <row r="146" customFormat="false" ht="24.75" hidden="false" customHeight="true" outlineLevel="0" collapsed="false">
      <c r="A146" s="49" t="s">
        <v>420</v>
      </c>
      <c r="B146" s="20" t="n">
        <v>131850</v>
      </c>
      <c r="C146" s="18"/>
      <c r="D146" s="18"/>
      <c r="E146" s="18"/>
      <c r="F146" s="39"/>
    </row>
    <row r="147" customFormat="false" ht="16.8" hidden="false" customHeight="false" outlineLevel="0" collapsed="false">
      <c r="A147" s="49" t="s">
        <v>432</v>
      </c>
      <c r="B147" s="20"/>
      <c r="C147" s="18"/>
      <c r="D147" s="18"/>
      <c r="E147" s="18"/>
      <c r="F147" s="39"/>
    </row>
    <row r="148" customFormat="false" ht="16.8" hidden="false" customHeight="false" outlineLevel="0" collapsed="false">
      <c r="A148" s="49" t="s">
        <v>403</v>
      </c>
      <c r="B148" s="20" t="n">
        <v>3100</v>
      </c>
      <c r="C148" s="18"/>
      <c r="D148" s="18"/>
      <c r="E148" s="18"/>
      <c r="F148" s="39"/>
    </row>
    <row r="149" customFormat="false" ht="16.8" hidden="false" customHeight="false" outlineLevel="0" collapsed="false">
      <c r="A149" s="49" t="s">
        <v>401</v>
      </c>
      <c r="B149" s="20" t="n">
        <v>920</v>
      </c>
      <c r="C149" s="18"/>
      <c r="D149" s="18"/>
      <c r="E149" s="18"/>
      <c r="F149" s="39"/>
    </row>
    <row r="150" customFormat="false" ht="16.8" hidden="false" customHeight="false" outlineLevel="0" collapsed="false">
      <c r="A150" s="49" t="s">
        <v>433</v>
      </c>
      <c r="B150" s="20" t="n">
        <v>144070</v>
      </c>
      <c r="C150" s="18"/>
      <c r="D150" s="18"/>
      <c r="E150" s="18"/>
      <c r="F150" s="39"/>
    </row>
    <row r="151" customFormat="false" ht="16.8" hidden="false" customHeight="false" outlineLevel="0" collapsed="false">
      <c r="A151" s="49" t="s">
        <v>434</v>
      </c>
      <c r="B151" s="20"/>
      <c r="C151" s="18"/>
      <c r="D151" s="18"/>
      <c r="E151" s="18"/>
      <c r="F151" s="39"/>
    </row>
    <row r="152" customFormat="false" ht="16.8" hidden="false" customHeight="false" outlineLevel="0" collapsed="false">
      <c r="A152" s="49" t="s">
        <v>399</v>
      </c>
      <c r="B152" s="20"/>
      <c r="C152" s="18"/>
      <c r="D152" s="18"/>
      <c r="E152" s="18"/>
      <c r="F152" s="39"/>
    </row>
    <row r="153" customFormat="false" ht="16.8" hidden="false" customHeight="false" outlineLevel="0" collapsed="false">
      <c r="A153" s="49" t="s">
        <v>435</v>
      </c>
      <c r="B153" s="20" t="n">
        <v>65100</v>
      </c>
      <c r="C153" s="18"/>
      <c r="D153" s="18"/>
      <c r="E153" s="18"/>
      <c r="F153" s="39"/>
    </row>
    <row r="154" customFormat="false" ht="16.8" hidden="false" customHeight="false" outlineLevel="0" collapsed="false">
      <c r="A154" s="49" t="s">
        <v>436</v>
      </c>
      <c r="B154" s="20" t="n">
        <v>22750</v>
      </c>
      <c r="C154" s="18"/>
      <c r="D154" s="18"/>
      <c r="E154" s="18"/>
      <c r="F154" s="39"/>
    </row>
    <row r="155" customFormat="false" ht="16.8" hidden="false" customHeight="false" outlineLevel="0" collapsed="false">
      <c r="A155" s="49" t="s">
        <v>398</v>
      </c>
      <c r="B155" s="20"/>
      <c r="C155" s="1"/>
      <c r="D155" s="1"/>
      <c r="E155" s="1"/>
      <c r="F155" s="26"/>
    </row>
    <row r="156" customFormat="false" ht="16.8" hidden="false" customHeight="false" outlineLevel="0" collapsed="false">
      <c r="A156" s="49" t="s">
        <v>384</v>
      </c>
      <c r="B156" s="20"/>
      <c r="C156" s="1"/>
      <c r="D156" s="1"/>
      <c r="E156" s="1"/>
      <c r="F156" s="26"/>
    </row>
    <row r="157" customFormat="false" ht="16.8" hidden="false" customHeight="false" outlineLevel="0" collapsed="false">
      <c r="A157" s="49" t="s">
        <v>390</v>
      </c>
      <c r="B157" s="20" t="n">
        <v>8910</v>
      </c>
      <c r="C157" s="1"/>
      <c r="D157" s="1"/>
      <c r="E157" s="1"/>
      <c r="F157" s="26"/>
    </row>
    <row r="158" customFormat="false" ht="16.8" hidden="false" customHeight="false" outlineLevel="0" collapsed="false">
      <c r="A158" s="25" t="s">
        <v>11</v>
      </c>
      <c r="B158" s="35" t="n">
        <f aca="false">SUM(B146:B157)</f>
        <v>376700</v>
      </c>
      <c r="C158" s="1"/>
      <c r="D158" s="45"/>
      <c r="E158" s="45"/>
      <c r="F158" s="26"/>
    </row>
    <row r="159" customFormat="false" ht="13.2" hidden="false" customHeight="false" outlineLevel="0" collapsed="false">
      <c r="A159" s="1"/>
      <c r="B159" s="1"/>
      <c r="C159" s="1"/>
      <c r="D159" s="1"/>
      <c r="E159" s="1"/>
      <c r="F159" s="39"/>
    </row>
    <row r="160" customFormat="false" ht="16.8" hidden="false" customHeight="false" outlineLevel="0" collapsed="false">
      <c r="A160" s="39"/>
      <c r="B160" s="39"/>
      <c r="C160" s="141"/>
      <c r="D160" s="140" t="s">
        <v>396</v>
      </c>
      <c r="E160" s="140"/>
      <c r="F160" s="140"/>
    </row>
    <row r="161" customFormat="false" ht="13.2" hidden="false" customHeight="false" outlineLevel="0" collapsed="false">
      <c r="A161" s="26"/>
      <c r="B161" s="26"/>
      <c r="C161" s="26"/>
      <c r="D161" s="26"/>
      <c r="E161" s="141"/>
      <c r="F161" s="141"/>
    </row>
    <row r="162" customFormat="false" ht="13.2" hidden="false" customHeight="false" outlineLevel="0" collapsed="false">
      <c r="A162" s="26"/>
      <c r="B162" s="26"/>
      <c r="C162" s="26"/>
      <c r="D162" s="26"/>
      <c r="E162" s="26"/>
    </row>
    <row r="163" customFormat="false" ht="13.2" hidden="false" customHeight="false" outlineLevel="0" collapsed="false">
      <c r="A163" s="26"/>
      <c r="B163" s="26"/>
      <c r="C163" s="26"/>
      <c r="D163" s="26"/>
      <c r="E163" s="26"/>
    </row>
    <row r="164" customFormat="false" ht="13.2" hidden="false" customHeight="false" outlineLevel="0" collapsed="false">
      <c r="A164" s="26"/>
      <c r="B164" s="26"/>
      <c r="C164" s="26"/>
      <c r="D164" s="26"/>
      <c r="E164" s="26"/>
    </row>
    <row r="165" customFormat="false" ht="16.8" hidden="false" customHeight="false" outlineLevel="0" collapsed="false">
      <c r="A165" s="26"/>
      <c r="B165" s="26"/>
      <c r="C165" s="26"/>
      <c r="D165" s="140" t="s">
        <v>422</v>
      </c>
      <c r="E165" s="140"/>
      <c r="F165" s="140"/>
    </row>
    <row r="169" customFormat="false" ht="18.6" hidden="false" customHeight="true" outlineLevel="0" collapsed="false">
      <c r="A169" s="118" t="s">
        <v>441</v>
      </c>
      <c r="B169" s="118"/>
      <c r="C169" s="118"/>
      <c r="D169" s="118"/>
      <c r="E169" s="118"/>
      <c r="F169" s="118"/>
    </row>
    <row r="170" customFormat="false" ht="13.8" hidden="false" customHeight="true" outlineLevel="0" collapsed="false">
      <c r="A170" s="119" t="s">
        <v>2</v>
      </c>
      <c r="B170" s="119"/>
      <c r="C170" s="119"/>
      <c r="D170" s="119"/>
      <c r="E170" s="119"/>
      <c r="F170" s="119"/>
    </row>
    <row r="171" customFormat="false" ht="16.8" hidden="false" customHeight="false" outlineLevel="0" collapsed="false">
      <c r="A171" s="13" t="s">
        <v>3</v>
      </c>
      <c r="B171" s="14"/>
      <c r="C171" s="14"/>
      <c r="D171" s="46"/>
      <c r="E171" s="66" t="s">
        <v>4</v>
      </c>
      <c r="F171" s="66"/>
    </row>
    <row r="172" customFormat="false" ht="33.6" hidden="false" customHeight="false" outlineLevel="0" collapsed="false">
      <c r="A172" s="17" t="s">
        <v>5</v>
      </c>
      <c r="B172" s="17" t="s">
        <v>5</v>
      </c>
      <c r="C172" s="17" t="s">
        <v>442</v>
      </c>
      <c r="D172" s="17" t="s">
        <v>7</v>
      </c>
      <c r="E172" s="17" t="s">
        <v>8</v>
      </c>
      <c r="F172" s="150"/>
    </row>
    <row r="173" customFormat="false" ht="16.8" hidden="false" customHeight="false" outlineLevel="0" collapsed="false">
      <c r="A173" s="19" t="s">
        <v>9</v>
      </c>
      <c r="B173" s="20" t="e">
        <f aca="false">E123</f>
        <v>#VALUE!</v>
      </c>
      <c r="C173" s="20"/>
      <c r="D173" s="20"/>
      <c r="E173" s="47" t="e">
        <f aca="false">B173+C173-D173</f>
        <v>#VALUE!</v>
      </c>
    </row>
    <row r="174" customFormat="false" ht="33.6" hidden="false" customHeight="false" outlineLevel="0" collapsed="false">
      <c r="A174" s="97" t="s">
        <v>159</v>
      </c>
      <c r="B174" s="20" t="e">
        <f aca="false">E124</f>
        <v>#VALUE!</v>
      </c>
      <c r="C174" s="20" t="n">
        <v>38710</v>
      </c>
      <c r="D174" s="20"/>
      <c r="E174" s="47" t="e">
        <f aca="false">B174+C174-D174</f>
        <v>#VALUE!</v>
      </c>
    </row>
    <row r="175" customFormat="false" ht="50.4" hidden="false" customHeight="false" outlineLevel="0" collapsed="false">
      <c r="A175" s="97" t="s">
        <v>414</v>
      </c>
      <c r="B175" s="20" t="e">
        <f aca="false">E125</f>
        <v>#VALUE!</v>
      </c>
      <c r="C175" s="20"/>
      <c r="D175" s="20"/>
      <c r="E175" s="47" t="e">
        <f aca="false">B175+C175-D175</f>
        <v>#VALUE!</v>
      </c>
    </row>
    <row r="176" customFormat="false" ht="33.6" hidden="false" customHeight="false" outlineLevel="0" collapsed="false">
      <c r="A176" s="97" t="s">
        <v>202</v>
      </c>
      <c r="B176" s="20" t="e">
        <f aca="false">E126</f>
        <v>#VALUE!</v>
      </c>
      <c r="C176" s="20" t="n">
        <f aca="false">430+8870</f>
        <v>9300</v>
      </c>
      <c r="D176" s="20"/>
      <c r="E176" s="47" t="e">
        <f aca="false">B176+C176-D176</f>
        <v>#VALUE!</v>
      </c>
    </row>
    <row r="177" customFormat="false" ht="16.8" hidden="false" customHeight="false" outlineLevel="0" collapsed="false">
      <c r="A177" s="19" t="s">
        <v>10</v>
      </c>
      <c r="B177" s="20" t="e">
        <f aca="false">E127</f>
        <v>#VALUE!</v>
      </c>
      <c r="C177" s="20" t="n">
        <v>73370</v>
      </c>
      <c r="D177" s="20"/>
      <c r="E177" s="47" t="e">
        <f aca="false">B177+C177-D177</f>
        <v>#VALUE!</v>
      </c>
    </row>
    <row r="178" customFormat="false" ht="16.8" hidden="false" customHeight="false" outlineLevel="0" collapsed="false">
      <c r="A178" s="21" t="s">
        <v>11</v>
      </c>
      <c r="B178" s="22" t="e">
        <f aca="false">SUM(B173:B177)</f>
        <v>#VALUE!</v>
      </c>
      <c r="C178" s="22" t="n">
        <f aca="false">SUM(C173:C177)</f>
        <v>121380</v>
      </c>
      <c r="D178" s="22" t="n">
        <f aca="false">SUM(D173:D177)</f>
        <v>0</v>
      </c>
      <c r="E178" s="22" t="e">
        <f aca="false">SUM(E173:E177)</f>
        <v>#VALUE!</v>
      </c>
    </row>
    <row r="179" customFormat="false" ht="16.8" hidden="false" customHeight="false" outlineLevel="0" collapsed="false">
      <c r="A179" s="13" t="s">
        <v>12</v>
      </c>
      <c r="B179" s="13"/>
      <c r="C179" s="13"/>
      <c r="D179" s="13"/>
      <c r="E179" s="13"/>
      <c r="F179" s="13"/>
    </row>
    <row r="180" customFormat="false" ht="33.6" hidden="false" customHeight="false" outlineLevel="0" collapsed="false">
      <c r="A180" s="25" t="s">
        <v>13</v>
      </c>
      <c r="B180" s="17" t="s">
        <v>443</v>
      </c>
      <c r="C180" s="120" t="s">
        <v>418</v>
      </c>
      <c r="D180" s="143" t="s">
        <v>419</v>
      </c>
      <c r="E180" s="120" t="s">
        <v>16</v>
      </c>
    </row>
    <row r="181" customFormat="false" ht="50.4" hidden="false" customHeight="false" outlineLevel="0" collapsed="false">
      <c r="A181" s="49" t="s">
        <v>427</v>
      </c>
      <c r="B181" s="20" t="n">
        <f aca="false">9200+2200</f>
        <v>11400</v>
      </c>
      <c r="C181" s="19" t="n">
        <f aca="false">+B181</f>
        <v>11400</v>
      </c>
      <c r="D181" s="19" t="n">
        <f aca="false">D173+D174</f>
        <v>0</v>
      </c>
      <c r="E181" s="51" t="n">
        <f aca="false">D181/C181</f>
        <v>0</v>
      </c>
    </row>
    <row r="182" customFormat="false" ht="16.8" hidden="false" customHeight="false" outlineLevel="0" collapsed="false">
      <c r="A182" s="49" t="s">
        <v>432</v>
      </c>
      <c r="B182" s="20"/>
      <c r="C182" s="34" t="n">
        <f aca="false">SUM(B182:B192)</f>
        <v>20900</v>
      </c>
      <c r="D182" s="34" t="n">
        <f aca="false">D176+D177</f>
        <v>0</v>
      </c>
      <c r="E182" s="122" t="n">
        <f aca="false">D182/C182</f>
        <v>0</v>
      </c>
    </row>
    <row r="183" customFormat="false" ht="16.8" hidden="false" customHeight="false" outlineLevel="0" collapsed="false">
      <c r="A183" s="49" t="s">
        <v>403</v>
      </c>
      <c r="B183" s="20"/>
      <c r="C183" s="34"/>
      <c r="D183" s="34"/>
      <c r="E183" s="122"/>
    </row>
    <row r="184" customFormat="false" ht="16.8" hidden="false" customHeight="false" outlineLevel="0" collapsed="false">
      <c r="A184" s="49" t="s">
        <v>401</v>
      </c>
      <c r="B184" s="20"/>
      <c r="C184" s="34"/>
      <c r="D184" s="34"/>
      <c r="E184" s="122"/>
    </row>
    <row r="185" customFormat="false" ht="16.8" hidden="false" customHeight="false" outlineLevel="0" collapsed="false">
      <c r="A185" s="49" t="s">
        <v>433</v>
      </c>
      <c r="B185" s="20" t="n">
        <v>7450</v>
      </c>
      <c r="C185" s="34"/>
      <c r="D185" s="34"/>
      <c r="E185" s="122"/>
    </row>
    <row r="186" customFormat="false" ht="16.8" hidden="false" customHeight="false" outlineLevel="0" collapsed="false">
      <c r="A186" s="49" t="s">
        <v>434</v>
      </c>
      <c r="B186" s="20" t="n">
        <v>8370</v>
      </c>
      <c r="C186" s="34"/>
      <c r="D186" s="34"/>
      <c r="E186" s="122"/>
    </row>
    <row r="187" customFormat="false" ht="16.8" hidden="false" customHeight="false" outlineLevel="0" collapsed="false">
      <c r="A187" s="49" t="s">
        <v>399</v>
      </c>
      <c r="B187" s="20"/>
      <c r="C187" s="34"/>
      <c r="D187" s="34"/>
      <c r="E187" s="122"/>
    </row>
    <row r="188" customFormat="false" ht="16.8" hidden="false" customHeight="false" outlineLevel="0" collapsed="false">
      <c r="A188" s="49" t="s">
        <v>435</v>
      </c>
      <c r="B188" s="20"/>
      <c r="C188" s="34"/>
      <c r="D188" s="34"/>
      <c r="E188" s="122"/>
    </row>
    <row r="189" customFormat="false" ht="16.8" hidden="false" customHeight="false" outlineLevel="0" collapsed="false">
      <c r="A189" s="49" t="s">
        <v>436</v>
      </c>
      <c r="B189" s="20" t="n">
        <v>3380</v>
      </c>
      <c r="C189" s="34"/>
      <c r="D189" s="34"/>
      <c r="E189" s="122"/>
    </row>
    <row r="190" customFormat="false" ht="16.8" hidden="false" customHeight="false" outlineLevel="0" collapsed="false">
      <c r="A190" s="49" t="s">
        <v>398</v>
      </c>
      <c r="B190" s="20"/>
      <c r="C190" s="34"/>
      <c r="D190" s="34"/>
      <c r="E190" s="122"/>
    </row>
    <row r="191" customFormat="false" ht="16.8" hidden="false" customHeight="false" outlineLevel="0" collapsed="false">
      <c r="A191" s="49" t="s">
        <v>384</v>
      </c>
      <c r="B191" s="20"/>
      <c r="C191" s="34"/>
      <c r="D191" s="34"/>
      <c r="E191" s="122"/>
    </row>
    <row r="192" customFormat="false" ht="16.8" hidden="false" customHeight="false" outlineLevel="0" collapsed="false">
      <c r="A192" s="49" t="s">
        <v>390</v>
      </c>
      <c r="B192" s="20" t="n">
        <v>1700</v>
      </c>
      <c r="C192" s="34"/>
      <c r="D192" s="34"/>
      <c r="E192" s="122"/>
    </row>
    <row r="193" customFormat="false" ht="16.8" hidden="false" customHeight="false" outlineLevel="0" collapsed="false">
      <c r="A193" s="30" t="s">
        <v>11</v>
      </c>
      <c r="B193" s="94" t="n">
        <f aca="false">SUM(B181:B192)</f>
        <v>32300</v>
      </c>
      <c r="C193" s="94" t="n">
        <f aca="false">SUM(C181:C192)</f>
        <v>32300</v>
      </c>
      <c r="D193" s="94" t="n">
        <f aca="false">D181+D182</f>
        <v>0</v>
      </c>
      <c r="E193" s="89" t="n">
        <f aca="false">D193/C193</f>
        <v>0</v>
      </c>
    </row>
    <row r="194" customFormat="false" ht="16.8" hidden="false" customHeight="false" outlineLevel="0" collapsed="false">
      <c r="A194" s="55" t="s">
        <v>421</v>
      </c>
      <c r="B194" s="56"/>
      <c r="C194" s="56"/>
      <c r="D194" s="56"/>
      <c r="E194" s="100"/>
      <c r="F194" s="100"/>
    </row>
    <row r="195" customFormat="false" ht="16.8" hidden="false" customHeight="false" outlineLevel="0" collapsed="false">
      <c r="A195" s="13" t="s">
        <v>20</v>
      </c>
      <c r="B195" s="1"/>
      <c r="C195" s="1"/>
      <c r="D195" s="1"/>
      <c r="E195" s="1"/>
      <c r="F195" s="1"/>
    </row>
    <row r="196" customFormat="false" ht="16.8" hidden="false" customHeight="false" outlineLevel="0" collapsed="false">
      <c r="A196" s="17" t="s">
        <v>13</v>
      </c>
      <c r="B196" s="17" t="s">
        <v>21</v>
      </c>
      <c r="C196" s="18"/>
      <c r="D196" s="18"/>
      <c r="E196" s="18"/>
      <c r="F196" s="39"/>
    </row>
    <row r="197" customFormat="false" ht="33.6" hidden="false" customHeight="false" outlineLevel="0" collapsed="false">
      <c r="A197" s="49" t="s">
        <v>420</v>
      </c>
      <c r="B197" s="20" t="n">
        <v>115250</v>
      </c>
      <c r="C197" s="18"/>
      <c r="D197" s="18"/>
      <c r="E197" s="18"/>
      <c r="F197" s="39"/>
    </row>
    <row r="198" customFormat="false" ht="16.8" hidden="false" customHeight="false" outlineLevel="0" collapsed="false">
      <c r="A198" s="49" t="s">
        <v>432</v>
      </c>
      <c r="B198" s="20"/>
      <c r="C198" s="18"/>
      <c r="D198" s="18"/>
      <c r="E198" s="18"/>
      <c r="F198" s="39"/>
    </row>
    <row r="199" customFormat="false" ht="16.8" hidden="false" customHeight="false" outlineLevel="0" collapsed="false">
      <c r="A199" s="49" t="s">
        <v>403</v>
      </c>
      <c r="B199" s="20" t="n">
        <v>3100</v>
      </c>
      <c r="C199" s="18"/>
      <c r="D199" s="18"/>
      <c r="E199" s="18"/>
      <c r="F199" s="39"/>
    </row>
    <row r="200" customFormat="false" ht="16.8" hidden="false" customHeight="false" outlineLevel="0" collapsed="false">
      <c r="A200" s="49" t="s">
        <v>401</v>
      </c>
      <c r="B200" s="20" t="n">
        <v>920</v>
      </c>
      <c r="C200" s="18"/>
      <c r="D200" s="18"/>
      <c r="E200" s="18"/>
      <c r="F200" s="39"/>
    </row>
    <row r="201" customFormat="false" ht="16.8" hidden="false" customHeight="false" outlineLevel="0" collapsed="false">
      <c r="A201" s="49" t="s">
        <v>433</v>
      </c>
      <c r="B201" s="20" t="n">
        <v>151520</v>
      </c>
      <c r="C201" s="18"/>
      <c r="D201" s="18"/>
      <c r="E201" s="18"/>
      <c r="F201" s="39"/>
    </row>
    <row r="202" customFormat="false" ht="16.8" hidden="false" customHeight="false" outlineLevel="0" collapsed="false">
      <c r="A202" s="49" t="s">
        <v>434</v>
      </c>
      <c r="B202" s="20" t="n">
        <v>8370</v>
      </c>
      <c r="C202" s="18"/>
      <c r="D202" s="18"/>
      <c r="E202" s="18"/>
      <c r="F202" s="39"/>
    </row>
    <row r="203" customFormat="false" ht="16.8" hidden="false" customHeight="false" outlineLevel="0" collapsed="false">
      <c r="A203" s="49" t="s">
        <v>399</v>
      </c>
      <c r="B203" s="20"/>
      <c r="C203" s="18"/>
      <c r="D203" s="18"/>
      <c r="E203" s="18"/>
      <c r="F203" s="39"/>
    </row>
    <row r="204" customFormat="false" ht="16.8" hidden="false" customHeight="false" outlineLevel="0" collapsed="false">
      <c r="A204" s="49" t="s">
        <v>435</v>
      </c>
      <c r="B204" s="20" t="n">
        <v>65100</v>
      </c>
      <c r="C204" s="18"/>
      <c r="D204" s="18"/>
      <c r="E204" s="18"/>
      <c r="F204" s="39"/>
    </row>
    <row r="205" customFormat="false" ht="16.8" hidden="false" customHeight="false" outlineLevel="0" collapsed="false">
      <c r="A205" s="49" t="s">
        <v>436</v>
      </c>
      <c r="B205" s="20" t="n">
        <v>26130</v>
      </c>
      <c r="C205" s="18"/>
      <c r="D205" s="18"/>
      <c r="E205" s="18"/>
      <c r="F205" s="39"/>
    </row>
    <row r="206" customFormat="false" ht="16.8" hidden="false" customHeight="false" outlineLevel="0" collapsed="false">
      <c r="A206" s="49" t="s">
        <v>398</v>
      </c>
      <c r="B206" s="20"/>
      <c r="C206" s="1"/>
      <c r="D206" s="1"/>
      <c r="E206" s="1"/>
      <c r="F206" s="26"/>
    </row>
    <row r="207" customFormat="false" ht="16.8" hidden="false" customHeight="false" outlineLevel="0" collapsed="false">
      <c r="A207" s="49" t="s">
        <v>384</v>
      </c>
      <c r="B207" s="20"/>
      <c r="C207" s="1"/>
      <c r="D207" s="1"/>
      <c r="E207" s="1"/>
      <c r="F207" s="26"/>
    </row>
    <row r="208" customFormat="false" ht="16.8" hidden="false" customHeight="false" outlineLevel="0" collapsed="false">
      <c r="A208" s="49" t="s">
        <v>390</v>
      </c>
      <c r="B208" s="20" t="n">
        <v>10610</v>
      </c>
      <c r="C208" s="1"/>
      <c r="D208" s="1"/>
      <c r="E208" s="1"/>
      <c r="F208" s="26"/>
    </row>
    <row r="209" customFormat="false" ht="16.8" hidden="false" customHeight="false" outlineLevel="0" collapsed="false">
      <c r="A209" s="25" t="s">
        <v>11</v>
      </c>
      <c r="B209" s="35" t="n">
        <f aca="false">SUM(B197:B208)</f>
        <v>381000</v>
      </c>
      <c r="C209" s="1"/>
      <c r="D209" s="45"/>
      <c r="E209" s="45"/>
      <c r="F209" s="26"/>
    </row>
    <row r="210" customFormat="false" ht="13.2" hidden="false" customHeight="false" outlineLevel="0" collapsed="false">
      <c r="A210" s="1"/>
      <c r="B210" s="1"/>
      <c r="C210" s="1"/>
      <c r="D210" s="1"/>
      <c r="E210" s="1"/>
      <c r="F210" s="39"/>
    </row>
    <row r="211" customFormat="false" ht="16.8" hidden="false" customHeight="false" outlineLevel="0" collapsed="false">
      <c r="A211" s="39"/>
      <c r="B211" s="39"/>
      <c r="C211" s="141"/>
      <c r="D211" s="140" t="s">
        <v>396</v>
      </c>
      <c r="E211" s="140"/>
      <c r="F211" s="140"/>
    </row>
    <row r="212" customFormat="false" ht="13.2" hidden="false" customHeight="false" outlineLevel="0" collapsed="false">
      <c r="A212" s="26"/>
      <c r="B212" s="26"/>
      <c r="C212" s="26"/>
      <c r="D212" s="26"/>
      <c r="E212" s="141"/>
      <c r="F212" s="141"/>
    </row>
    <row r="213" customFormat="false" ht="13.2" hidden="false" customHeight="false" outlineLevel="0" collapsed="false">
      <c r="A213" s="26"/>
      <c r="B213" s="26"/>
      <c r="C213" s="26"/>
      <c r="D213" s="26"/>
      <c r="E213" s="26"/>
    </row>
    <row r="214" customFormat="false" ht="13.2" hidden="false" customHeight="false" outlineLevel="0" collapsed="false">
      <c r="A214" s="26"/>
      <c r="B214" s="26"/>
      <c r="C214" s="26"/>
      <c r="D214" s="26"/>
      <c r="E214" s="26"/>
    </row>
    <row r="215" customFormat="false" ht="13.2" hidden="false" customHeight="false" outlineLevel="0" collapsed="false">
      <c r="A215" s="26"/>
      <c r="B215" s="26"/>
      <c r="C215" s="26"/>
      <c r="D215" s="26"/>
      <c r="E215" s="26"/>
    </row>
    <row r="216" customFormat="false" ht="16.8" hidden="false" customHeight="false" outlineLevel="0" collapsed="false">
      <c r="A216" s="26"/>
      <c r="B216" s="26"/>
      <c r="C216" s="26"/>
      <c r="D216" s="140" t="s">
        <v>422</v>
      </c>
      <c r="E216" s="140"/>
      <c r="F216" s="140"/>
    </row>
    <row r="220" customFormat="false" ht="18.6" hidden="false" customHeight="true" outlineLevel="0" collapsed="false">
      <c r="A220" s="118" t="s">
        <v>444</v>
      </c>
      <c r="B220" s="118"/>
      <c r="C220" s="118"/>
      <c r="D220" s="118"/>
      <c r="E220" s="118"/>
      <c r="F220" s="118"/>
    </row>
    <row r="221" customFormat="false" ht="13.8" hidden="false" customHeight="true" outlineLevel="0" collapsed="false">
      <c r="A221" s="119" t="s">
        <v>2</v>
      </c>
      <c r="B221" s="119"/>
      <c r="C221" s="119"/>
      <c r="D221" s="119"/>
      <c r="E221" s="119"/>
      <c r="F221" s="119"/>
    </row>
    <row r="222" customFormat="false" ht="16.8" hidden="false" customHeight="false" outlineLevel="0" collapsed="false">
      <c r="A222" s="13" t="s">
        <v>3</v>
      </c>
      <c r="B222" s="14"/>
      <c r="C222" s="14"/>
      <c r="D222" s="46"/>
      <c r="E222" s="66" t="s">
        <v>4</v>
      </c>
      <c r="F222" s="66"/>
    </row>
    <row r="223" customFormat="false" ht="33.6" hidden="false" customHeight="false" outlineLevel="0" collapsed="false">
      <c r="A223" s="17" t="s">
        <v>5</v>
      </c>
      <c r="B223" s="17" t="s">
        <v>5</v>
      </c>
      <c r="C223" s="17" t="s">
        <v>445</v>
      </c>
      <c r="D223" s="17" t="s">
        <v>7</v>
      </c>
      <c r="E223" s="17" t="s">
        <v>8</v>
      </c>
      <c r="F223" s="150"/>
    </row>
    <row r="224" customFormat="false" ht="16.8" hidden="false" customHeight="false" outlineLevel="0" collapsed="false">
      <c r="A224" s="19" t="s">
        <v>9</v>
      </c>
      <c r="B224" s="20" t="e">
        <f aca="false">E173</f>
        <v>#VALUE!</v>
      </c>
      <c r="C224" s="20"/>
      <c r="D224" s="20"/>
      <c r="E224" s="47" t="e">
        <f aca="false">B224+C224-D224</f>
        <v>#VALUE!</v>
      </c>
    </row>
    <row r="225" customFormat="false" ht="33.6" hidden="false" customHeight="false" outlineLevel="0" collapsed="false">
      <c r="A225" s="97" t="s">
        <v>159</v>
      </c>
      <c r="B225" s="20" t="e">
        <f aca="false">E174</f>
        <v>#VALUE!</v>
      </c>
      <c r="C225" s="20" t="n">
        <v>49430</v>
      </c>
      <c r="D225" s="20"/>
      <c r="E225" s="47" t="e">
        <f aca="false">B225+C225-D225</f>
        <v>#VALUE!</v>
      </c>
    </row>
    <row r="226" customFormat="false" ht="50.4" hidden="false" customHeight="false" outlineLevel="0" collapsed="false">
      <c r="A226" s="97" t="s">
        <v>414</v>
      </c>
      <c r="B226" s="20" t="e">
        <f aca="false">E175</f>
        <v>#VALUE!</v>
      </c>
      <c r="C226" s="20"/>
      <c r="D226" s="20"/>
      <c r="E226" s="47" t="e">
        <f aca="false">B226+C226-D226</f>
        <v>#VALUE!</v>
      </c>
    </row>
    <row r="227" customFormat="false" ht="33.6" hidden="false" customHeight="false" outlineLevel="0" collapsed="false">
      <c r="A227" s="97" t="s">
        <v>202</v>
      </c>
      <c r="B227" s="20" t="e">
        <f aca="false">E176</f>
        <v>#VALUE!</v>
      </c>
      <c r="C227" s="20" t="n">
        <f aca="false">140+490</f>
        <v>630</v>
      </c>
      <c r="D227" s="20"/>
      <c r="E227" s="47" t="e">
        <f aca="false">B227+C227-D227</f>
        <v>#VALUE!</v>
      </c>
    </row>
    <row r="228" customFormat="false" ht="16.8" hidden="false" customHeight="false" outlineLevel="0" collapsed="false">
      <c r="A228" s="19" t="s">
        <v>10</v>
      </c>
      <c r="B228" s="20" t="e">
        <f aca="false">E177</f>
        <v>#VALUE!</v>
      </c>
      <c r="C228" s="20" t="n">
        <v>148335</v>
      </c>
      <c r="D228" s="20"/>
      <c r="E228" s="47" t="e">
        <f aca="false">B228+C228-D228</f>
        <v>#VALUE!</v>
      </c>
    </row>
    <row r="229" customFormat="false" ht="16.8" hidden="false" customHeight="false" outlineLevel="0" collapsed="false">
      <c r="A229" s="21" t="s">
        <v>11</v>
      </c>
      <c r="B229" s="22" t="e">
        <f aca="false">SUM(B224:B228)</f>
        <v>#VALUE!</v>
      </c>
      <c r="C229" s="22" t="n">
        <f aca="false">SUM(C224:C228)</f>
        <v>198395</v>
      </c>
      <c r="D229" s="22" t="n">
        <f aca="false">SUM(D224:D228)</f>
        <v>0</v>
      </c>
      <c r="E229" s="22" t="e">
        <f aca="false">SUM(E224:E228)</f>
        <v>#VALUE!</v>
      </c>
    </row>
    <row r="230" customFormat="false" ht="16.8" hidden="false" customHeight="false" outlineLevel="0" collapsed="false">
      <c r="A230" s="152" t="s">
        <v>446</v>
      </c>
      <c r="B230" s="152"/>
      <c r="C230" s="152"/>
      <c r="D230" s="152"/>
      <c r="E230" s="152"/>
    </row>
    <row r="231" customFormat="false" ht="16.8" hidden="false" customHeight="false" outlineLevel="0" collapsed="false">
      <c r="A231" s="13" t="s">
        <v>12</v>
      </c>
      <c r="B231" s="13"/>
      <c r="C231" s="13"/>
      <c r="D231" s="13"/>
      <c r="E231" s="13"/>
      <c r="F231" s="13"/>
    </row>
    <row r="232" customFormat="false" ht="33.6" hidden="false" customHeight="false" outlineLevel="0" collapsed="false">
      <c r="A232" s="25" t="s">
        <v>13</v>
      </c>
      <c r="B232" s="17" t="s">
        <v>443</v>
      </c>
      <c r="C232" s="17" t="s">
        <v>447</v>
      </c>
      <c r="D232" s="120" t="s">
        <v>418</v>
      </c>
      <c r="E232" s="143" t="s">
        <v>419</v>
      </c>
      <c r="F232" s="120" t="s">
        <v>16</v>
      </c>
    </row>
    <row r="233" customFormat="false" ht="50.4" hidden="false" customHeight="false" outlineLevel="0" collapsed="false">
      <c r="A233" s="49" t="s">
        <v>427</v>
      </c>
      <c r="B233" s="20" t="n">
        <f aca="false">9200+2200</f>
        <v>11400</v>
      </c>
      <c r="C233" s="20" t="n">
        <f aca="false">13250+5400</f>
        <v>18650</v>
      </c>
      <c r="D233" s="19" t="n">
        <f aca="false">+C233+B233</f>
        <v>30050</v>
      </c>
      <c r="E233" s="19"/>
      <c r="F233" s="51" t="n">
        <f aca="false">E233/D233</f>
        <v>0</v>
      </c>
    </row>
    <row r="234" customFormat="false" ht="16.8" hidden="false" customHeight="false" outlineLevel="0" collapsed="false">
      <c r="A234" s="49" t="s">
        <v>432</v>
      </c>
      <c r="B234" s="20"/>
      <c r="C234" s="20"/>
      <c r="D234" s="34" t="n">
        <f aca="false">SUM(B234:C244)</f>
        <v>50600</v>
      </c>
      <c r="E234" s="34"/>
      <c r="F234" s="145" t="n">
        <f aca="false">E234/D234</f>
        <v>0</v>
      </c>
    </row>
    <row r="235" customFormat="false" ht="16.8" hidden="false" customHeight="false" outlineLevel="0" collapsed="false">
      <c r="A235" s="49" t="s">
        <v>403</v>
      </c>
      <c r="B235" s="20"/>
      <c r="C235" s="20"/>
      <c r="D235" s="34"/>
      <c r="E235" s="34"/>
      <c r="F235" s="153"/>
    </row>
    <row r="236" customFormat="false" ht="16.8" hidden="false" customHeight="false" outlineLevel="0" collapsed="false">
      <c r="A236" s="49" t="s">
        <v>401</v>
      </c>
      <c r="B236" s="20"/>
      <c r="C236" s="20" t="n">
        <v>8100</v>
      </c>
      <c r="D236" s="34"/>
      <c r="E236" s="34"/>
      <c r="F236" s="153"/>
    </row>
    <row r="237" customFormat="false" ht="16.8" hidden="false" customHeight="false" outlineLevel="0" collapsed="false">
      <c r="A237" s="49" t="s">
        <v>433</v>
      </c>
      <c r="B237" s="20" t="n">
        <v>7450</v>
      </c>
      <c r="C237" s="20"/>
      <c r="D237" s="34"/>
      <c r="E237" s="34"/>
      <c r="F237" s="153"/>
    </row>
    <row r="238" customFormat="false" ht="16.8" hidden="false" customHeight="false" outlineLevel="0" collapsed="false">
      <c r="A238" s="49" t="s">
        <v>434</v>
      </c>
      <c r="B238" s="20" t="n">
        <v>8370</v>
      </c>
      <c r="C238" s="20"/>
      <c r="D238" s="34"/>
      <c r="E238" s="34"/>
      <c r="F238" s="153"/>
    </row>
    <row r="239" customFormat="false" ht="16.8" hidden="false" customHeight="false" outlineLevel="0" collapsed="false">
      <c r="A239" s="49" t="s">
        <v>399</v>
      </c>
      <c r="B239" s="20"/>
      <c r="C239" s="20" t="n">
        <v>6100</v>
      </c>
      <c r="D239" s="34"/>
      <c r="E239" s="34"/>
      <c r="F239" s="153"/>
    </row>
    <row r="240" customFormat="false" ht="16.8" hidden="false" customHeight="false" outlineLevel="0" collapsed="false">
      <c r="A240" s="49" t="s">
        <v>435</v>
      </c>
      <c r="B240" s="20"/>
      <c r="C240" s="20" t="n">
        <v>4000</v>
      </c>
      <c r="D240" s="34"/>
      <c r="E240" s="34"/>
      <c r="F240" s="153"/>
    </row>
    <row r="241" customFormat="false" ht="16.8" hidden="false" customHeight="false" outlineLevel="0" collapsed="false">
      <c r="A241" s="49" t="s">
        <v>436</v>
      </c>
      <c r="B241" s="20" t="n">
        <v>3380</v>
      </c>
      <c r="C241" s="20" t="n">
        <v>10100</v>
      </c>
      <c r="D241" s="34"/>
      <c r="E241" s="34"/>
      <c r="F241" s="153"/>
    </row>
    <row r="242" customFormat="false" ht="16.8" hidden="false" customHeight="false" outlineLevel="0" collapsed="false">
      <c r="A242" s="49" t="s">
        <v>398</v>
      </c>
      <c r="B242" s="20"/>
      <c r="C242" s="20"/>
      <c r="D242" s="34"/>
      <c r="E242" s="34"/>
      <c r="F242" s="153"/>
    </row>
    <row r="243" customFormat="false" ht="16.8" hidden="false" customHeight="false" outlineLevel="0" collapsed="false">
      <c r="A243" s="49" t="s">
        <v>384</v>
      </c>
      <c r="B243" s="20"/>
      <c r="C243" s="20"/>
      <c r="D243" s="34"/>
      <c r="E243" s="34"/>
      <c r="F243" s="153"/>
    </row>
    <row r="244" customFormat="false" ht="16.8" hidden="false" customHeight="false" outlineLevel="0" collapsed="false">
      <c r="A244" s="49" t="s">
        <v>390</v>
      </c>
      <c r="B244" s="20" t="n">
        <v>1700</v>
      </c>
      <c r="C244" s="20" t="n">
        <v>1400</v>
      </c>
      <c r="D244" s="34"/>
      <c r="E244" s="34"/>
      <c r="F244" s="147"/>
    </row>
    <row r="245" customFormat="false" ht="16.8" hidden="false" customHeight="false" outlineLevel="0" collapsed="false">
      <c r="A245" s="30" t="s">
        <v>11</v>
      </c>
      <c r="B245" s="94" t="n">
        <f aca="false">SUM(B233:B244)</f>
        <v>32300</v>
      </c>
      <c r="C245" s="94" t="n">
        <f aca="false">SUM(C233:C244)</f>
        <v>48350</v>
      </c>
      <c r="D245" s="94" t="n">
        <f aca="false">SUM(D233:D244)</f>
        <v>80650</v>
      </c>
      <c r="E245" s="94" t="n">
        <f aca="false">E233+E234</f>
        <v>0</v>
      </c>
      <c r="F245" s="89" t="n">
        <f aca="false">E245/D245</f>
        <v>0</v>
      </c>
    </row>
    <row r="246" customFormat="false" ht="16.8" hidden="false" customHeight="false" outlineLevel="0" collapsed="false">
      <c r="A246" s="55" t="s">
        <v>421</v>
      </c>
      <c r="B246" s="56"/>
      <c r="C246" s="56"/>
      <c r="D246" s="56"/>
      <c r="E246" s="100"/>
      <c r="F246" s="100"/>
    </row>
    <row r="247" customFormat="false" ht="16.8" hidden="false" customHeight="false" outlineLevel="0" collapsed="false">
      <c r="A247" s="13" t="s">
        <v>20</v>
      </c>
      <c r="B247" s="1"/>
      <c r="C247" s="1"/>
      <c r="D247" s="1"/>
      <c r="E247" s="1"/>
      <c r="F247" s="1"/>
    </row>
    <row r="248" customFormat="false" ht="16.8" hidden="false" customHeight="false" outlineLevel="0" collapsed="false">
      <c r="A248" s="17" t="s">
        <v>13</v>
      </c>
      <c r="B248" s="17" t="s">
        <v>21</v>
      </c>
      <c r="C248" s="18"/>
      <c r="D248" s="18"/>
      <c r="E248" s="18"/>
      <c r="F248" s="39"/>
    </row>
    <row r="249" customFormat="false" ht="33.6" hidden="false" customHeight="false" outlineLevel="0" collapsed="false">
      <c r="A249" s="49" t="s">
        <v>420</v>
      </c>
      <c r="B249" s="20" t="n">
        <v>123900</v>
      </c>
      <c r="C249" s="18"/>
      <c r="D249" s="18"/>
      <c r="E249" s="18"/>
      <c r="F249" s="39"/>
    </row>
    <row r="250" customFormat="false" ht="16.8" hidden="false" customHeight="false" outlineLevel="0" collapsed="false">
      <c r="A250" s="49" t="s">
        <v>432</v>
      </c>
      <c r="B250" s="20"/>
      <c r="C250" s="18"/>
      <c r="D250" s="18"/>
      <c r="E250" s="18"/>
      <c r="F250" s="39"/>
    </row>
    <row r="251" customFormat="false" ht="16.8" hidden="false" customHeight="false" outlineLevel="0" collapsed="false">
      <c r="A251" s="49" t="s">
        <v>403</v>
      </c>
      <c r="B251" s="20" t="n">
        <v>3100</v>
      </c>
      <c r="C251" s="18"/>
      <c r="D251" s="18"/>
      <c r="E251" s="18"/>
      <c r="F251" s="39"/>
    </row>
    <row r="252" customFormat="false" ht="16.8" hidden="false" customHeight="false" outlineLevel="0" collapsed="false">
      <c r="A252" s="49" t="s">
        <v>401</v>
      </c>
      <c r="B252" s="20" t="n">
        <v>9020</v>
      </c>
      <c r="C252" s="18"/>
      <c r="D252" s="18"/>
      <c r="E252" s="18"/>
      <c r="F252" s="39"/>
    </row>
    <row r="253" customFormat="false" ht="16.8" hidden="false" customHeight="false" outlineLevel="0" collapsed="false">
      <c r="A253" s="49" t="s">
        <v>433</v>
      </c>
      <c r="B253" s="20" t="n">
        <v>151520</v>
      </c>
      <c r="C253" s="18"/>
      <c r="D253" s="18"/>
      <c r="E253" s="18"/>
      <c r="F253" s="39"/>
    </row>
    <row r="254" customFormat="false" ht="16.8" hidden="false" customHeight="false" outlineLevel="0" collapsed="false">
      <c r="A254" s="49" t="s">
        <v>434</v>
      </c>
      <c r="B254" s="20" t="n">
        <v>8370</v>
      </c>
      <c r="C254" s="18"/>
      <c r="D254" s="18"/>
      <c r="E254" s="18"/>
      <c r="F254" s="39"/>
    </row>
    <row r="255" customFormat="false" ht="16.8" hidden="false" customHeight="false" outlineLevel="0" collapsed="false">
      <c r="A255" s="49" t="s">
        <v>399</v>
      </c>
      <c r="B255" s="20" t="n">
        <v>6100</v>
      </c>
      <c r="C255" s="18"/>
      <c r="D255" s="18"/>
      <c r="E255" s="18"/>
      <c r="F255" s="39"/>
    </row>
    <row r="256" customFormat="false" ht="16.8" hidden="false" customHeight="false" outlineLevel="0" collapsed="false">
      <c r="A256" s="49" t="s">
        <v>435</v>
      </c>
      <c r="B256" s="20" t="n">
        <v>69100</v>
      </c>
      <c r="C256" s="18"/>
      <c r="D256" s="18"/>
      <c r="E256" s="18"/>
      <c r="F256" s="39"/>
    </row>
    <row r="257" customFormat="false" ht="16.8" hidden="false" customHeight="false" outlineLevel="0" collapsed="false">
      <c r="A257" s="49" t="s">
        <v>436</v>
      </c>
      <c r="B257" s="20" t="n">
        <v>36230</v>
      </c>
      <c r="C257" s="18"/>
      <c r="D257" s="18"/>
      <c r="E257" s="18"/>
      <c r="F257" s="39"/>
    </row>
    <row r="258" customFormat="false" ht="16.8" hidden="false" customHeight="false" outlineLevel="0" collapsed="false">
      <c r="A258" s="49" t="s">
        <v>398</v>
      </c>
      <c r="B258" s="20"/>
      <c r="C258" s="1"/>
      <c r="D258" s="1"/>
      <c r="E258" s="1"/>
      <c r="F258" s="26"/>
    </row>
    <row r="259" customFormat="false" ht="16.8" hidden="false" customHeight="false" outlineLevel="0" collapsed="false">
      <c r="A259" s="49" t="s">
        <v>384</v>
      </c>
      <c r="B259" s="20"/>
      <c r="C259" s="1"/>
      <c r="D259" s="1"/>
      <c r="E259" s="1"/>
      <c r="F259" s="26"/>
    </row>
    <row r="260" customFormat="false" ht="16.8" hidden="false" customHeight="false" outlineLevel="0" collapsed="false">
      <c r="A260" s="49" t="s">
        <v>390</v>
      </c>
      <c r="B260" s="20" t="n">
        <v>12010</v>
      </c>
      <c r="C260" s="1"/>
      <c r="D260" s="1"/>
      <c r="E260" s="1"/>
      <c r="F260" s="26"/>
    </row>
    <row r="261" customFormat="false" ht="16.8" hidden="false" customHeight="false" outlineLevel="0" collapsed="false">
      <c r="A261" s="25" t="s">
        <v>11</v>
      </c>
      <c r="B261" s="35" t="n">
        <f aca="false">SUM(B249:B260)</f>
        <v>419350</v>
      </c>
      <c r="C261" s="1"/>
      <c r="D261" s="45"/>
      <c r="E261" s="45"/>
      <c r="F261" s="26"/>
    </row>
    <row r="262" customFormat="false" ht="13.2" hidden="false" customHeight="false" outlineLevel="0" collapsed="false">
      <c r="A262" s="1"/>
      <c r="B262" s="1"/>
      <c r="C262" s="1"/>
      <c r="D262" s="1"/>
      <c r="E262" s="1"/>
      <c r="F262" s="39"/>
    </row>
    <row r="263" customFormat="false" ht="16.8" hidden="false" customHeight="false" outlineLevel="0" collapsed="false">
      <c r="A263" s="39"/>
      <c r="B263" s="39"/>
      <c r="C263" s="141"/>
      <c r="D263" s="140" t="s">
        <v>396</v>
      </c>
      <c r="E263" s="140"/>
      <c r="F263" s="140"/>
    </row>
    <row r="264" customFormat="false" ht="13.2" hidden="false" customHeight="false" outlineLevel="0" collapsed="false">
      <c r="A264" s="26"/>
      <c r="B264" s="26"/>
      <c r="C264" s="26"/>
      <c r="D264" s="26"/>
      <c r="E264" s="141"/>
      <c r="F264" s="141"/>
    </row>
    <row r="265" customFormat="false" ht="13.2" hidden="false" customHeight="false" outlineLevel="0" collapsed="false">
      <c r="A265" s="26"/>
      <c r="B265" s="26"/>
      <c r="C265" s="26"/>
      <c r="D265" s="26"/>
      <c r="E265" s="26"/>
    </row>
    <row r="266" customFormat="false" ht="13.2" hidden="false" customHeight="false" outlineLevel="0" collapsed="false">
      <c r="A266" s="26"/>
      <c r="B266" s="26"/>
      <c r="C266" s="26"/>
      <c r="D266" s="26"/>
      <c r="E266" s="26"/>
    </row>
    <row r="267" customFormat="false" ht="13.2" hidden="false" customHeight="false" outlineLevel="0" collapsed="false">
      <c r="A267" s="26"/>
      <c r="B267" s="26"/>
      <c r="C267" s="26"/>
      <c r="D267" s="26"/>
      <c r="E267" s="26"/>
    </row>
    <row r="268" customFormat="false" ht="16.8" hidden="false" customHeight="false" outlineLevel="0" collapsed="false">
      <c r="A268" s="26"/>
      <c r="B268" s="26"/>
      <c r="C268" s="26"/>
      <c r="D268" s="140" t="s">
        <v>422</v>
      </c>
      <c r="E268" s="140"/>
      <c r="F268" s="140"/>
    </row>
    <row r="271" customFormat="false" ht="18.6" hidden="false" customHeight="true" outlineLevel="0" collapsed="false">
      <c r="A271" s="118" t="s">
        <v>448</v>
      </c>
      <c r="B271" s="118"/>
      <c r="C271" s="118"/>
      <c r="D271" s="118"/>
      <c r="E271" s="118"/>
      <c r="F271" s="118"/>
    </row>
    <row r="272" customFormat="false" ht="13.8" hidden="false" customHeight="true" outlineLevel="0" collapsed="false">
      <c r="A272" s="119" t="s">
        <v>2</v>
      </c>
      <c r="B272" s="119"/>
      <c r="C272" s="119"/>
      <c r="D272" s="119"/>
      <c r="E272" s="119"/>
      <c r="F272" s="119"/>
    </row>
    <row r="273" customFormat="false" ht="16.8" hidden="false" customHeight="false" outlineLevel="0" collapsed="false">
      <c r="A273" s="13" t="s">
        <v>3</v>
      </c>
      <c r="B273" s="14"/>
      <c r="C273" s="14"/>
      <c r="D273" s="46"/>
      <c r="E273" s="66" t="s">
        <v>4</v>
      </c>
      <c r="F273" s="66"/>
    </row>
    <row r="274" customFormat="false" ht="33.6" hidden="false" customHeight="false" outlineLevel="0" collapsed="false">
      <c r="A274" s="17" t="s">
        <v>5</v>
      </c>
      <c r="B274" s="17" t="s">
        <v>5</v>
      </c>
      <c r="C274" s="17" t="s">
        <v>449</v>
      </c>
      <c r="D274" s="17" t="s">
        <v>7</v>
      </c>
      <c r="E274" s="17" t="s">
        <v>8</v>
      </c>
      <c r="F274" s="150"/>
    </row>
    <row r="275" customFormat="false" ht="16.8" hidden="false" customHeight="false" outlineLevel="0" collapsed="false">
      <c r="A275" s="19" t="s">
        <v>9</v>
      </c>
      <c r="B275" s="20" t="e">
        <f aca="false">E224</f>
        <v>#VALUE!</v>
      </c>
      <c r="C275" s="20" t="n">
        <v>985</v>
      </c>
      <c r="D275" s="20"/>
      <c r="E275" s="47" t="e">
        <f aca="false">B275+C275-D275</f>
        <v>#VALUE!</v>
      </c>
    </row>
    <row r="276" customFormat="false" ht="33.6" hidden="false" customHeight="false" outlineLevel="0" collapsed="false">
      <c r="A276" s="97" t="s">
        <v>159</v>
      </c>
      <c r="B276" s="20" t="e">
        <f aca="false">E225</f>
        <v>#VALUE!</v>
      </c>
      <c r="C276" s="20" t="n">
        <v>54805</v>
      </c>
      <c r="D276" s="20"/>
      <c r="E276" s="47" t="e">
        <f aca="false">B276+C276-D276</f>
        <v>#VALUE!</v>
      </c>
    </row>
    <row r="277" customFormat="false" ht="50.4" hidden="false" customHeight="false" outlineLevel="0" collapsed="false">
      <c r="A277" s="97" t="s">
        <v>414</v>
      </c>
      <c r="B277" s="20" t="e">
        <f aca="false">E226</f>
        <v>#VALUE!</v>
      </c>
      <c r="C277" s="20"/>
      <c r="D277" s="20"/>
      <c r="E277" s="47" t="e">
        <f aca="false">B277+C277-D277</f>
        <v>#VALUE!</v>
      </c>
    </row>
    <row r="278" customFormat="false" ht="33.6" hidden="false" customHeight="false" outlineLevel="0" collapsed="false">
      <c r="A278" s="97" t="s">
        <v>202</v>
      </c>
      <c r="B278" s="20" t="e">
        <f aca="false">E227</f>
        <v>#VALUE!</v>
      </c>
      <c r="C278" s="20" t="n">
        <v>205</v>
      </c>
      <c r="D278" s="20"/>
      <c r="E278" s="47" t="e">
        <f aca="false">B278+C278-D278</f>
        <v>#VALUE!</v>
      </c>
    </row>
    <row r="279" customFormat="false" ht="16.8" hidden="false" customHeight="false" outlineLevel="0" collapsed="false">
      <c r="A279" s="19" t="s">
        <v>10</v>
      </c>
      <c r="B279" s="20" t="e">
        <f aca="false">E228</f>
        <v>#VALUE!</v>
      </c>
      <c r="C279" s="20" t="n">
        <f aca="false">55573-C275</f>
        <v>54588</v>
      </c>
      <c r="D279" s="20"/>
      <c r="E279" s="47" t="e">
        <f aca="false">B279+C279-D279</f>
        <v>#VALUE!</v>
      </c>
    </row>
    <row r="280" customFormat="false" ht="16.8" hidden="false" customHeight="false" outlineLevel="0" collapsed="false">
      <c r="A280" s="21" t="s">
        <v>11</v>
      </c>
      <c r="B280" s="22" t="e">
        <f aca="false">SUM(B275:B279)</f>
        <v>#VALUE!</v>
      </c>
      <c r="C280" s="22" t="n">
        <f aca="false">SUM(C275:C279)</f>
        <v>110583</v>
      </c>
      <c r="D280" s="22" t="n">
        <f aca="false">SUM(D275:D279)</f>
        <v>0</v>
      </c>
      <c r="E280" s="22" t="e">
        <f aca="false">SUM(E275:E279)</f>
        <v>#VALUE!</v>
      </c>
    </row>
    <row r="281" customFormat="false" ht="16.8" hidden="false" customHeight="false" outlineLevel="0" collapsed="false">
      <c r="A281" s="152" t="s">
        <v>446</v>
      </c>
      <c r="B281" s="152"/>
      <c r="C281" s="152"/>
      <c r="D281" s="152"/>
      <c r="E281" s="152"/>
    </row>
    <row r="282" customFormat="false" ht="16.8" hidden="false" customHeight="false" outlineLevel="0" collapsed="false">
      <c r="A282" s="13" t="s">
        <v>12</v>
      </c>
      <c r="B282" s="13"/>
      <c r="C282" s="13"/>
      <c r="D282" s="13"/>
      <c r="E282" s="13"/>
      <c r="F282" s="13"/>
    </row>
    <row r="283" customFormat="false" ht="33.6" hidden="false" customHeight="false" outlineLevel="0" collapsed="false">
      <c r="A283" s="25" t="s">
        <v>13</v>
      </c>
      <c r="B283" s="17" t="s">
        <v>450</v>
      </c>
      <c r="C283" s="17" t="s">
        <v>451</v>
      </c>
      <c r="D283" s="120" t="s">
        <v>418</v>
      </c>
      <c r="E283" s="143" t="s">
        <v>419</v>
      </c>
      <c r="F283" s="120" t="s">
        <v>16</v>
      </c>
    </row>
    <row r="284" customFormat="false" ht="50.4" hidden="false" customHeight="false" outlineLevel="0" collapsed="false">
      <c r="A284" s="49" t="s">
        <v>427</v>
      </c>
      <c r="B284" s="20" t="n">
        <f aca="false">B233+C233</f>
        <v>30050</v>
      </c>
      <c r="C284" s="20" t="n">
        <v>14750</v>
      </c>
      <c r="D284" s="19" t="n">
        <f aca="false">+C284+B284</f>
        <v>44800</v>
      </c>
      <c r="E284" s="19"/>
      <c r="F284" s="51" t="n">
        <f aca="false">E284/D284</f>
        <v>0</v>
      </c>
    </row>
    <row r="285" customFormat="false" ht="16.8" hidden="false" customHeight="false" outlineLevel="0" collapsed="false">
      <c r="A285" s="49" t="s">
        <v>432</v>
      </c>
      <c r="B285" s="20" t="n">
        <f aca="false">B234+C234</f>
        <v>0</v>
      </c>
      <c r="C285" s="20"/>
      <c r="D285" s="34" t="n">
        <f aca="false">SUM(B285:C295)</f>
        <v>78930</v>
      </c>
      <c r="E285" s="34"/>
      <c r="F285" s="145" t="n">
        <f aca="false">E285/D285</f>
        <v>0</v>
      </c>
    </row>
    <row r="286" customFormat="false" ht="16.8" hidden="false" customHeight="false" outlineLevel="0" collapsed="false">
      <c r="A286" s="49" t="s">
        <v>403</v>
      </c>
      <c r="B286" s="20" t="n">
        <f aca="false">B235+C235</f>
        <v>0</v>
      </c>
      <c r="C286" s="20"/>
      <c r="D286" s="34"/>
      <c r="E286" s="34"/>
      <c r="F286" s="153"/>
    </row>
    <row r="287" customFormat="false" ht="16.8" hidden="false" customHeight="false" outlineLevel="0" collapsed="false">
      <c r="A287" s="49" t="s">
        <v>401</v>
      </c>
      <c r="B287" s="20" t="n">
        <f aca="false">B236+C236</f>
        <v>8100</v>
      </c>
      <c r="C287" s="20" t="n">
        <v>6810</v>
      </c>
      <c r="D287" s="34"/>
      <c r="E287" s="34"/>
      <c r="F287" s="153"/>
    </row>
    <row r="288" customFormat="false" ht="16.8" hidden="false" customHeight="false" outlineLevel="0" collapsed="false">
      <c r="A288" s="49" t="s">
        <v>433</v>
      </c>
      <c r="B288" s="20" t="n">
        <f aca="false">B237+C237</f>
        <v>7450</v>
      </c>
      <c r="C288" s="20" t="n">
        <v>6000</v>
      </c>
      <c r="D288" s="34"/>
      <c r="E288" s="34"/>
      <c r="F288" s="153"/>
    </row>
    <row r="289" customFormat="false" ht="16.8" hidden="false" customHeight="false" outlineLevel="0" collapsed="false">
      <c r="A289" s="49" t="s">
        <v>434</v>
      </c>
      <c r="B289" s="20" t="n">
        <f aca="false">B238+C238</f>
        <v>8370</v>
      </c>
      <c r="C289" s="20"/>
      <c r="D289" s="34"/>
      <c r="E289" s="34"/>
      <c r="F289" s="153"/>
    </row>
    <row r="290" customFormat="false" ht="16.8" hidden="false" customHeight="false" outlineLevel="0" collapsed="false">
      <c r="A290" s="49" t="s">
        <v>399</v>
      </c>
      <c r="B290" s="20" t="n">
        <f aca="false">B239+C239</f>
        <v>6100</v>
      </c>
      <c r="C290" s="20" t="n">
        <v>3600</v>
      </c>
      <c r="D290" s="34"/>
      <c r="E290" s="34"/>
      <c r="F290" s="153"/>
    </row>
    <row r="291" customFormat="false" ht="16.8" hidden="false" customHeight="false" outlineLevel="0" collapsed="false">
      <c r="A291" s="49" t="s">
        <v>435</v>
      </c>
      <c r="B291" s="20" t="n">
        <f aca="false">B240+C240</f>
        <v>4000</v>
      </c>
      <c r="C291" s="20" t="n">
        <v>3600</v>
      </c>
      <c r="D291" s="34"/>
      <c r="E291" s="34"/>
      <c r="F291" s="153"/>
    </row>
    <row r="292" customFormat="false" ht="16.8" hidden="false" customHeight="false" outlineLevel="0" collapsed="false">
      <c r="A292" s="49" t="s">
        <v>436</v>
      </c>
      <c r="B292" s="20" t="n">
        <v>13450</v>
      </c>
      <c r="C292" s="20" t="n">
        <v>6300</v>
      </c>
      <c r="D292" s="34"/>
      <c r="E292" s="34"/>
      <c r="F292" s="153"/>
    </row>
    <row r="293" customFormat="false" ht="16.8" hidden="false" customHeight="false" outlineLevel="0" collapsed="false">
      <c r="A293" s="49" t="s">
        <v>398</v>
      </c>
      <c r="B293" s="20" t="n">
        <f aca="false">B242+C242</f>
        <v>0</v>
      </c>
      <c r="C293" s="20"/>
      <c r="D293" s="34"/>
      <c r="E293" s="34"/>
      <c r="F293" s="153"/>
    </row>
    <row r="294" customFormat="false" ht="16.8" hidden="false" customHeight="false" outlineLevel="0" collapsed="false">
      <c r="A294" s="49" t="s">
        <v>384</v>
      </c>
      <c r="B294" s="20" t="n">
        <f aca="false">B243+C243</f>
        <v>0</v>
      </c>
      <c r="C294" s="20"/>
      <c r="D294" s="34"/>
      <c r="E294" s="34"/>
      <c r="F294" s="153"/>
    </row>
    <row r="295" customFormat="false" ht="16.8" hidden="false" customHeight="false" outlineLevel="0" collapsed="false">
      <c r="A295" s="49" t="s">
        <v>390</v>
      </c>
      <c r="B295" s="20" t="n">
        <v>3100</v>
      </c>
      <c r="C295" s="20" t="n">
        <v>2050</v>
      </c>
      <c r="D295" s="34"/>
      <c r="E295" s="34"/>
      <c r="F295" s="147"/>
    </row>
    <row r="296" customFormat="false" ht="16.8" hidden="false" customHeight="false" outlineLevel="0" collapsed="false">
      <c r="A296" s="30" t="s">
        <v>11</v>
      </c>
      <c r="B296" s="94" t="n">
        <f aca="false">SUM(B284:B295)</f>
        <v>80620</v>
      </c>
      <c r="C296" s="94" t="n">
        <f aca="false">SUM(C284:C295)</f>
        <v>43110</v>
      </c>
      <c r="D296" s="94" t="n">
        <f aca="false">SUM(D284:D295)</f>
        <v>123730</v>
      </c>
      <c r="E296" s="94" t="n">
        <f aca="false">E284+E285</f>
        <v>0</v>
      </c>
      <c r="F296" s="89" t="n">
        <f aca="false">E296/D296</f>
        <v>0</v>
      </c>
    </row>
    <row r="297" customFormat="false" ht="16.8" hidden="false" customHeight="false" outlineLevel="0" collapsed="false">
      <c r="A297" s="55" t="s">
        <v>421</v>
      </c>
      <c r="B297" s="56"/>
      <c r="C297" s="56"/>
      <c r="D297" s="56"/>
      <c r="E297" s="100"/>
      <c r="F297" s="100"/>
    </row>
    <row r="298" customFormat="false" ht="16.8" hidden="false" customHeight="false" outlineLevel="0" collapsed="false">
      <c r="A298" s="13" t="s">
        <v>20</v>
      </c>
      <c r="B298" s="1"/>
      <c r="C298" s="1"/>
      <c r="D298" s="1"/>
      <c r="E298" s="1"/>
      <c r="F298" s="1"/>
    </row>
    <row r="299" customFormat="false" ht="16.8" hidden="false" customHeight="false" outlineLevel="0" collapsed="false">
      <c r="A299" s="17" t="s">
        <v>13</v>
      </c>
      <c r="B299" s="17" t="s">
        <v>21</v>
      </c>
      <c r="C299" s="18"/>
      <c r="D299" s="18"/>
      <c r="E299" s="18"/>
      <c r="F299" s="39"/>
    </row>
    <row r="300" customFormat="false" ht="33.6" hidden="false" customHeight="false" outlineLevel="0" collapsed="false">
      <c r="A300" s="49" t="s">
        <v>420</v>
      </c>
      <c r="B300" s="20" t="n">
        <v>138650</v>
      </c>
      <c r="C300" s="18"/>
      <c r="D300" s="18"/>
      <c r="E300" s="18"/>
      <c r="F300" s="39"/>
    </row>
    <row r="301" customFormat="false" ht="16.8" hidden="false" customHeight="false" outlineLevel="0" collapsed="false">
      <c r="A301" s="49" t="s">
        <v>432</v>
      </c>
      <c r="B301" s="20"/>
      <c r="C301" s="18"/>
      <c r="D301" s="18"/>
      <c r="E301" s="18"/>
      <c r="F301" s="39"/>
    </row>
    <row r="302" customFormat="false" ht="16.8" hidden="false" customHeight="false" outlineLevel="0" collapsed="false">
      <c r="A302" s="49" t="s">
        <v>403</v>
      </c>
      <c r="B302" s="20" t="n">
        <v>100</v>
      </c>
      <c r="C302" s="18"/>
      <c r="D302" s="18"/>
      <c r="E302" s="18"/>
      <c r="F302" s="39"/>
    </row>
    <row r="303" customFormat="false" ht="16.8" hidden="false" customHeight="false" outlineLevel="0" collapsed="false">
      <c r="A303" s="49" t="s">
        <v>401</v>
      </c>
      <c r="B303" s="20" t="n">
        <v>6810</v>
      </c>
      <c r="C303" s="18"/>
      <c r="D303" s="18"/>
      <c r="E303" s="18"/>
      <c r="F303" s="39"/>
    </row>
    <row r="304" customFormat="false" ht="16.8" hidden="false" customHeight="false" outlineLevel="0" collapsed="false">
      <c r="A304" s="49" t="s">
        <v>433</v>
      </c>
      <c r="B304" s="20" t="n">
        <v>180390</v>
      </c>
      <c r="C304" s="18"/>
      <c r="D304" s="18"/>
      <c r="E304" s="18"/>
      <c r="F304" s="39"/>
    </row>
    <row r="305" customFormat="false" ht="16.8" hidden="false" customHeight="false" outlineLevel="0" collapsed="false">
      <c r="A305" s="49" t="s">
        <v>434</v>
      </c>
      <c r="B305" s="20" t="n">
        <v>8370</v>
      </c>
      <c r="C305" s="18"/>
      <c r="D305" s="18"/>
      <c r="E305" s="18"/>
      <c r="F305" s="39"/>
    </row>
    <row r="306" customFormat="false" ht="16.8" hidden="false" customHeight="false" outlineLevel="0" collapsed="false">
      <c r="A306" s="49" t="s">
        <v>399</v>
      </c>
      <c r="B306" s="20" t="n">
        <v>5100</v>
      </c>
      <c r="C306" s="18"/>
      <c r="D306" s="18"/>
      <c r="E306" s="18"/>
      <c r="F306" s="39"/>
    </row>
    <row r="307" customFormat="false" ht="16.8" hidden="false" customHeight="false" outlineLevel="0" collapsed="false">
      <c r="A307" s="49" t="s">
        <v>435</v>
      </c>
      <c r="B307" s="20" t="n">
        <v>66450</v>
      </c>
      <c r="C307" s="18"/>
      <c r="D307" s="18"/>
      <c r="E307" s="18"/>
      <c r="F307" s="39"/>
    </row>
    <row r="308" customFormat="false" ht="16.8" hidden="false" customHeight="false" outlineLevel="0" collapsed="false">
      <c r="A308" s="49" t="s">
        <v>436</v>
      </c>
      <c r="B308" s="20" t="n">
        <v>42500</v>
      </c>
      <c r="C308" s="18"/>
      <c r="D308" s="18"/>
      <c r="E308" s="18"/>
      <c r="F308" s="39"/>
    </row>
    <row r="309" customFormat="false" ht="16.8" hidden="false" customHeight="false" outlineLevel="0" collapsed="false">
      <c r="A309" s="49" t="s">
        <v>398</v>
      </c>
      <c r="B309" s="20"/>
      <c r="C309" s="1"/>
      <c r="D309" s="1"/>
      <c r="E309" s="1"/>
      <c r="F309" s="26"/>
    </row>
    <row r="310" customFormat="false" ht="16.8" hidden="false" customHeight="false" outlineLevel="0" collapsed="false">
      <c r="A310" s="49" t="s">
        <v>384</v>
      </c>
      <c r="B310" s="20"/>
      <c r="C310" s="1"/>
      <c r="D310" s="1"/>
      <c r="E310" s="1"/>
      <c r="F310" s="26"/>
    </row>
    <row r="311" customFormat="false" ht="16.8" hidden="false" customHeight="false" outlineLevel="0" collapsed="false">
      <c r="A311" s="49" t="s">
        <v>390</v>
      </c>
      <c r="B311" s="20" t="n">
        <v>14060</v>
      </c>
      <c r="C311" s="1"/>
      <c r="D311" s="1"/>
      <c r="E311" s="1"/>
      <c r="F311" s="26"/>
    </row>
    <row r="312" customFormat="false" ht="16.8" hidden="false" customHeight="false" outlineLevel="0" collapsed="false">
      <c r="A312" s="25" t="s">
        <v>11</v>
      </c>
      <c r="B312" s="35" t="n">
        <f aca="false">SUM(B300:B311)</f>
        <v>462430</v>
      </c>
      <c r="C312" s="1"/>
      <c r="D312" s="45"/>
      <c r="E312" s="45"/>
      <c r="F312" s="26"/>
    </row>
    <row r="313" customFormat="false" ht="13.2" hidden="false" customHeight="false" outlineLevel="0" collapsed="false">
      <c r="A313" s="1"/>
      <c r="B313" s="1"/>
      <c r="C313" s="1"/>
      <c r="D313" s="1"/>
      <c r="E313" s="1"/>
      <c r="F313" s="39"/>
    </row>
    <row r="314" customFormat="false" ht="16.8" hidden="false" customHeight="false" outlineLevel="0" collapsed="false">
      <c r="A314" s="39"/>
      <c r="B314" s="39"/>
      <c r="C314" s="141"/>
      <c r="D314" s="140" t="s">
        <v>396</v>
      </c>
      <c r="E314" s="140"/>
      <c r="F314" s="140"/>
    </row>
    <row r="315" customFormat="false" ht="13.2" hidden="false" customHeight="false" outlineLevel="0" collapsed="false">
      <c r="A315" s="26"/>
      <c r="B315" s="26"/>
      <c r="C315" s="26"/>
      <c r="D315" s="26"/>
      <c r="E315" s="141"/>
      <c r="F315" s="141"/>
    </row>
    <row r="316" customFormat="false" ht="13.2" hidden="false" customHeight="false" outlineLevel="0" collapsed="false">
      <c r="A316" s="26"/>
      <c r="B316" s="26"/>
      <c r="C316" s="26"/>
      <c r="D316" s="26"/>
      <c r="E316" s="26"/>
    </row>
    <row r="317" customFormat="false" ht="13.2" hidden="false" customHeight="false" outlineLevel="0" collapsed="false">
      <c r="A317" s="26"/>
      <c r="B317" s="26"/>
      <c r="C317" s="26"/>
      <c r="D317" s="26"/>
      <c r="E317" s="26"/>
    </row>
    <row r="318" customFormat="false" ht="13.2" hidden="false" customHeight="false" outlineLevel="0" collapsed="false">
      <c r="A318" s="26"/>
      <c r="B318" s="26"/>
      <c r="C318" s="26"/>
      <c r="D318" s="26"/>
      <c r="E318" s="26"/>
    </row>
    <row r="319" customFormat="false" ht="16.8" hidden="false" customHeight="false" outlineLevel="0" collapsed="false">
      <c r="A319" s="26"/>
      <c r="B319" s="26"/>
      <c r="C319" s="26"/>
      <c r="D319" s="140" t="s">
        <v>422</v>
      </c>
      <c r="E319" s="140"/>
      <c r="F319" s="140"/>
    </row>
    <row r="323" customFormat="false" ht="18.6" hidden="false" customHeight="true" outlineLevel="0" collapsed="false">
      <c r="A323" s="118" t="s">
        <v>452</v>
      </c>
      <c r="B323" s="118"/>
      <c r="C323" s="118"/>
      <c r="D323" s="118"/>
      <c r="E323" s="118"/>
      <c r="F323" s="118"/>
    </row>
    <row r="324" customFormat="false" ht="13.8" hidden="false" customHeight="true" outlineLevel="0" collapsed="false">
      <c r="A324" s="119" t="s">
        <v>2</v>
      </c>
      <c r="B324" s="119"/>
      <c r="C324" s="119"/>
      <c r="D324" s="119"/>
      <c r="E324" s="119"/>
      <c r="F324" s="119"/>
    </row>
    <row r="325" customFormat="false" ht="16.8" hidden="false" customHeight="false" outlineLevel="0" collapsed="false">
      <c r="A325" s="13" t="s">
        <v>3</v>
      </c>
      <c r="B325" s="14"/>
      <c r="C325" s="14"/>
      <c r="D325" s="46"/>
      <c r="E325" s="66" t="s">
        <v>4</v>
      </c>
      <c r="F325" s="66"/>
    </row>
    <row r="326" customFormat="false" ht="33.6" hidden="false" customHeight="false" outlineLevel="0" collapsed="false">
      <c r="A326" s="17" t="s">
        <v>5</v>
      </c>
      <c r="B326" s="17" t="s">
        <v>5</v>
      </c>
      <c r="C326" s="17" t="s">
        <v>453</v>
      </c>
      <c r="D326" s="17" t="s">
        <v>7</v>
      </c>
      <c r="E326" s="17" t="s">
        <v>8</v>
      </c>
      <c r="F326" s="150"/>
    </row>
    <row r="327" customFormat="false" ht="16.8" hidden="false" customHeight="false" outlineLevel="0" collapsed="false">
      <c r="A327" s="19" t="s">
        <v>9</v>
      </c>
      <c r="B327" s="20" t="e">
        <f aca="false">E275</f>
        <v>#VALUE!</v>
      </c>
      <c r="C327" s="20"/>
      <c r="D327" s="20" t="n">
        <v>985</v>
      </c>
      <c r="E327" s="47" t="e">
        <f aca="false">B327+C327-D327</f>
        <v>#VALUE!</v>
      </c>
    </row>
    <row r="328" customFormat="false" ht="33.6" hidden="false" customHeight="false" outlineLevel="0" collapsed="false">
      <c r="A328" s="97" t="s">
        <v>159</v>
      </c>
      <c r="B328" s="20" t="e">
        <f aca="false">E276</f>
        <v>#VALUE!</v>
      </c>
      <c r="C328" s="20" t="n">
        <v>47590</v>
      </c>
      <c r="D328" s="20" t="n">
        <v>190535</v>
      </c>
      <c r="E328" s="47" t="e">
        <f aca="false">B328+C328-D328</f>
        <v>#VALUE!</v>
      </c>
    </row>
    <row r="329" customFormat="false" ht="50.4" hidden="false" customHeight="false" outlineLevel="0" collapsed="false">
      <c r="A329" s="97" t="s">
        <v>414</v>
      </c>
      <c r="B329" s="20" t="e">
        <f aca="false">E277</f>
        <v>#VALUE!</v>
      </c>
      <c r="C329" s="20"/>
      <c r="D329" s="20"/>
      <c r="E329" s="47" t="e">
        <f aca="false">B329+C329-D329</f>
        <v>#VALUE!</v>
      </c>
    </row>
    <row r="330" customFormat="false" ht="33.6" hidden="false" customHeight="false" outlineLevel="0" collapsed="false">
      <c r="A330" s="97" t="s">
        <v>202</v>
      </c>
      <c r="B330" s="20" t="e">
        <f aca="false">E278</f>
        <v>#VALUE!</v>
      </c>
      <c r="C330" s="20" t="n">
        <v>315</v>
      </c>
      <c r="D330" s="20" t="n">
        <v>10450</v>
      </c>
      <c r="E330" s="47" t="e">
        <f aca="false">B330+C330-D330</f>
        <v>#VALUE!</v>
      </c>
    </row>
    <row r="331" customFormat="false" ht="16.8" hidden="false" customHeight="false" outlineLevel="0" collapsed="false">
      <c r="A331" s="19" t="s">
        <v>10</v>
      </c>
      <c r="B331" s="20" t="e">
        <f aca="false">E279</f>
        <v>#VALUE!</v>
      </c>
      <c r="C331" s="20" t="n">
        <v>38206</v>
      </c>
      <c r="D331" s="20" t="n">
        <v>314499</v>
      </c>
      <c r="E331" s="47" t="e">
        <f aca="false">B331+C331-D331</f>
        <v>#VALUE!</v>
      </c>
    </row>
    <row r="332" customFormat="false" ht="16.8" hidden="false" customHeight="false" outlineLevel="0" collapsed="false">
      <c r="A332" s="21" t="s">
        <v>11</v>
      </c>
      <c r="B332" s="22" t="e">
        <f aca="false">SUM(B327:B331)</f>
        <v>#VALUE!</v>
      </c>
      <c r="C332" s="22" t="n">
        <f aca="false">SUM(C327:C331)</f>
        <v>86111</v>
      </c>
      <c r="D332" s="22" t="n">
        <f aca="false">SUM(D327:D331)</f>
        <v>516469</v>
      </c>
      <c r="E332" s="22" t="e">
        <f aca="false">SUM(E327:E331)</f>
        <v>#VALUE!</v>
      </c>
    </row>
    <row r="333" customFormat="false" ht="16.8" hidden="false" customHeight="false" outlineLevel="0" collapsed="false">
      <c r="A333" s="152" t="s">
        <v>446</v>
      </c>
      <c r="B333" s="152"/>
      <c r="C333" s="152"/>
      <c r="D333" s="152"/>
      <c r="E333" s="152"/>
    </row>
    <row r="334" customFormat="false" ht="16.8" hidden="false" customHeight="false" outlineLevel="0" collapsed="false">
      <c r="A334" s="13" t="s">
        <v>12</v>
      </c>
      <c r="B334" s="13"/>
      <c r="C334" s="13"/>
      <c r="D334" s="13"/>
      <c r="E334" s="13"/>
      <c r="F334" s="13"/>
    </row>
    <row r="335" customFormat="false" ht="33.6" hidden="false" customHeight="false" outlineLevel="0" collapsed="false">
      <c r="A335" s="25" t="s">
        <v>13</v>
      </c>
      <c r="B335" s="17" t="s">
        <v>454</v>
      </c>
      <c r="C335" s="17" t="s">
        <v>455</v>
      </c>
      <c r="D335" s="120" t="s">
        <v>418</v>
      </c>
      <c r="E335" s="143" t="s">
        <v>419</v>
      </c>
      <c r="F335" s="120" t="s">
        <v>16</v>
      </c>
    </row>
    <row r="336" customFormat="false" ht="50.4" hidden="false" customHeight="false" outlineLevel="0" collapsed="false">
      <c r="A336" s="49" t="s">
        <v>427</v>
      </c>
      <c r="B336" s="20" t="n">
        <f aca="false">B284+C284</f>
        <v>44800</v>
      </c>
      <c r="C336" s="20" t="n">
        <v>18950</v>
      </c>
      <c r="D336" s="19" t="n">
        <f aca="false">+C336+B336</f>
        <v>63750</v>
      </c>
      <c r="E336" s="19" t="n">
        <f aca="false">D327+D328</f>
        <v>191520</v>
      </c>
      <c r="F336" s="51" t="n">
        <f aca="false">E336/D336</f>
        <v>3.00423529411765</v>
      </c>
    </row>
    <row r="337" customFormat="false" ht="16.8" hidden="false" customHeight="false" outlineLevel="0" collapsed="false">
      <c r="A337" s="49" t="s">
        <v>432</v>
      </c>
      <c r="B337" s="20" t="n">
        <f aca="false">B285+C285</f>
        <v>0</v>
      </c>
      <c r="C337" s="20"/>
      <c r="D337" s="34" t="n">
        <f aca="false">SUM(B337:C347)</f>
        <v>92030</v>
      </c>
      <c r="E337" s="34" t="n">
        <f aca="false">D330+D331</f>
        <v>324949</v>
      </c>
      <c r="F337" s="122" t="n">
        <f aca="false">E337/D337</f>
        <v>3.53090296642399</v>
      </c>
    </row>
    <row r="338" customFormat="false" ht="16.8" hidden="false" customHeight="false" outlineLevel="0" collapsed="false">
      <c r="A338" s="49" t="s">
        <v>403</v>
      </c>
      <c r="B338" s="20" t="n">
        <f aca="false">B286+C286</f>
        <v>0</v>
      </c>
      <c r="C338" s="20"/>
      <c r="D338" s="34"/>
      <c r="E338" s="34"/>
      <c r="F338" s="122"/>
    </row>
    <row r="339" customFormat="false" ht="16.8" hidden="false" customHeight="false" outlineLevel="0" collapsed="false">
      <c r="A339" s="49" t="s">
        <v>401</v>
      </c>
      <c r="B339" s="20" t="n">
        <f aca="false">B287+C287</f>
        <v>14910</v>
      </c>
      <c r="C339" s="20"/>
      <c r="D339" s="34"/>
      <c r="E339" s="34"/>
      <c r="F339" s="122"/>
    </row>
    <row r="340" customFormat="false" ht="16.8" hidden="false" customHeight="false" outlineLevel="0" collapsed="false">
      <c r="A340" s="49" t="s">
        <v>433</v>
      </c>
      <c r="B340" s="20" t="n">
        <f aca="false">B288+C288</f>
        <v>13450</v>
      </c>
      <c r="C340" s="20"/>
      <c r="D340" s="34"/>
      <c r="E340" s="34"/>
      <c r="F340" s="122"/>
    </row>
    <row r="341" customFormat="false" ht="16.8" hidden="false" customHeight="false" outlineLevel="0" collapsed="false">
      <c r="A341" s="49" t="s">
        <v>434</v>
      </c>
      <c r="B341" s="20" t="n">
        <f aca="false">B289+C289</f>
        <v>8370</v>
      </c>
      <c r="C341" s="20"/>
      <c r="D341" s="34"/>
      <c r="E341" s="34"/>
      <c r="F341" s="122"/>
    </row>
    <row r="342" customFormat="false" ht="16.8" hidden="false" customHeight="false" outlineLevel="0" collapsed="false">
      <c r="A342" s="49" t="s">
        <v>399</v>
      </c>
      <c r="B342" s="20" t="n">
        <f aca="false">B290+C290</f>
        <v>9700</v>
      </c>
      <c r="C342" s="20"/>
      <c r="D342" s="34"/>
      <c r="E342" s="34"/>
      <c r="F342" s="122"/>
    </row>
    <row r="343" customFormat="false" ht="16.8" hidden="false" customHeight="false" outlineLevel="0" collapsed="false">
      <c r="A343" s="49" t="s">
        <v>435</v>
      </c>
      <c r="B343" s="20" t="n">
        <f aca="false">B291+C291</f>
        <v>7600</v>
      </c>
      <c r="C343" s="20" t="n">
        <v>10100</v>
      </c>
      <c r="D343" s="34"/>
      <c r="E343" s="34"/>
      <c r="F343" s="122"/>
    </row>
    <row r="344" customFormat="false" ht="16.8" hidden="false" customHeight="false" outlineLevel="0" collapsed="false">
      <c r="A344" s="49" t="s">
        <v>436</v>
      </c>
      <c r="B344" s="20" t="n">
        <f aca="false">B292+C292</f>
        <v>19750</v>
      </c>
      <c r="C344" s="20" t="n">
        <v>900</v>
      </c>
      <c r="D344" s="34"/>
      <c r="E344" s="34"/>
      <c r="F344" s="122"/>
    </row>
    <row r="345" customFormat="false" ht="16.8" hidden="false" customHeight="false" outlineLevel="0" collapsed="false">
      <c r="A345" s="49" t="s">
        <v>398</v>
      </c>
      <c r="B345" s="20" t="n">
        <f aca="false">B293+C293</f>
        <v>0</v>
      </c>
      <c r="C345" s="20"/>
      <c r="D345" s="34"/>
      <c r="E345" s="34"/>
      <c r="F345" s="122"/>
    </row>
    <row r="346" customFormat="false" ht="16.8" hidden="false" customHeight="false" outlineLevel="0" collapsed="false">
      <c r="A346" s="49" t="s">
        <v>384</v>
      </c>
      <c r="B346" s="20" t="n">
        <f aca="false">B294+C294</f>
        <v>0</v>
      </c>
      <c r="C346" s="20"/>
      <c r="D346" s="34"/>
      <c r="E346" s="34"/>
      <c r="F346" s="122"/>
    </row>
    <row r="347" customFormat="false" ht="16.8" hidden="false" customHeight="false" outlineLevel="0" collapsed="false">
      <c r="A347" s="49" t="s">
        <v>390</v>
      </c>
      <c r="B347" s="20" t="n">
        <f aca="false">B295+C295</f>
        <v>5150</v>
      </c>
      <c r="C347" s="20" t="n">
        <v>2100</v>
      </c>
      <c r="D347" s="34"/>
      <c r="E347" s="34"/>
      <c r="F347" s="122"/>
    </row>
    <row r="348" customFormat="false" ht="16.8" hidden="false" customHeight="false" outlineLevel="0" collapsed="false">
      <c r="A348" s="30" t="s">
        <v>11</v>
      </c>
      <c r="B348" s="94" t="n">
        <f aca="false">SUM(B336:B347)</f>
        <v>123730</v>
      </c>
      <c r="C348" s="94" t="n">
        <f aca="false">SUM(C336:C347)</f>
        <v>32050</v>
      </c>
      <c r="D348" s="94" t="n">
        <f aca="false">SUM(D336:D347)</f>
        <v>155780</v>
      </c>
      <c r="E348" s="94" t="n">
        <f aca="false">E336+E337</f>
        <v>516469</v>
      </c>
      <c r="F348" s="89" t="n">
        <f aca="false">E348/D348</f>
        <v>3.31537424573116</v>
      </c>
    </row>
    <row r="349" customFormat="false" ht="16.8" hidden="false" customHeight="false" outlineLevel="0" collapsed="false">
      <c r="A349" s="55" t="s">
        <v>421</v>
      </c>
      <c r="B349" s="56"/>
      <c r="C349" s="56"/>
      <c r="D349" s="56"/>
      <c r="E349" s="100"/>
      <c r="F349" s="100"/>
    </row>
    <row r="350" customFormat="false" ht="16.8" hidden="false" customHeight="false" outlineLevel="0" collapsed="false">
      <c r="A350" s="13" t="s">
        <v>20</v>
      </c>
      <c r="B350" s="1"/>
      <c r="C350" s="1"/>
      <c r="D350" s="1"/>
      <c r="E350" s="1"/>
      <c r="F350" s="1"/>
    </row>
    <row r="351" customFormat="false" ht="16.8" hidden="false" customHeight="false" outlineLevel="0" collapsed="false">
      <c r="A351" s="17" t="s">
        <v>13</v>
      </c>
      <c r="B351" s="17" t="s">
        <v>21</v>
      </c>
      <c r="C351" s="18"/>
      <c r="D351" s="18"/>
      <c r="E351" s="18"/>
      <c r="F351" s="39"/>
    </row>
    <row r="352" customFormat="false" ht="33.6" hidden="false" customHeight="false" outlineLevel="0" collapsed="false">
      <c r="A352" s="49" t="s">
        <v>420</v>
      </c>
      <c r="B352" s="20" t="n">
        <v>157600</v>
      </c>
      <c r="C352" s="18"/>
      <c r="D352" s="18"/>
      <c r="E352" s="18"/>
      <c r="F352" s="39"/>
    </row>
    <row r="353" customFormat="false" ht="16.8" hidden="false" customHeight="false" outlineLevel="0" collapsed="false">
      <c r="A353" s="49" t="s">
        <v>432</v>
      </c>
      <c r="B353" s="20"/>
      <c r="C353" s="18"/>
      <c r="D353" s="18"/>
      <c r="E353" s="18"/>
      <c r="F353" s="39"/>
    </row>
    <row r="354" customFormat="false" ht="16.8" hidden="false" customHeight="false" outlineLevel="0" collapsed="false">
      <c r="A354" s="49" t="s">
        <v>403</v>
      </c>
      <c r="B354" s="20" t="n">
        <v>100</v>
      </c>
      <c r="C354" s="18"/>
      <c r="D354" s="18"/>
      <c r="E354" s="18"/>
      <c r="F354" s="39"/>
    </row>
    <row r="355" customFormat="false" ht="16.8" hidden="false" customHeight="false" outlineLevel="0" collapsed="false">
      <c r="A355" s="49" t="s">
        <v>401</v>
      </c>
      <c r="B355" s="20" t="n">
        <v>6810</v>
      </c>
      <c r="C355" s="18"/>
      <c r="D355" s="18"/>
      <c r="E355" s="18"/>
      <c r="F355" s="39"/>
    </row>
    <row r="356" customFormat="false" ht="16.8" hidden="false" customHeight="false" outlineLevel="0" collapsed="false">
      <c r="A356" s="49" t="s">
        <v>433</v>
      </c>
      <c r="B356" s="20" t="n">
        <f aca="false">180390+15000</f>
        <v>195390</v>
      </c>
      <c r="C356" s="18"/>
      <c r="D356" s="18"/>
      <c r="E356" s="18"/>
      <c r="F356" s="39"/>
    </row>
    <row r="357" customFormat="false" ht="16.8" hidden="false" customHeight="false" outlineLevel="0" collapsed="false">
      <c r="A357" s="49" t="s">
        <v>434</v>
      </c>
      <c r="B357" s="20" t="n">
        <v>8370</v>
      </c>
      <c r="C357" s="18"/>
      <c r="D357" s="18"/>
      <c r="E357" s="18"/>
      <c r="F357" s="39"/>
    </row>
    <row r="358" customFormat="false" ht="16.8" hidden="false" customHeight="false" outlineLevel="0" collapsed="false">
      <c r="A358" s="49" t="s">
        <v>399</v>
      </c>
      <c r="B358" s="20" t="n">
        <v>5100</v>
      </c>
      <c r="C358" s="18"/>
      <c r="D358" s="18"/>
      <c r="E358" s="18"/>
      <c r="F358" s="39"/>
    </row>
    <row r="359" customFormat="false" ht="16.8" hidden="false" customHeight="false" outlineLevel="0" collapsed="false">
      <c r="A359" s="49" t="s">
        <v>435</v>
      </c>
      <c r="B359" s="20" t="n">
        <v>76550</v>
      </c>
      <c r="C359" s="18"/>
      <c r="D359" s="18"/>
      <c r="E359" s="18"/>
      <c r="F359" s="39"/>
    </row>
    <row r="360" customFormat="false" ht="16.8" hidden="false" customHeight="false" outlineLevel="0" collapsed="false">
      <c r="A360" s="49" t="s">
        <v>436</v>
      </c>
      <c r="B360" s="20" t="n">
        <v>43400</v>
      </c>
      <c r="C360" s="18"/>
      <c r="D360" s="18"/>
      <c r="E360" s="18"/>
      <c r="F360" s="39"/>
    </row>
    <row r="361" customFormat="false" ht="16.8" hidden="false" customHeight="false" outlineLevel="0" collapsed="false">
      <c r="A361" s="49" t="s">
        <v>398</v>
      </c>
      <c r="B361" s="20"/>
      <c r="C361" s="1"/>
      <c r="D361" s="1"/>
      <c r="E361" s="1"/>
      <c r="F361" s="26"/>
    </row>
    <row r="362" customFormat="false" ht="16.8" hidden="false" customHeight="false" outlineLevel="0" collapsed="false">
      <c r="A362" s="49" t="s">
        <v>384</v>
      </c>
      <c r="B362" s="20"/>
      <c r="C362" s="1"/>
      <c r="D362" s="1"/>
      <c r="E362" s="1"/>
      <c r="F362" s="26"/>
    </row>
    <row r="363" customFormat="false" ht="16.8" hidden="false" customHeight="false" outlineLevel="0" collapsed="false">
      <c r="A363" s="49" t="s">
        <v>390</v>
      </c>
      <c r="B363" s="20" t="n">
        <v>16160</v>
      </c>
      <c r="C363" s="1"/>
      <c r="D363" s="1"/>
      <c r="E363" s="1"/>
      <c r="F363" s="26"/>
    </row>
    <row r="364" customFormat="false" ht="16.8" hidden="false" customHeight="false" outlineLevel="0" collapsed="false">
      <c r="A364" s="25" t="s">
        <v>11</v>
      </c>
      <c r="B364" s="35" t="n">
        <f aca="false">SUM(B352:B363)</f>
        <v>509480</v>
      </c>
      <c r="C364" s="1"/>
      <c r="D364" s="45"/>
      <c r="E364" s="45"/>
      <c r="F364" s="26"/>
    </row>
    <row r="365" customFormat="false" ht="13.2" hidden="false" customHeight="false" outlineLevel="0" collapsed="false">
      <c r="A365" s="1"/>
      <c r="B365" s="1"/>
      <c r="C365" s="1"/>
      <c r="D365" s="1"/>
      <c r="E365" s="1"/>
      <c r="F365" s="39"/>
    </row>
    <row r="366" customFormat="false" ht="16.8" hidden="false" customHeight="false" outlineLevel="0" collapsed="false">
      <c r="A366" s="39"/>
      <c r="B366" s="39"/>
      <c r="C366" s="141"/>
      <c r="D366" s="140" t="s">
        <v>396</v>
      </c>
      <c r="E366" s="140"/>
      <c r="F366" s="140"/>
    </row>
    <row r="367" customFormat="false" ht="13.2" hidden="false" customHeight="false" outlineLevel="0" collapsed="false">
      <c r="A367" s="26"/>
      <c r="B367" s="26"/>
      <c r="C367" s="26"/>
      <c r="D367" s="26"/>
      <c r="E367" s="141"/>
      <c r="F367" s="141"/>
    </row>
    <row r="368" customFormat="false" ht="13.2" hidden="false" customHeight="false" outlineLevel="0" collapsed="false">
      <c r="A368" s="26"/>
      <c r="B368" s="26"/>
      <c r="C368" s="26"/>
      <c r="D368" s="26"/>
      <c r="E368" s="26"/>
    </row>
    <row r="369" customFormat="false" ht="13.2" hidden="false" customHeight="false" outlineLevel="0" collapsed="false">
      <c r="A369" s="26"/>
      <c r="B369" s="26"/>
      <c r="C369" s="26"/>
      <c r="D369" s="26"/>
      <c r="E369" s="26"/>
    </row>
    <row r="370" customFormat="false" ht="13.2" hidden="false" customHeight="false" outlineLevel="0" collapsed="false">
      <c r="A370" s="26"/>
      <c r="B370" s="26"/>
      <c r="C370" s="26"/>
      <c r="D370" s="26"/>
      <c r="E370" s="26"/>
    </row>
    <row r="371" customFormat="false" ht="16.8" hidden="false" customHeight="false" outlineLevel="0" collapsed="false">
      <c r="A371" s="26"/>
      <c r="B371" s="26"/>
      <c r="C371" s="26"/>
      <c r="D371" s="140" t="s">
        <v>422</v>
      </c>
      <c r="E371" s="140"/>
      <c r="F371" s="140"/>
    </row>
    <row r="374" customFormat="false" ht="18.6" hidden="false" customHeight="true" outlineLevel="0" collapsed="false">
      <c r="A374" s="118" t="s">
        <v>456</v>
      </c>
      <c r="B374" s="118"/>
      <c r="C374" s="118"/>
      <c r="D374" s="118"/>
      <c r="E374" s="118"/>
      <c r="F374" s="118"/>
    </row>
    <row r="375" customFormat="false" ht="13.8" hidden="false" customHeight="true" outlineLevel="0" collapsed="false">
      <c r="A375" s="119" t="s">
        <v>2</v>
      </c>
      <c r="B375" s="119"/>
      <c r="C375" s="119"/>
      <c r="D375" s="119"/>
      <c r="E375" s="119"/>
      <c r="F375" s="119"/>
    </row>
    <row r="376" customFormat="false" ht="16.8" hidden="false" customHeight="false" outlineLevel="0" collapsed="false">
      <c r="A376" s="13" t="s">
        <v>3</v>
      </c>
      <c r="B376" s="14"/>
      <c r="C376" s="14"/>
      <c r="D376" s="46"/>
      <c r="E376" s="66" t="s">
        <v>4</v>
      </c>
      <c r="F376" s="66"/>
    </row>
    <row r="377" customFormat="false" ht="33.6" hidden="false" customHeight="false" outlineLevel="0" collapsed="false">
      <c r="A377" s="17" t="s">
        <v>5</v>
      </c>
      <c r="B377" s="17" t="s">
        <v>5</v>
      </c>
      <c r="C377" s="17" t="s">
        <v>457</v>
      </c>
      <c r="D377" s="17" t="s">
        <v>7</v>
      </c>
      <c r="E377" s="17" t="s">
        <v>8</v>
      </c>
      <c r="F377" s="150"/>
    </row>
    <row r="378" customFormat="false" ht="16.8" hidden="false" customHeight="false" outlineLevel="0" collapsed="false">
      <c r="A378" s="19" t="s">
        <v>9</v>
      </c>
      <c r="B378" s="20"/>
      <c r="C378" s="20"/>
      <c r="D378" s="20"/>
      <c r="E378" s="47" t="n">
        <f aca="false">B378+C378-D378</f>
        <v>0</v>
      </c>
    </row>
    <row r="379" customFormat="false" ht="33.6" hidden="false" customHeight="false" outlineLevel="0" collapsed="false">
      <c r="A379" s="97" t="s">
        <v>159</v>
      </c>
      <c r="B379" s="20"/>
      <c r="C379" s="20" t="n">
        <v>49260</v>
      </c>
      <c r="D379" s="20"/>
      <c r="E379" s="47" t="n">
        <f aca="false">B379+C379-D379</f>
        <v>49260</v>
      </c>
    </row>
    <row r="380" customFormat="false" ht="50.4" hidden="false" customHeight="false" outlineLevel="0" collapsed="false">
      <c r="A380" s="97" t="s">
        <v>414</v>
      </c>
      <c r="B380" s="20"/>
      <c r="C380" s="20"/>
      <c r="D380" s="20"/>
      <c r="E380" s="47" t="n">
        <f aca="false">B380+C380-D380</f>
        <v>0</v>
      </c>
    </row>
    <row r="381" customFormat="false" ht="33.6" hidden="false" customHeight="false" outlineLevel="0" collapsed="false">
      <c r="A381" s="97" t="s">
        <v>202</v>
      </c>
      <c r="B381" s="20"/>
      <c r="C381" s="20" t="n">
        <f aca="false">155+620</f>
        <v>775</v>
      </c>
      <c r="D381" s="20"/>
      <c r="E381" s="47" t="n">
        <f aca="false">B381+C381-D381</f>
        <v>775</v>
      </c>
    </row>
    <row r="382" customFormat="false" ht="16.8" hidden="false" customHeight="false" outlineLevel="0" collapsed="false">
      <c r="A382" s="19" t="s">
        <v>10</v>
      </c>
      <c r="B382" s="20"/>
      <c r="C382" s="20" t="n">
        <v>12504</v>
      </c>
      <c r="D382" s="20"/>
      <c r="E382" s="47" t="n">
        <f aca="false">B382+C382-D382</f>
        <v>12504</v>
      </c>
    </row>
    <row r="383" customFormat="false" ht="16.8" hidden="false" customHeight="false" outlineLevel="0" collapsed="false">
      <c r="A383" s="21" t="s">
        <v>11</v>
      </c>
      <c r="B383" s="22" t="n">
        <f aca="false">SUM(B378:B382)</f>
        <v>0</v>
      </c>
      <c r="C383" s="22" t="n">
        <f aca="false">SUM(C378:C382)</f>
        <v>62539</v>
      </c>
      <c r="D383" s="22" t="n">
        <f aca="false">SUM(D378:D382)</f>
        <v>0</v>
      </c>
      <c r="E383" s="22" t="n">
        <f aca="false">SUM(E378:E382)</f>
        <v>62539</v>
      </c>
    </row>
    <row r="384" customFormat="false" ht="16.8" hidden="false" customHeight="false" outlineLevel="0" collapsed="false">
      <c r="A384" s="152" t="s">
        <v>446</v>
      </c>
      <c r="B384" s="152"/>
      <c r="C384" s="152"/>
      <c r="D384" s="152"/>
      <c r="E384" s="152"/>
    </row>
    <row r="385" customFormat="false" ht="16.8" hidden="false" customHeight="false" outlineLevel="0" collapsed="false">
      <c r="A385" s="13" t="s">
        <v>12</v>
      </c>
      <c r="B385" s="13"/>
      <c r="C385" s="13"/>
      <c r="D385" s="13"/>
      <c r="E385" s="13"/>
      <c r="F385" s="13"/>
    </row>
    <row r="386" customFormat="false" ht="33.6" hidden="false" customHeight="false" outlineLevel="0" collapsed="false">
      <c r="A386" s="25" t="s">
        <v>13</v>
      </c>
      <c r="B386" s="17" t="s">
        <v>458</v>
      </c>
      <c r="C386" s="120" t="s">
        <v>418</v>
      </c>
      <c r="D386" s="143" t="s">
        <v>419</v>
      </c>
      <c r="E386" s="120" t="s">
        <v>16</v>
      </c>
    </row>
    <row r="387" customFormat="false" ht="50.4" hidden="false" customHeight="false" outlineLevel="0" collapsed="false">
      <c r="A387" s="49" t="s">
        <v>427</v>
      </c>
      <c r="B387" s="20" t="n">
        <f aca="false">1750+10800</f>
        <v>12550</v>
      </c>
      <c r="C387" s="19" t="n">
        <f aca="false">+B387</f>
        <v>12550</v>
      </c>
      <c r="D387" s="19" t="n">
        <f aca="false">D378+D379</f>
        <v>0</v>
      </c>
      <c r="E387" s="51" t="n">
        <f aca="false">D387/C387</f>
        <v>0</v>
      </c>
    </row>
    <row r="388" customFormat="false" ht="16.8" hidden="false" customHeight="false" outlineLevel="0" collapsed="false">
      <c r="A388" s="49" t="s">
        <v>432</v>
      </c>
      <c r="B388" s="20"/>
      <c r="C388" s="34" t="n">
        <f aca="false">SUM(B388:B398)</f>
        <v>3200</v>
      </c>
      <c r="D388" s="34" t="n">
        <f aca="false">D381+D382</f>
        <v>0</v>
      </c>
      <c r="E388" s="122" t="n">
        <f aca="false">D388/C388</f>
        <v>0</v>
      </c>
    </row>
    <row r="389" customFormat="false" ht="16.8" hidden="false" customHeight="false" outlineLevel="0" collapsed="false">
      <c r="A389" s="49" t="s">
        <v>403</v>
      </c>
      <c r="B389" s="20"/>
      <c r="C389" s="34"/>
      <c r="D389" s="34"/>
      <c r="E389" s="122"/>
    </row>
    <row r="390" customFormat="false" ht="16.8" hidden="false" customHeight="false" outlineLevel="0" collapsed="false">
      <c r="A390" s="49" t="s">
        <v>401</v>
      </c>
      <c r="B390" s="20"/>
      <c r="C390" s="34"/>
      <c r="D390" s="34"/>
      <c r="E390" s="122"/>
    </row>
    <row r="391" customFormat="false" ht="16.8" hidden="false" customHeight="false" outlineLevel="0" collapsed="false">
      <c r="A391" s="49" t="s">
        <v>433</v>
      </c>
      <c r="B391" s="20"/>
      <c r="C391" s="34"/>
      <c r="D391" s="34"/>
      <c r="E391" s="122"/>
    </row>
    <row r="392" customFormat="false" ht="16.8" hidden="false" customHeight="false" outlineLevel="0" collapsed="false">
      <c r="A392" s="49" t="s">
        <v>434</v>
      </c>
      <c r="B392" s="20"/>
      <c r="C392" s="34"/>
      <c r="D392" s="34"/>
      <c r="E392" s="122"/>
    </row>
    <row r="393" customFormat="false" ht="16.8" hidden="false" customHeight="false" outlineLevel="0" collapsed="false">
      <c r="A393" s="49" t="s">
        <v>399</v>
      </c>
      <c r="B393" s="20"/>
      <c r="C393" s="34"/>
      <c r="D393" s="34"/>
      <c r="E393" s="122"/>
    </row>
    <row r="394" customFormat="false" ht="16.8" hidden="false" customHeight="false" outlineLevel="0" collapsed="false">
      <c r="A394" s="49" t="s">
        <v>435</v>
      </c>
      <c r="B394" s="20" t="n">
        <v>2000</v>
      </c>
      <c r="C394" s="34"/>
      <c r="D394" s="34"/>
      <c r="E394" s="122"/>
    </row>
    <row r="395" customFormat="false" ht="16.8" hidden="false" customHeight="false" outlineLevel="0" collapsed="false">
      <c r="A395" s="49" t="s">
        <v>436</v>
      </c>
      <c r="B395" s="20"/>
      <c r="C395" s="34"/>
      <c r="D395" s="34"/>
      <c r="E395" s="122"/>
    </row>
    <row r="396" customFormat="false" ht="16.8" hidden="false" customHeight="false" outlineLevel="0" collapsed="false">
      <c r="A396" s="49" t="s">
        <v>398</v>
      </c>
      <c r="B396" s="20"/>
      <c r="C396" s="34"/>
      <c r="D396" s="34"/>
      <c r="E396" s="122"/>
    </row>
    <row r="397" customFormat="false" ht="16.8" hidden="false" customHeight="false" outlineLevel="0" collapsed="false">
      <c r="A397" s="49" t="s">
        <v>384</v>
      </c>
      <c r="B397" s="20"/>
      <c r="C397" s="34"/>
      <c r="D397" s="34"/>
      <c r="E397" s="122"/>
    </row>
    <row r="398" customFormat="false" ht="16.8" hidden="false" customHeight="false" outlineLevel="0" collapsed="false">
      <c r="A398" s="49" t="s">
        <v>390</v>
      </c>
      <c r="B398" s="20" t="n">
        <v>1200</v>
      </c>
      <c r="C398" s="34"/>
      <c r="D398" s="34"/>
      <c r="E398" s="122"/>
    </row>
    <row r="399" customFormat="false" ht="16.8" hidden="false" customHeight="false" outlineLevel="0" collapsed="false">
      <c r="A399" s="30" t="s">
        <v>11</v>
      </c>
      <c r="B399" s="94" t="n">
        <f aca="false">SUM(B387:B398)</f>
        <v>15750</v>
      </c>
      <c r="C399" s="94" t="n">
        <f aca="false">SUM(C387:C398)</f>
        <v>15750</v>
      </c>
      <c r="D399" s="94" t="n">
        <f aca="false">D387+D388</f>
        <v>0</v>
      </c>
      <c r="E399" s="89" t="n">
        <f aca="false">D399/C399</f>
        <v>0</v>
      </c>
    </row>
    <row r="400" customFormat="false" ht="16.8" hidden="false" customHeight="false" outlineLevel="0" collapsed="false">
      <c r="A400" s="55" t="s">
        <v>421</v>
      </c>
      <c r="B400" s="56"/>
      <c r="C400" s="56"/>
      <c r="D400" s="56"/>
      <c r="E400" s="100"/>
      <c r="F400" s="100"/>
    </row>
    <row r="401" customFormat="false" ht="16.8" hidden="false" customHeight="false" outlineLevel="0" collapsed="false">
      <c r="A401" s="13" t="s">
        <v>20</v>
      </c>
      <c r="B401" s="1"/>
      <c r="C401" s="1"/>
      <c r="D401" s="1"/>
      <c r="E401" s="1"/>
      <c r="F401" s="1"/>
    </row>
    <row r="402" customFormat="false" ht="16.8" hidden="false" customHeight="false" outlineLevel="0" collapsed="false">
      <c r="A402" s="17" t="s">
        <v>13</v>
      </c>
      <c r="B402" s="17" t="s">
        <v>21</v>
      </c>
      <c r="C402" s="18"/>
      <c r="D402" s="18"/>
      <c r="E402" s="18"/>
      <c r="F402" s="39"/>
    </row>
    <row r="403" customFormat="false" ht="33.6" hidden="false" customHeight="false" outlineLevel="0" collapsed="false">
      <c r="A403" s="49" t="s">
        <v>420</v>
      </c>
      <c r="B403" s="20" t="n">
        <v>170150</v>
      </c>
      <c r="C403" s="18"/>
      <c r="D403" s="18"/>
      <c r="E403" s="18"/>
      <c r="F403" s="39"/>
    </row>
    <row r="404" customFormat="false" ht="16.8" hidden="false" customHeight="false" outlineLevel="0" collapsed="false">
      <c r="A404" s="49" t="s">
        <v>432</v>
      </c>
      <c r="B404" s="20"/>
      <c r="C404" s="18"/>
      <c r="D404" s="18"/>
      <c r="E404" s="18"/>
      <c r="F404" s="39"/>
    </row>
    <row r="405" customFormat="false" ht="16.8" hidden="false" customHeight="false" outlineLevel="0" collapsed="false">
      <c r="A405" s="49" t="s">
        <v>403</v>
      </c>
      <c r="B405" s="20" t="n">
        <v>100</v>
      </c>
      <c r="C405" s="18"/>
      <c r="D405" s="18"/>
      <c r="E405" s="18"/>
      <c r="F405" s="39"/>
    </row>
    <row r="406" customFormat="false" ht="16.8" hidden="false" customHeight="false" outlineLevel="0" collapsed="false">
      <c r="A406" s="49" t="s">
        <v>401</v>
      </c>
      <c r="B406" s="20" t="n">
        <v>6810</v>
      </c>
      <c r="C406" s="18"/>
      <c r="D406" s="18"/>
      <c r="E406" s="18"/>
      <c r="F406" s="39"/>
    </row>
    <row r="407" customFormat="false" ht="16.8" hidden="false" customHeight="false" outlineLevel="0" collapsed="false">
      <c r="A407" s="49" t="s">
        <v>433</v>
      </c>
      <c r="B407" s="20" t="n">
        <f aca="false">5390+15000</f>
        <v>20390</v>
      </c>
      <c r="C407" s="18"/>
      <c r="D407" s="18"/>
      <c r="E407" s="18"/>
      <c r="F407" s="39"/>
    </row>
    <row r="408" customFormat="false" ht="16.8" hidden="false" customHeight="false" outlineLevel="0" collapsed="false">
      <c r="A408" s="49" t="s">
        <v>434</v>
      </c>
      <c r="B408" s="20" t="n">
        <v>8370</v>
      </c>
      <c r="C408" s="18"/>
      <c r="D408" s="18"/>
      <c r="E408" s="18"/>
      <c r="F408" s="39"/>
    </row>
    <row r="409" customFormat="false" ht="16.8" hidden="false" customHeight="false" outlineLevel="0" collapsed="false">
      <c r="A409" s="49" t="s">
        <v>399</v>
      </c>
      <c r="B409" s="20" t="n">
        <v>5100</v>
      </c>
      <c r="C409" s="18"/>
      <c r="D409" s="18"/>
      <c r="E409" s="18"/>
      <c r="F409" s="39"/>
    </row>
    <row r="410" customFormat="false" ht="16.8" hidden="false" customHeight="false" outlineLevel="0" collapsed="false">
      <c r="A410" s="49" t="s">
        <v>435</v>
      </c>
      <c r="B410" s="20" t="n">
        <v>76550</v>
      </c>
      <c r="C410" s="18"/>
      <c r="D410" s="18"/>
      <c r="E410" s="18"/>
      <c r="F410" s="39"/>
    </row>
    <row r="411" customFormat="false" ht="16.8" hidden="false" customHeight="false" outlineLevel="0" collapsed="false">
      <c r="A411" s="49" t="s">
        <v>436</v>
      </c>
      <c r="B411" s="20" t="n">
        <v>45400</v>
      </c>
      <c r="C411" s="18"/>
      <c r="D411" s="18"/>
      <c r="E411" s="18"/>
      <c r="F411" s="39"/>
    </row>
    <row r="412" customFormat="false" ht="16.8" hidden="false" customHeight="false" outlineLevel="0" collapsed="false">
      <c r="A412" s="49" t="s">
        <v>398</v>
      </c>
      <c r="B412" s="20"/>
      <c r="C412" s="1"/>
      <c r="D412" s="1"/>
      <c r="E412" s="1"/>
      <c r="F412" s="26"/>
    </row>
    <row r="413" customFormat="false" ht="16.8" hidden="false" customHeight="false" outlineLevel="0" collapsed="false">
      <c r="A413" s="49" t="s">
        <v>384</v>
      </c>
      <c r="B413" s="20"/>
      <c r="C413" s="1"/>
      <c r="D413" s="1"/>
      <c r="E413" s="1"/>
      <c r="F413" s="26"/>
    </row>
    <row r="414" customFormat="false" ht="16.8" hidden="false" customHeight="false" outlineLevel="0" collapsed="false">
      <c r="A414" s="49" t="s">
        <v>390</v>
      </c>
      <c r="B414" s="20" t="n">
        <v>17360</v>
      </c>
      <c r="C414" s="1"/>
      <c r="D414" s="1"/>
      <c r="E414" s="1"/>
      <c r="F414" s="26"/>
    </row>
    <row r="415" customFormat="false" ht="16.8" hidden="false" customHeight="false" outlineLevel="0" collapsed="false">
      <c r="A415" s="25" t="s">
        <v>11</v>
      </c>
      <c r="B415" s="35" t="n">
        <f aca="false">SUM(B403:B414)</f>
        <v>350230</v>
      </c>
      <c r="C415" s="1"/>
      <c r="D415" s="45"/>
      <c r="E415" s="45"/>
      <c r="F415" s="26"/>
    </row>
    <row r="416" customFormat="false" ht="13.2" hidden="false" customHeight="false" outlineLevel="0" collapsed="false">
      <c r="A416" s="1"/>
      <c r="B416" s="1"/>
      <c r="C416" s="1"/>
      <c r="D416" s="1"/>
      <c r="E416" s="1"/>
      <c r="F416" s="39"/>
    </row>
    <row r="417" customFormat="false" ht="16.8" hidden="false" customHeight="false" outlineLevel="0" collapsed="false">
      <c r="A417" s="39"/>
      <c r="B417" s="39"/>
      <c r="C417" s="141"/>
      <c r="D417" s="140" t="s">
        <v>396</v>
      </c>
      <c r="E417" s="140"/>
      <c r="F417" s="140"/>
    </row>
    <row r="418" customFormat="false" ht="13.2" hidden="false" customHeight="false" outlineLevel="0" collapsed="false">
      <c r="A418" s="26"/>
      <c r="B418" s="26"/>
      <c r="C418" s="26"/>
      <c r="D418" s="26"/>
      <c r="E418" s="141"/>
      <c r="F418" s="141"/>
    </row>
    <row r="419" customFormat="false" ht="13.2" hidden="false" customHeight="false" outlineLevel="0" collapsed="false">
      <c r="A419" s="26"/>
      <c r="B419" s="26"/>
      <c r="C419" s="26"/>
      <c r="D419" s="26"/>
      <c r="E419" s="26"/>
    </row>
    <row r="420" customFormat="false" ht="13.2" hidden="false" customHeight="false" outlineLevel="0" collapsed="false">
      <c r="A420" s="26"/>
      <c r="B420" s="26"/>
      <c r="C420" s="26"/>
      <c r="D420" s="26"/>
      <c r="E420" s="26"/>
    </row>
    <row r="421" customFormat="false" ht="13.2" hidden="false" customHeight="false" outlineLevel="0" collapsed="false">
      <c r="A421" s="26"/>
      <c r="B421" s="26"/>
      <c r="C421" s="26"/>
      <c r="D421" s="26"/>
      <c r="E421" s="26"/>
    </row>
    <row r="422" customFormat="false" ht="16.8" hidden="false" customHeight="false" outlineLevel="0" collapsed="false">
      <c r="A422" s="26"/>
      <c r="B422" s="26"/>
      <c r="C422" s="26"/>
      <c r="D422" s="140" t="s">
        <v>422</v>
      </c>
      <c r="E422" s="140"/>
      <c r="F422" s="140"/>
    </row>
    <row r="426" customFormat="false" ht="18.6" hidden="false" customHeight="true" outlineLevel="0" collapsed="false">
      <c r="A426" s="118" t="s">
        <v>459</v>
      </c>
      <c r="B426" s="118"/>
      <c r="C426" s="118"/>
      <c r="D426" s="118"/>
      <c r="E426" s="118"/>
      <c r="F426" s="118"/>
    </row>
    <row r="427" customFormat="false" ht="13.8" hidden="false" customHeight="true" outlineLevel="0" collapsed="false">
      <c r="A427" s="119" t="s">
        <v>2</v>
      </c>
      <c r="B427" s="119"/>
      <c r="C427" s="119"/>
      <c r="D427" s="119"/>
      <c r="E427" s="119"/>
      <c r="F427" s="119"/>
    </row>
    <row r="428" customFormat="false" ht="16.8" hidden="false" customHeight="false" outlineLevel="0" collapsed="false">
      <c r="A428" s="13" t="s">
        <v>3</v>
      </c>
      <c r="B428" s="14"/>
      <c r="C428" s="14"/>
      <c r="D428" s="46"/>
      <c r="E428" s="66" t="s">
        <v>4</v>
      </c>
      <c r="F428" s="66"/>
    </row>
    <row r="429" customFormat="false" ht="33.6" hidden="false" customHeight="false" outlineLevel="0" collapsed="false">
      <c r="A429" s="17" t="s">
        <v>5</v>
      </c>
      <c r="B429" s="17" t="s">
        <v>5</v>
      </c>
      <c r="C429" s="17" t="s">
        <v>460</v>
      </c>
      <c r="D429" s="17" t="s">
        <v>7</v>
      </c>
      <c r="E429" s="17" t="s">
        <v>8</v>
      </c>
      <c r="F429" s="150"/>
    </row>
    <row r="430" customFormat="false" ht="16.8" hidden="false" customHeight="false" outlineLevel="0" collapsed="false">
      <c r="A430" s="19" t="s">
        <v>9</v>
      </c>
      <c r="B430" s="20" t="n">
        <f aca="false">E378</f>
        <v>0</v>
      </c>
      <c r="C430" s="20" t="n">
        <v>300</v>
      </c>
      <c r="D430" s="20"/>
      <c r="E430" s="47" t="n">
        <f aca="false">B430+C430-D430</f>
        <v>300</v>
      </c>
    </row>
    <row r="431" customFormat="false" ht="33.6" hidden="false" customHeight="false" outlineLevel="0" collapsed="false">
      <c r="A431" s="97" t="s">
        <v>159</v>
      </c>
      <c r="B431" s="20" t="n">
        <f aca="false">E379</f>
        <v>49260</v>
      </c>
      <c r="C431" s="20" t="n">
        <v>42440</v>
      </c>
      <c r="D431" s="20"/>
      <c r="E431" s="47" t="n">
        <f aca="false">B431+C431-D431</f>
        <v>91700</v>
      </c>
    </row>
    <row r="432" customFormat="false" ht="50.4" hidden="false" customHeight="false" outlineLevel="0" collapsed="false">
      <c r="A432" s="97" t="s">
        <v>414</v>
      </c>
      <c r="B432" s="20" t="n">
        <f aca="false">E380</f>
        <v>0</v>
      </c>
      <c r="C432" s="20"/>
      <c r="D432" s="20"/>
      <c r="E432" s="47" t="n">
        <f aca="false">B432+C432-D432</f>
        <v>0</v>
      </c>
    </row>
    <row r="433" customFormat="false" ht="33.6" hidden="false" customHeight="false" outlineLevel="0" collapsed="false">
      <c r="A433" s="97" t="s">
        <v>202</v>
      </c>
      <c r="B433" s="20" t="n">
        <f aca="false">E381</f>
        <v>775</v>
      </c>
      <c r="C433" s="20"/>
      <c r="D433" s="20"/>
      <c r="E433" s="47" t="n">
        <f aca="false">B433+C433-D433</f>
        <v>775</v>
      </c>
    </row>
    <row r="434" customFormat="false" ht="16.8" hidden="false" customHeight="false" outlineLevel="0" collapsed="false">
      <c r="A434" s="19" t="s">
        <v>10</v>
      </c>
      <c r="B434" s="20" t="n">
        <f aca="false">E382</f>
        <v>12504</v>
      </c>
      <c r="C434" s="20" t="n">
        <f aca="false">73817-C430</f>
        <v>73517</v>
      </c>
      <c r="D434" s="20"/>
      <c r="E434" s="47" t="n">
        <f aca="false">B434+C434-D434</f>
        <v>86021</v>
      </c>
    </row>
    <row r="435" customFormat="false" ht="16.8" hidden="false" customHeight="false" outlineLevel="0" collapsed="false">
      <c r="A435" s="21" t="s">
        <v>11</v>
      </c>
      <c r="B435" s="22" t="n">
        <f aca="false">SUM(B430:B434)</f>
        <v>62539</v>
      </c>
      <c r="C435" s="22" t="n">
        <f aca="false">SUM(C430:C434)</f>
        <v>116257</v>
      </c>
      <c r="D435" s="22" t="n">
        <f aca="false">SUM(D430:D434)</f>
        <v>0</v>
      </c>
      <c r="E435" s="22" t="n">
        <f aca="false">SUM(E430:E434)</f>
        <v>178796</v>
      </c>
    </row>
    <row r="436" customFormat="false" ht="16.8" hidden="false" customHeight="false" outlineLevel="0" collapsed="false">
      <c r="A436" s="152" t="s">
        <v>446</v>
      </c>
      <c r="B436" s="152"/>
      <c r="C436" s="152"/>
      <c r="D436" s="152"/>
      <c r="E436" s="152"/>
    </row>
    <row r="437" customFormat="false" ht="16.8" hidden="false" customHeight="false" outlineLevel="0" collapsed="false">
      <c r="A437" s="13" t="s">
        <v>12</v>
      </c>
      <c r="B437" s="13"/>
      <c r="C437" s="13"/>
      <c r="D437" s="13"/>
      <c r="E437" s="13"/>
      <c r="F437" s="13"/>
    </row>
    <row r="438" customFormat="false" ht="33.6" hidden="false" customHeight="false" outlineLevel="0" collapsed="false">
      <c r="A438" s="25" t="s">
        <v>13</v>
      </c>
      <c r="B438" s="17" t="s">
        <v>458</v>
      </c>
      <c r="C438" s="17" t="s">
        <v>461</v>
      </c>
      <c r="D438" s="120" t="s">
        <v>418</v>
      </c>
      <c r="E438" s="143" t="s">
        <v>419</v>
      </c>
      <c r="F438" s="120" t="s">
        <v>16</v>
      </c>
    </row>
    <row r="439" customFormat="false" ht="50.4" hidden="false" customHeight="false" outlineLevel="0" collapsed="false">
      <c r="A439" s="49" t="s">
        <v>427</v>
      </c>
      <c r="B439" s="20" t="n">
        <v>10400</v>
      </c>
      <c r="C439" s="20" t="n">
        <f aca="false">9800+3100</f>
        <v>12900</v>
      </c>
      <c r="D439" s="19" t="n">
        <f aca="false">+C439+B439</f>
        <v>23300</v>
      </c>
      <c r="E439" s="19"/>
      <c r="F439" s="51" t="n">
        <f aca="false">E439/D439</f>
        <v>0</v>
      </c>
    </row>
    <row r="440" customFormat="false" ht="16.8" hidden="false" customHeight="false" outlineLevel="0" collapsed="false">
      <c r="A440" s="49" t="s">
        <v>432</v>
      </c>
      <c r="B440" s="20"/>
      <c r="C440" s="20"/>
      <c r="D440" s="34" t="n">
        <f aca="false">SUM(B440:C450)</f>
        <v>13800</v>
      </c>
      <c r="E440" s="34" t="n">
        <f aca="false">D433+D434</f>
        <v>0</v>
      </c>
      <c r="F440" s="145" t="n">
        <f aca="false">E440/D440</f>
        <v>0</v>
      </c>
    </row>
    <row r="441" customFormat="false" ht="16.8" hidden="false" customHeight="false" outlineLevel="0" collapsed="false">
      <c r="A441" s="49" t="s">
        <v>403</v>
      </c>
      <c r="B441" s="20"/>
      <c r="C441" s="20"/>
      <c r="D441" s="34"/>
      <c r="E441" s="34"/>
      <c r="F441" s="153"/>
    </row>
    <row r="442" customFormat="false" ht="16.8" hidden="false" customHeight="false" outlineLevel="0" collapsed="false">
      <c r="A442" s="49" t="s">
        <v>401</v>
      </c>
      <c r="B442" s="20"/>
      <c r="C442" s="20"/>
      <c r="D442" s="34"/>
      <c r="E442" s="34"/>
      <c r="F442" s="153"/>
    </row>
    <row r="443" customFormat="false" ht="16.8" hidden="false" customHeight="false" outlineLevel="0" collapsed="false">
      <c r="A443" s="49" t="s">
        <v>433</v>
      </c>
      <c r="B443" s="20"/>
      <c r="C443" s="20" t="n">
        <v>7300</v>
      </c>
      <c r="D443" s="34"/>
      <c r="E443" s="34"/>
      <c r="F443" s="153"/>
    </row>
    <row r="444" customFormat="false" ht="16.8" hidden="false" customHeight="false" outlineLevel="0" collapsed="false">
      <c r="A444" s="49" t="s">
        <v>434</v>
      </c>
      <c r="B444" s="20"/>
      <c r="C444" s="20"/>
      <c r="D444" s="34"/>
      <c r="E444" s="34"/>
      <c r="F444" s="153"/>
    </row>
    <row r="445" customFormat="false" ht="16.8" hidden="false" customHeight="false" outlineLevel="0" collapsed="false">
      <c r="A445" s="49" t="s">
        <v>399</v>
      </c>
      <c r="B445" s="20"/>
      <c r="C445" s="20"/>
      <c r="D445" s="34"/>
      <c r="E445" s="34"/>
      <c r="F445" s="153"/>
    </row>
    <row r="446" customFormat="false" ht="16.8" hidden="false" customHeight="false" outlineLevel="0" collapsed="false">
      <c r="A446" s="49" t="s">
        <v>435</v>
      </c>
      <c r="B446" s="20"/>
      <c r="C446" s="20" t="n">
        <v>3300</v>
      </c>
      <c r="D446" s="34"/>
      <c r="E446" s="34"/>
      <c r="F446" s="153"/>
    </row>
    <row r="447" customFormat="false" ht="16.8" hidden="false" customHeight="false" outlineLevel="0" collapsed="false">
      <c r="A447" s="49" t="s">
        <v>436</v>
      </c>
      <c r="B447" s="20" t="n">
        <v>2000</v>
      </c>
      <c r="C447" s="20"/>
      <c r="D447" s="34"/>
      <c r="E447" s="34"/>
      <c r="F447" s="153"/>
    </row>
    <row r="448" customFormat="false" ht="16.8" hidden="false" customHeight="false" outlineLevel="0" collapsed="false">
      <c r="A448" s="49" t="s">
        <v>398</v>
      </c>
      <c r="B448" s="20"/>
      <c r="C448" s="20"/>
      <c r="D448" s="34"/>
      <c r="E448" s="34"/>
      <c r="F448" s="153"/>
    </row>
    <row r="449" customFormat="false" ht="16.8" hidden="false" customHeight="false" outlineLevel="0" collapsed="false">
      <c r="A449" s="49" t="s">
        <v>384</v>
      </c>
      <c r="B449" s="20"/>
      <c r="C449" s="20"/>
      <c r="D449" s="34"/>
      <c r="E449" s="34"/>
      <c r="F449" s="153"/>
    </row>
    <row r="450" customFormat="false" ht="16.8" hidden="false" customHeight="false" outlineLevel="0" collapsed="false">
      <c r="A450" s="49" t="s">
        <v>390</v>
      </c>
      <c r="B450" s="20" t="n">
        <v>1200</v>
      </c>
      <c r="C450" s="20"/>
      <c r="D450" s="34"/>
      <c r="E450" s="34"/>
      <c r="F450" s="147"/>
    </row>
    <row r="451" customFormat="false" ht="16.8" hidden="false" customHeight="false" outlineLevel="0" collapsed="false">
      <c r="A451" s="30" t="s">
        <v>11</v>
      </c>
      <c r="B451" s="94" t="n">
        <f aca="false">SUM(B439:B450)</f>
        <v>13600</v>
      </c>
      <c r="C451" s="94" t="n">
        <f aca="false">SUM(C439:C450)</f>
        <v>23500</v>
      </c>
      <c r="D451" s="94" t="n">
        <f aca="false">SUM(D439:D450)</f>
        <v>37100</v>
      </c>
      <c r="E451" s="94" t="n">
        <f aca="false">E439+E440</f>
        <v>0</v>
      </c>
      <c r="F451" s="89" t="n">
        <f aca="false">E451/D451</f>
        <v>0</v>
      </c>
    </row>
    <row r="452" customFormat="false" ht="16.8" hidden="false" customHeight="false" outlineLevel="0" collapsed="false">
      <c r="A452" s="55" t="s">
        <v>421</v>
      </c>
      <c r="B452" s="56"/>
      <c r="C452" s="56"/>
      <c r="D452" s="56"/>
      <c r="E452" s="100"/>
      <c r="F452" s="100"/>
    </row>
    <row r="453" customFormat="false" ht="16.8" hidden="false" customHeight="false" outlineLevel="0" collapsed="false">
      <c r="A453" s="13" t="s">
        <v>20</v>
      </c>
      <c r="B453" s="1"/>
      <c r="C453" s="1"/>
      <c r="D453" s="1"/>
      <c r="E453" s="1"/>
      <c r="F453" s="1"/>
    </row>
    <row r="454" customFormat="false" ht="16.8" hidden="false" customHeight="false" outlineLevel="0" collapsed="false">
      <c r="A454" s="17" t="s">
        <v>13</v>
      </c>
      <c r="B454" s="17" t="s">
        <v>21</v>
      </c>
      <c r="C454" s="18"/>
      <c r="D454" s="18"/>
      <c r="E454" s="18"/>
      <c r="F454" s="39"/>
    </row>
    <row r="455" customFormat="false" ht="33.6" hidden="false" customHeight="false" outlineLevel="0" collapsed="false">
      <c r="A455" s="49" t="s">
        <v>420</v>
      </c>
      <c r="B455" s="20" t="n">
        <v>53300</v>
      </c>
      <c r="C455" s="18"/>
      <c r="D455" s="18"/>
      <c r="E455" s="18"/>
      <c r="F455" s="39"/>
    </row>
    <row r="456" customFormat="false" ht="16.8" hidden="false" customHeight="false" outlineLevel="0" collapsed="false">
      <c r="A456" s="49" t="s">
        <v>432</v>
      </c>
      <c r="B456" s="20"/>
      <c r="C456" s="18"/>
      <c r="D456" s="18"/>
      <c r="E456" s="18"/>
      <c r="F456" s="39"/>
    </row>
    <row r="457" customFormat="false" ht="16.8" hidden="false" customHeight="false" outlineLevel="0" collapsed="false">
      <c r="A457" s="49" t="s">
        <v>403</v>
      </c>
      <c r="B457" s="20"/>
      <c r="C457" s="18"/>
      <c r="D457" s="18"/>
      <c r="E457" s="18"/>
      <c r="F457" s="39"/>
    </row>
    <row r="458" customFormat="false" ht="16.8" hidden="false" customHeight="false" outlineLevel="0" collapsed="false">
      <c r="A458" s="49" t="s">
        <v>401</v>
      </c>
      <c r="B458" s="20"/>
      <c r="C458" s="18"/>
      <c r="D458" s="18"/>
      <c r="E458" s="18"/>
      <c r="F458" s="39"/>
    </row>
    <row r="459" customFormat="false" ht="16.8" hidden="false" customHeight="false" outlineLevel="0" collapsed="false">
      <c r="A459" s="49" t="s">
        <v>433</v>
      </c>
      <c r="B459" s="20" t="n">
        <v>8450</v>
      </c>
      <c r="C459" s="18"/>
      <c r="D459" s="18"/>
      <c r="E459" s="18"/>
      <c r="F459" s="39"/>
    </row>
    <row r="460" customFormat="false" ht="16.8" hidden="false" customHeight="false" outlineLevel="0" collapsed="false">
      <c r="A460" s="49" t="s">
        <v>434</v>
      </c>
      <c r="B460" s="20"/>
      <c r="C460" s="18"/>
      <c r="D460" s="18"/>
      <c r="E460" s="18"/>
      <c r="F460" s="39"/>
    </row>
    <row r="461" customFormat="false" ht="16.8" hidden="false" customHeight="false" outlineLevel="0" collapsed="false">
      <c r="A461" s="49" t="s">
        <v>399</v>
      </c>
      <c r="B461" s="20" t="n">
        <v>1000</v>
      </c>
      <c r="C461" s="18"/>
      <c r="D461" s="18"/>
      <c r="E461" s="18"/>
      <c r="F461" s="39"/>
    </row>
    <row r="462" customFormat="false" ht="16.8" hidden="false" customHeight="false" outlineLevel="0" collapsed="false">
      <c r="A462" s="49" t="s">
        <v>435</v>
      </c>
      <c r="B462" s="20" t="n">
        <v>11220</v>
      </c>
      <c r="C462" s="18"/>
      <c r="D462" s="18"/>
      <c r="E462" s="18"/>
      <c r="F462" s="39"/>
    </row>
    <row r="463" customFormat="false" ht="16.8" hidden="false" customHeight="false" outlineLevel="0" collapsed="false">
      <c r="A463" s="49" t="s">
        <v>436</v>
      </c>
      <c r="B463" s="20" t="n">
        <v>11650</v>
      </c>
      <c r="C463" s="18"/>
      <c r="D463" s="18"/>
      <c r="E463" s="18"/>
      <c r="F463" s="39"/>
    </row>
    <row r="464" customFormat="false" ht="16.8" hidden="false" customHeight="false" outlineLevel="0" collapsed="false">
      <c r="A464" s="49" t="s">
        <v>398</v>
      </c>
      <c r="B464" s="20"/>
      <c r="C464" s="1"/>
      <c r="D464" s="1"/>
      <c r="E464" s="1"/>
      <c r="F464" s="26"/>
    </row>
    <row r="465" customFormat="false" ht="16.8" hidden="false" customHeight="false" outlineLevel="0" collapsed="false">
      <c r="A465" s="49" t="s">
        <v>384</v>
      </c>
      <c r="B465" s="20"/>
      <c r="C465" s="1"/>
      <c r="D465" s="1"/>
      <c r="E465" s="1"/>
      <c r="F465" s="26"/>
    </row>
    <row r="466" customFormat="false" ht="16.8" hidden="false" customHeight="false" outlineLevel="0" collapsed="false">
      <c r="A466" s="49" t="s">
        <v>390</v>
      </c>
      <c r="B466" s="20" t="n">
        <v>14960</v>
      </c>
      <c r="C466" s="1"/>
      <c r="D466" s="1"/>
      <c r="E466" s="1"/>
      <c r="F466" s="26"/>
    </row>
    <row r="467" customFormat="false" ht="16.8" hidden="false" customHeight="false" outlineLevel="0" collapsed="false">
      <c r="A467" s="25" t="s">
        <v>11</v>
      </c>
      <c r="B467" s="35" t="n">
        <f aca="false">SUM(B455:B466)</f>
        <v>100580</v>
      </c>
      <c r="C467" s="1"/>
      <c r="D467" s="45"/>
      <c r="E467" s="45"/>
      <c r="F467" s="26"/>
    </row>
    <row r="468" customFormat="false" ht="13.2" hidden="false" customHeight="false" outlineLevel="0" collapsed="false">
      <c r="A468" s="1"/>
      <c r="B468" s="1"/>
      <c r="C468" s="1"/>
      <c r="D468" s="1"/>
      <c r="E468" s="1"/>
      <c r="F468" s="39"/>
    </row>
    <row r="469" customFormat="false" ht="16.8" hidden="false" customHeight="false" outlineLevel="0" collapsed="false">
      <c r="A469" s="39"/>
      <c r="B469" s="39"/>
      <c r="C469" s="141"/>
      <c r="D469" s="140" t="s">
        <v>396</v>
      </c>
      <c r="E469" s="140"/>
      <c r="F469" s="140"/>
    </row>
    <row r="470" customFormat="false" ht="13.2" hidden="false" customHeight="false" outlineLevel="0" collapsed="false">
      <c r="A470" s="26"/>
      <c r="B470" s="26"/>
      <c r="C470" s="26"/>
      <c r="D470" s="26"/>
      <c r="E470" s="141"/>
      <c r="F470" s="141"/>
    </row>
    <row r="471" customFormat="false" ht="13.2" hidden="false" customHeight="false" outlineLevel="0" collapsed="false">
      <c r="A471" s="26"/>
      <c r="B471" s="26"/>
      <c r="C471" s="26"/>
      <c r="D471" s="26"/>
      <c r="E471" s="26"/>
    </row>
    <row r="472" customFormat="false" ht="13.2" hidden="false" customHeight="false" outlineLevel="0" collapsed="false">
      <c r="A472" s="26"/>
      <c r="B472" s="26"/>
      <c r="C472" s="26"/>
      <c r="D472" s="26"/>
      <c r="E472" s="26"/>
    </row>
    <row r="473" customFormat="false" ht="13.2" hidden="false" customHeight="false" outlineLevel="0" collapsed="false">
      <c r="A473" s="26"/>
      <c r="B473" s="26"/>
      <c r="C473" s="26"/>
      <c r="D473" s="26"/>
      <c r="E473" s="26"/>
    </row>
    <row r="474" customFormat="false" ht="16.8" hidden="false" customHeight="false" outlineLevel="0" collapsed="false">
      <c r="A474" s="26"/>
      <c r="B474" s="26"/>
      <c r="C474" s="26"/>
      <c r="D474" s="140" t="s">
        <v>422</v>
      </c>
      <c r="E474" s="140"/>
      <c r="F474" s="140"/>
    </row>
    <row r="478" customFormat="false" ht="18.6" hidden="false" customHeight="true" outlineLevel="0" collapsed="false">
      <c r="A478" s="118" t="s">
        <v>462</v>
      </c>
      <c r="B478" s="118"/>
      <c r="C478" s="118"/>
      <c r="D478" s="118"/>
      <c r="E478" s="118"/>
      <c r="F478" s="118"/>
    </row>
    <row r="479" customFormat="false" ht="13.8" hidden="false" customHeight="true" outlineLevel="0" collapsed="false">
      <c r="A479" s="119" t="s">
        <v>2</v>
      </c>
      <c r="B479" s="119"/>
      <c r="C479" s="119"/>
      <c r="D479" s="119"/>
      <c r="E479" s="119"/>
      <c r="F479" s="119"/>
    </row>
    <row r="480" customFormat="false" ht="16.8" hidden="false" customHeight="false" outlineLevel="0" collapsed="false">
      <c r="A480" s="13" t="s">
        <v>3</v>
      </c>
      <c r="B480" s="14"/>
      <c r="C480" s="14"/>
      <c r="D480" s="46"/>
      <c r="E480" s="66" t="s">
        <v>4</v>
      </c>
      <c r="F480" s="66"/>
    </row>
    <row r="481" customFormat="false" ht="33.6" hidden="false" customHeight="false" outlineLevel="0" collapsed="false">
      <c r="A481" s="17" t="s">
        <v>5</v>
      </c>
      <c r="B481" s="17" t="s">
        <v>5</v>
      </c>
      <c r="C481" s="17" t="s">
        <v>463</v>
      </c>
      <c r="D481" s="17" t="s">
        <v>7</v>
      </c>
      <c r="E481" s="17" t="s">
        <v>8</v>
      </c>
      <c r="F481" s="150"/>
    </row>
    <row r="482" customFormat="false" ht="16.8" hidden="false" customHeight="false" outlineLevel="0" collapsed="false">
      <c r="A482" s="19" t="s">
        <v>9</v>
      </c>
      <c r="B482" s="20" t="n">
        <f aca="false">E430</f>
        <v>300</v>
      </c>
      <c r="C482" s="0" t="n">
        <v>28</v>
      </c>
      <c r="D482" s="20"/>
      <c r="E482" s="47" t="n">
        <f aca="false">B482+C482-D482</f>
        <v>328</v>
      </c>
    </row>
    <row r="483" customFormat="false" ht="33.6" hidden="false" customHeight="false" outlineLevel="0" collapsed="false">
      <c r="A483" s="97" t="s">
        <v>159</v>
      </c>
      <c r="B483" s="20" t="n">
        <f aca="false">E431</f>
        <v>91700</v>
      </c>
      <c r="C483" s="20" t="n">
        <f aca="false">17340+16010</f>
        <v>33350</v>
      </c>
      <c r="D483" s="20"/>
      <c r="E483" s="47" t="n">
        <f aca="false">B483+C483-D483</f>
        <v>125050</v>
      </c>
    </row>
    <row r="484" customFormat="false" ht="50.4" hidden="false" customHeight="false" outlineLevel="0" collapsed="false">
      <c r="A484" s="97" t="s">
        <v>414</v>
      </c>
      <c r="B484" s="20" t="n">
        <f aca="false">E432</f>
        <v>0</v>
      </c>
      <c r="C484" s="20"/>
      <c r="D484" s="20"/>
      <c r="E484" s="47" t="n">
        <f aca="false">B484+C484-D484</f>
        <v>0</v>
      </c>
    </row>
    <row r="485" customFormat="false" ht="33.6" hidden="false" customHeight="false" outlineLevel="0" collapsed="false">
      <c r="A485" s="97" t="s">
        <v>202</v>
      </c>
      <c r="B485" s="20" t="n">
        <f aca="false">E433</f>
        <v>775</v>
      </c>
      <c r="C485" s="20"/>
      <c r="D485" s="20"/>
      <c r="E485" s="47" t="n">
        <f aca="false">B485+C485-D485</f>
        <v>775</v>
      </c>
    </row>
    <row r="486" customFormat="false" ht="16.8" hidden="false" customHeight="false" outlineLevel="0" collapsed="false">
      <c r="A486" s="19" t="s">
        <v>10</v>
      </c>
      <c r="B486" s="20" t="n">
        <f aca="false">E434</f>
        <v>86021</v>
      </c>
      <c r="C486" s="20" t="n">
        <f aca="false">159293-C482</f>
        <v>159265</v>
      </c>
      <c r="D486" s="20"/>
      <c r="E486" s="47" t="n">
        <f aca="false">B486+C486-D486</f>
        <v>245286</v>
      </c>
    </row>
    <row r="487" customFormat="false" ht="16.8" hidden="false" customHeight="false" outlineLevel="0" collapsed="false">
      <c r="A487" s="21" t="s">
        <v>11</v>
      </c>
      <c r="B487" s="22" t="n">
        <f aca="false">SUM(B482:B486)</f>
        <v>178796</v>
      </c>
      <c r="C487" s="22" t="n">
        <f aca="false">SUM(C483:C486)</f>
        <v>192615</v>
      </c>
      <c r="D487" s="22" t="n">
        <f aca="false">SUM(D482:D486)</f>
        <v>0</v>
      </c>
      <c r="E487" s="22" t="n">
        <f aca="false">SUM(E482:E486)</f>
        <v>371439</v>
      </c>
    </row>
    <row r="488" customFormat="false" ht="16.8" hidden="false" customHeight="false" outlineLevel="0" collapsed="false">
      <c r="A488" s="152" t="s">
        <v>446</v>
      </c>
      <c r="B488" s="152"/>
      <c r="C488" s="152"/>
      <c r="D488" s="152"/>
      <c r="E488" s="152"/>
    </row>
    <row r="489" customFormat="false" ht="16.8" hidden="false" customHeight="false" outlineLevel="0" collapsed="false">
      <c r="A489" s="13" t="s">
        <v>12</v>
      </c>
      <c r="B489" s="13"/>
      <c r="C489" s="13"/>
      <c r="D489" s="13"/>
      <c r="E489" s="13"/>
      <c r="F489" s="13"/>
    </row>
    <row r="490" customFormat="false" ht="50.4" hidden="false" customHeight="false" outlineLevel="0" collapsed="false">
      <c r="A490" s="25" t="s">
        <v>13</v>
      </c>
      <c r="B490" s="17" t="s">
        <v>464</v>
      </c>
      <c r="C490" s="17" t="s">
        <v>465</v>
      </c>
      <c r="D490" s="120" t="s">
        <v>418</v>
      </c>
      <c r="E490" s="143" t="s">
        <v>419</v>
      </c>
      <c r="F490" s="120" t="s">
        <v>16</v>
      </c>
    </row>
    <row r="491" customFormat="false" ht="33.6" hidden="false" customHeight="false" outlineLevel="0" collapsed="false">
      <c r="A491" s="49" t="s">
        <v>49</v>
      </c>
      <c r="B491" s="20" t="n">
        <v>11550</v>
      </c>
      <c r="C491" s="20" t="n">
        <v>14300</v>
      </c>
      <c r="D491" s="19" t="n">
        <f aca="false">+C491+B491</f>
        <v>25850</v>
      </c>
      <c r="E491" s="19"/>
      <c r="F491" s="51" t="n">
        <f aca="false">E491/D491</f>
        <v>0</v>
      </c>
    </row>
    <row r="492" customFormat="false" ht="16.8" hidden="false" customHeight="false" outlineLevel="0" collapsed="false">
      <c r="A492" s="49" t="s">
        <v>466</v>
      </c>
      <c r="B492" s="20" t="n">
        <v>11750</v>
      </c>
      <c r="C492" s="20" t="n">
        <v>6650</v>
      </c>
      <c r="D492" s="19" t="n">
        <f aca="false">+C492+B492</f>
        <v>18400</v>
      </c>
      <c r="E492" s="154"/>
      <c r="F492" s="155"/>
    </row>
    <row r="493" customFormat="false" ht="16.8" hidden="false" customHeight="false" outlineLevel="0" collapsed="false">
      <c r="A493" s="49" t="s">
        <v>432</v>
      </c>
      <c r="B493" s="20" t="n">
        <f aca="false">B440+C440</f>
        <v>0</v>
      </c>
      <c r="C493" s="20"/>
      <c r="D493" s="34" t="n">
        <f aca="false">SUM(B493:C503)</f>
        <v>71040</v>
      </c>
      <c r="E493" s="34" t="n">
        <f aca="false">D485+D486</f>
        <v>0</v>
      </c>
      <c r="F493" s="145" t="n">
        <f aca="false">E493/D493</f>
        <v>0</v>
      </c>
    </row>
    <row r="494" customFormat="false" ht="16.8" hidden="false" customHeight="false" outlineLevel="0" collapsed="false">
      <c r="A494" s="49" t="s">
        <v>403</v>
      </c>
      <c r="B494" s="20" t="n">
        <f aca="false">B441+C441</f>
        <v>0</v>
      </c>
      <c r="C494" s="20"/>
      <c r="D494" s="34"/>
      <c r="E494" s="34"/>
      <c r="F494" s="153"/>
    </row>
    <row r="495" customFormat="false" ht="16.8" hidden="false" customHeight="false" outlineLevel="0" collapsed="false">
      <c r="A495" s="49" t="s">
        <v>401</v>
      </c>
      <c r="B495" s="20" t="n">
        <f aca="false">B442+C442</f>
        <v>0</v>
      </c>
      <c r="C495" s="20"/>
      <c r="D495" s="34"/>
      <c r="E495" s="34"/>
      <c r="F495" s="153"/>
    </row>
    <row r="496" customFormat="false" ht="16.8" hidden="false" customHeight="false" outlineLevel="0" collapsed="false">
      <c r="A496" s="49" t="s">
        <v>433</v>
      </c>
      <c r="B496" s="20" t="n">
        <f aca="false">B443+C443</f>
        <v>7300</v>
      </c>
      <c r="C496" s="20" t="n">
        <v>5560</v>
      </c>
      <c r="D496" s="34"/>
      <c r="E496" s="34"/>
      <c r="F496" s="153"/>
    </row>
    <row r="497" customFormat="false" ht="16.8" hidden="false" customHeight="false" outlineLevel="0" collapsed="false">
      <c r="A497" s="49" t="s">
        <v>434</v>
      </c>
      <c r="B497" s="20" t="n">
        <f aca="false">B444+C444</f>
        <v>0</v>
      </c>
      <c r="C497" s="20" t="n">
        <v>11500</v>
      </c>
      <c r="D497" s="34"/>
      <c r="E497" s="34"/>
      <c r="F497" s="153"/>
    </row>
    <row r="498" customFormat="false" ht="16.8" hidden="false" customHeight="false" outlineLevel="0" collapsed="false">
      <c r="A498" s="49" t="s">
        <v>399</v>
      </c>
      <c r="B498" s="20" t="n">
        <f aca="false">B445+C445</f>
        <v>0</v>
      </c>
      <c r="C498" s="20"/>
      <c r="D498" s="34"/>
      <c r="E498" s="34"/>
      <c r="F498" s="153"/>
    </row>
    <row r="499" customFormat="false" ht="16.8" hidden="false" customHeight="false" outlineLevel="0" collapsed="false">
      <c r="A499" s="49" t="s">
        <v>435</v>
      </c>
      <c r="B499" s="20" t="n">
        <f aca="false">B446+C446</f>
        <v>3300</v>
      </c>
      <c r="C499" s="20" t="n">
        <v>3300</v>
      </c>
      <c r="D499" s="34"/>
      <c r="E499" s="34"/>
      <c r="F499" s="153"/>
    </row>
    <row r="500" customFormat="false" ht="16.8" hidden="false" customHeight="false" outlineLevel="0" collapsed="false">
      <c r="A500" s="49" t="s">
        <v>436</v>
      </c>
      <c r="B500" s="20" t="n">
        <f aca="false">B447+C447</f>
        <v>2000</v>
      </c>
      <c r="C500" s="20" t="n">
        <v>22030</v>
      </c>
      <c r="D500" s="34"/>
      <c r="E500" s="34"/>
      <c r="F500" s="153"/>
    </row>
    <row r="501" customFormat="false" ht="16.8" hidden="false" customHeight="false" outlineLevel="0" collapsed="false">
      <c r="A501" s="49" t="s">
        <v>398</v>
      </c>
      <c r="B501" s="20" t="n">
        <f aca="false">B448+C448</f>
        <v>0</v>
      </c>
      <c r="C501" s="20" t="n">
        <v>14350</v>
      </c>
      <c r="D501" s="34"/>
      <c r="E501" s="34"/>
      <c r="F501" s="153"/>
    </row>
    <row r="502" customFormat="false" ht="16.8" hidden="false" customHeight="false" outlineLevel="0" collapsed="false">
      <c r="A502" s="49" t="s">
        <v>384</v>
      </c>
      <c r="B502" s="20" t="n">
        <f aca="false">B449+C449</f>
        <v>0</v>
      </c>
      <c r="C502" s="20"/>
      <c r="D502" s="34"/>
      <c r="E502" s="34"/>
      <c r="F502" s="153"/>
    </row>
    <row r="503" customFormat="false" ht="16.8" hidden="false" customHeight="false" outlineLevel="0" collapsed="false">
      <c r="A503" s="49" t="s">
        <v>390</v>
      </c>
      <c r="B503" s="20" t="n">
        <f aca="false">B450+C450</f>
        <v>1200</v>
      </c>
      <c r="C503" s="20" t="n">
        <v>500</v>
      </c>
      <c r="D503" s="34"/>
      <c r="E503" s="34"/>
      <c r="F503" s="147"/>
    </row>
    <row r="504" customFormat="false" ht="16.8" hidden="false" customHeight="false" outlineLevel="0" collapsed="false">
      <c r="A504" s="30" t="s">
        <v>11</v>
      </c>
      <c r="B504" s="94" t="n">
        <f aca="false">SUM(B491:B503)</f>
        <v>37100</v>
      </c>
      <c r="C504" s="94" t="n">
        <f aca="false">SUM(C491:C503)</f>
        <v>78190</v>
      </c>
      <c r="D504" s="94" t="n">
        <f aca="false">SUM(D491:D503)</f>
        <v>115290</v>
      </c>
      <c r="E504" s="94" t="n">
        <f aca="false">E491+E493</f>
        <v>0</v>
      </c>
      <c r="F504" s="89" t="n">
        <f aca="false">E504/D504</f>
        <v>0</v>
      </c>
    </row>
    <row r="505" customFormat="false" ht="16.8" hidden="false" customHeight="false" outlineLevel="0" collapsed="false">
      <c r="A505" s="55" t="s">
        <v>421</v>
      </c>
      <c r="B505" s="56"/>
      <c r="C505" s="56"/>
      <c r="D505" s="56"/>
      <c r="E505" s="100"/>
      <c r="F505" s="100"/>
    </row>
    <row r="506" customFormat="false" ht="16.8" hidden="false" customHeight="false" outlineLevel="0" collapsed="false">
      <c r="A506" s="13" t="s">
        <v>20</v>
      </c>
      <c r="B506" s="1"/>
      <c r="C506" s="1"/>
      <c r="D506" s="1"/>
      <c r="E506" s="1"/>
      <c r="F506" s="1"/>
    </row>
    <row r="507" customFormat="false" ht="16.8" hidden="false" customHeight="false" outlineLevel="0" collapsed="false">
      <c r="A507" s="17" t="s">
        <v>13</v>
      </c>
      <c r="B507" s="17" t="s">
        <v>21</v>
      </c>
      <c r="C507" s="18"/>
      <c r="D507" s="18"/>
      <c r="E507" s="18"/>
      <c r="F507" s="39"/>
    </row>
    <row r="508" customFormat="false" ht="33.6" hidden="false" customHeight="false" outlineLevel="0" collapsed="false">
      <c r="A508" s="49" t="s">
        <v>420</v>
      </c>
      <c r="B508" s="20" t="n">
        <v>19250</v>
      </c>
      <c r="C508" s="18"/>
      <c r="D508" s="18"/>
      <c r="E508" s="18"/>
      <c r="F508" s="39"/>
    </row>
    <row r="509" customFormat="false" ht="16.8" hidden="false" customHeight="false" outlineLevel="0" collapsed="false">
      <c r="A509" s="49" t="s">
        <v>466</v>
      </c>
      <c r="B509" s="20" t="n">
        <v>15000</v>
      </c>
      <c r="C509" s="18"/>
      <c r="D509" s="18"/>
      <c r="E509" s="18"/>
      <c r="F509" s="39"/>
    </row>
    <row r="510" customFormat="false" ht="16.8" hidden="false" customHeight="false" outlineLevel="0" collapsed="false">
      <c r="A510" s="49" t="s">
        <v>432</v>
      </c>
      <c r="B510" s="20"/>
      <c r="C510" s="18"/>
      <c r="D510" s="18"/>
      <c r="E510" s="18"/>
      <c r="F510" s="39"/>
    </row>
    <row r="511" customFormat="false" ht="16.8" hidden="false" customHeight="false" outlineLevel="0" collapsed="false">
      <c r="A511" s="49" t="s">
        <v>403</v>
      </c>
      <c r="B511" s="20"/>
      <c r="C511" s="18"/>
      <c r="D511" s="18"/>
      <c r="E511" s="18"/>
      <c r="F511" s="39"/>
    </row>
    <row r="512" customFormat="false" ht="16.8" hidden="false" customHeight="false" outlineLevel="0" collapsed="false">
      <c r="A512" s="49" t="s">
        <v>401</v>
      </c>
      <c r="B512" s="20"/>
      <c r="C512" s="18"/>
      <c r="D512" s="18"/>
      <c r="E512" s="18"/>
      <c r="F512" s="39"/>
    </row>
    <row r="513" customFormat="false" ht="16.8" hidden="false" customHeight="false" outlineLevel="0" collapsed="false">
      <c r="A513" s="49" t="s">
        <v>433</v>
      </c>
      <c r="B513" s="20" t="n">
        <v>5300</v>
      </c>
      <c r="C513" s="18"/>
      <c r="D513" s="18"/>
      <c r="E513" s="18"/>
      <c r="F513" s="39"/>
    </row>
    <row r="514" customFormat="false" ht="16.8" hidden="false" customHeight="false" outlineLevel="0" collapsed="false">
      <c r="A514" s="49" t="s">
        <v>434</v>
      </c>
      <c r="B514" s="20" t="n">
        <v>5500</v>
      </c>
      <c r="C514" s="18"/>
      <c r="D514" s="18"/>
      <c r="E514" s="18"/>
      <c r="F514" s="39"/>
    </row>
    <row r="515" customFormat="false" ht="16.8" hidden="false" customHeight="false" outlineLevel="0" collapsed="false">
      <c r="A515" s="49" t="s">
        <v>399</v>
      </c>
      <c r="B515" s="20"/>
      <c r="C515" s="18"/>
      <c r="D515" s="18"/>
      <c r="E515" s="18"/>
      <c r="F515" s="39"/>
    </row>
    <row r="516" customFormat="false" ht="16.8" hidden="false" customHeight="false" outlineLevel="0" collapsed="false">
      <c r="A516" s="49" t="s">
        <v>435</v>
      </c>
      <c r="B516" s="20" t="n">
        <v>3050</v>
      </c>
      <c r="C516" s="18"/>
      <c r="D516" s="18"/>
      <c r="E516" s="18"/>
      <c r="F516" s="39"/>
    </row>
    <row r="517" customFormat="false" ht="16.8" hidden="false" customHeight="false" outlineLevel="0" collapsed="false">
      <c r="A517" s="49" t="s">
        <v>436</v>
      </c>
      <c r="B517" s="20" t="n">
        <v>17650</v>
      </c>
      <c r="C517" s="18"/>
      <c r="D517" s="18"/>
      <c r="E517" s="18"/>
      <c r="F517" s="39"/>
    </row>
    <row r="518" customFormat="false" ht="16.8" hidden="false" customHeight="false" outlineLevel="0" collapsed="false">
      <c r="A518" s="49" t="s">
        <v>398</v>
      </c>
      <c r="B518" s="20" t="n">
        <v>14350</v>
      </c>
      <c r="C518" s="1"/>
      <c r="D518" s="1"/>
      <c r="E518" s="1"/>
      <c r="F518" s="26"/>
    </row>
    <row r="519" customFormat="false" ht="16.8" hidden="false" customHeight="false" outlineLevel="0" collapsed="false">
      <c r="A519" s="49" t="s">
        <v>384</v>
      </c>
      <c r="B519" s="20"/>
      <c r="C519" s="1"/>
      <c r="D519" s="1"/>
      <c r="E519" s="1"/>
      <c r="F519" s="26"/>
    </row>
    <row r="520" customFormat="false" ht="16.8" hidden="false" customHeight="false" outlineLevel="0" collapsed="false">
      <c r="A520" s="49" t="s">
        <v>390</v>
      </c>
      <c r="B520" s="20" t="n">
        <v>15460</v>
      </c>
      <c r="C520" s="1"/>
      <c r="D520" s="1"/>
      <c r="E520" s="1"/>
      <c r="F520" s="26"/>
    </row>
    <row r="521" customFormat="false" ht="16.8" hidden="false" customHeight="false" outlineLevel="0" collapsed="false">
      <c r="A521" s="25" t="s">
        <v>11</v>
      </c>
      <c r="B521" s="35" t="n">
        <f aca="false">SUM(B508:B520)</f>
        <v>95560</v>
      </c>
      <c r="C521" s="1"/>
      <c r="D521" s="45"/>
      <c r="E521" s="45"/>
      <c r="F521" s="26"/>
    </row>
    <row r="522" customFormat="false" ht="13.2" hidden="false" customHeight="false" outlineLevel="0" collapsed="false">
      <c r="A522" s="1"/>
      <c r="B522" s="1"/>
      <c r="C522" s="1"/>
      <c r="D522" s="1"/>
      <c r="E522" s="1"/>
      <c r="F522" s="39"/>
    </row>
    <row r="523" customFormat="false" ht="16.8" hidden="false" customHeight="false" outlineLevel="0" collapsed="false">
      <c r="A523" s="39"/>
      <c r="B523" s="39"/>
      <c r="C523" s="141"/>
      <c r="D523" s="140" t="s">
        <v>396</v>
      </c>
      <c r="E523" s="140"/>
      <c r="F523" s="140"/>
    </row>
    <row r="524" customFormat="false" ht="13.2" hidden="false" customHeight="false" outlineLevel="0" collapsed="false">
      <c r="A524" s="26"/>
      <c r="B524" s="26"/>
      <c r="C524" s="26"/>
      <c r="D524" s="26"/>
      <c r="E524" s="141"/>
      <c r="F524" s="141"/>
    </row>
    <row r="525" customFormat="false" ht="13.2" hidden="false" customHeight="false" outlineLevel="0" collapsed="false">
      <c r="A525" s="26"/>
      <c r="B525" s="26"/>
      <c r="C525" s="26"/>
      <c r="D525" s="26"/>
      <c r="E525" s="26"/>
    </row>
    <row r="526" customFormat="false" ht="13.2" hidden="false" customHeight="false" outlineLevel="0" collapsed="false">
      <c r="A526" s="26"/>
      <c r="B526" s="26"/>
      <c r="C526" s="26"/>
      <c r="D526" s="26"/>
      <c r="E526" s="26"/>
    </row>
    <row r="527" customFormat="false" ht="13.2" hidden="false" customHeight="false" outlineLevel="0" collapsed="false">
      <c r="A527" s="26"/>
      <c r="B527" s="26"/>
      <c r="C527" s="26"/>
      <c r="D527" s="26"/>
      <c r="E527" s="26"/>
    </row>
    <row r="528" customFormat="false" ht="16.8" hidden="false" customHeight="false" outlineLevel="0" collapsed="false">
      <c r="A528" s="26"/>
      <c r="B528" s="26"/>
      <c r="C528" s="26"/>
      <c r="D528" s="140" t="s">
        <v>422</v>
      </c>
      <c r="E528" s="140"/>
      <c r="F528" s="140"/>
    </row>
    <row r="532" customFormat="false" ht="18.6" hidden="false" customHeight="true" outlineLevel="0" collapsed="false">
      <c r="A532" s="118" t="s">
        <v>467</v>
      </c>
      <c r="B532" s="118"/>
      <c r="C532" s="118"/>
      <c r="D532" s="118"/>
      <c r="E532" s="118"/>
      <c r="F532" s="118"/>
    </row>
    <row r="533" customFormat="false" ht="13.8" hidden="false" customHeight="true" outlineLevel="0" collapsed="false">
      <c r="A533" s="119" t="s">
        <v>2</v>
      </c>
      <c r="B533" s="119"/>
      <c r="C533" s="119"/>
      <c r="D533" s="119"/>
      <c r="E533" s="119"/>
      <c r="F533" s="119"/>
    </row>
    <row r="534" customFormat="false" ht="16.8" hidden="false" customHeight="false" outlineLevel="0" collapsed="false">
      <c r="A534" s="13" t="s">
        <v>3</v>
      </c>
      <c r="B534" s="14"/>
      <c r="C534" s="14"/>
      <c r="D534" s="46"/>
      <c r="E534" s="66" t="s">
        <v>4</v>
      </c>
      <c r="F534" s="66"/>
    </row>
    <row r="535" customFormat="false" ht="33.6" hidden="false" customHeight="false" outlineLevel="0" collapsed="false">
      <c r="A535" s="17" t="s">
        <v>5</v>
      </c>
      <c r="B535" s="17" t="s">
        <v>5</v>
      </c>
      <c r="C535" s="17" t="s">
        <v>468</v>
      </c>
      <c r="D535" s="17" t="s">
        <v>7</v>
      </c>
      <c r="E535" s="17" t="s">
        <v>8</v>
      </c>
      <c r="F535" s="150"/>
    </row>
    <row r="536" customFormat="false" ht="16.8" hidden="false" customHeight="false" outlineLevel="0" collapsed="false">
      <c r="A536" s="19" t="s">
        <v>9</v>
      </c>
      <c r="B536" s="20" t="n">
        <f aca="false">E482</f>
        <v>328</v>
      </c>
      <c r="C536" s="0" t="n">
        <v>170</v>
      </c>
      <c r="D536" s="20" t="n">
        <v>498</v>
      </c>
      <c r="E536" s="47" t="n">
        <f aca="false">B536+C536-D536</f>
        <v>0</v>
      </c>
    </row>
    <row r="537" customFormat="false" ht="33.6" hidden="false" customHeight="false" outlineLevel="0" collapsed="false">
      <c r="A537" s="97" t="s">
        <v>159</v>
      </c>
      <c r="B537" s="20" t="n">
        <f aca="false">E483</f>
        <v>125050</v>
      </c>
      <c r="C537" s="20" t="n">
        <v>12415</v>
      </c>
      <c r="D537" s="20" t="n">
        <v>137465</v>
      </c>
      <c r="E537" s="47" t="n">
        <f aca="false">B537+C537-D537</f>
        <v>0</v>
      </c>
    </row>
    <row r="538" customFormat="false" ht="50.4" hidden="false" customHeight="false" outlineLevel="0" collapsed="false">
      <c r="A538" s="97" t="s">
        <v>414</v>
      </c>
      <c r="B538" s="20" t="n">
        <f aca="false">E484</f>
        <v>0</v>
      </c>
      <c r="C538" s="20"/>
      <c r="D538" s="20"/>
      <c r="E538" s="47" t="n">
        <f aca="false">B538+C538-D538</f>
        <v>0</v>
      </c>
    </row>
    <row r="539" customFormat="false" ht="33.6" hidden="false" customHeight="false" outlineLevel="0" collapsed="false">
      <c r="A539" s="97" t="s">
        <v>202</v>
      </c>
      <c r="B539" s="20" t="n">
        <f aca="false">E485</f>
        <v>775</v>
      </c>
      <c r="C539" s="20"/>
      <c r="D539" s="20" t="n">
        <v>775</v>
      </c>
      <c r="E539" s="47" t="n">
        <f aca="false">B539+C539-D539</f>
        <v>0</v>
      </c>
    </row>
    <row r="540" customFormat="false" ht="16.8" hidden="false" customHeight="false" outlineLevel="0" collapsed="false">
      <c r="A540" s="19" t="s">
        <v>10</v>
      </c>
      <c r="B540" s="20" t="n">
        <f aca="false">E486</f>
        <v>245286</v>
      </c>
      <c r="C540" s="20" t="n">
        <f aca="false">78403-C536</f>
        <v>78233</v>
      </c>
      <c r="D540" s="20" t="n">
        <v>323519</v>
      </c>
      <c r="E540" s="47" t="n">
        <f aca="false">B540+C540-D540</f>
        <v>0</v>
      </c>
    </row>
    <row r="541" customFormat="false" ht="16.8" hidden="false" customHeight="false" outlineLevel="0" collapsed="false">
      <c r="A541" s="21" t="s">
        <v>11</v>
      </c>
      <c r="B541" s="22" t="n">
        <f aca="false">SUM(B536:B540)</f>
        <v>371439</v>
      </c>
      <c r="C541" s="22" t="n">
        <f aca="false">SUM(C537:C540)</f>
        <v>90648</v>
      </c>
      <c r="D541" s="22" t="n">
        <f aca="false">SUM(D536:D540)</f>
        <v>462257</v>
      </c>
      <c r="E541" s="22" t="n">
        <f aca="false">SUM(E536:E540)</f>
        <v>0</v>
      </c>
    </row>
    <row r="542" customFormat="false" ht="16.8" hidden="false" customHeight="false" outlineLevel="0" collapsed="false">
      <c r="A542" s="152" t="s">
        <v>446</v>
      </c>
      <c r="B542" s="152"/>
      <c r="C542" s="152"/>
      <c r="D542" s="152"/>
      <c r="E542" s="152"/>
    </row>
    <row r="543" customFormat="false" ht="16.8" hidden="false" customHeight="false" outlineLevel="0" collapsed="false">
      <c r="A543" s="13" t="s">
        <v>12</v>
      </c>
      <c r="B543" s="13"/>
      <c r="C543" s="13"/>
      <c r="D543" s="13"/>
      <c r="E543" s="13"/>
      <c r="F543" s="13"/>
    </row>
    <row r="544" customFormat="false" ht="50.4" hidden="false" customHeight="false" outlineLevel="0" collapsed="false">
      <c r="A544" s="25" t="s">
        <v>13</v>
      </c>
      <c r="B544" s="17" t="s">
        <v>469</v>
      </c>
      <c r="C544" s="17" t="s">
        <v>470</v>
      </c>
      <c r="D544" s="120" t="s">
        <v>418</v>
      </c>
      <c r="E544" s="143" t="s">
        <v>419</v>
      </c>
      <c r="F544" s="120" t="s">
        <v>16</v>
      </c>
    </row>
    <row r="545" customFormat="false" ht="33.6" hidden="false" customHeight="false" outlineLevel="0" collapsed="false">
      <c r="A545" s="49" t="s">
        <v>49</v>
      </c>
      <c r="B545" s="20" t="n">
        <f aca="false">B491+C491</f>
        <v>25850</v>
      </c>
      <c r="C545" s="20" t="n">
        <v>4600</v>
      </c>
      <c r="D545" s="34" t="n">
        <f aca="false">+C545+B545+B546+C546</f>
        <v>48850</v>
      </c>
      <c r="E545" s="34" t="n">
        <f aca="false">D536+D537</f>
        <v>137963</v>
      </c>
      <c r="F545" s="51" t="n">
        <f aca="false">E545/D545</f>
        <v>2.82421699078813</v>
      </c>
    </row>
    <row r="546" customFormat="false" ht="16.8" hidden="false" customHeight="false" outlineLevel="0" collapsed="false">
      <c r="A546" s="49" t="s">
        <v>466</v>
      </c>
      <c r="B546" s="20" t="n">
        <f aca="false">B492+C492</f>
        <v>18400</v>
      </c>
      <c r="C546" s="20"/>
      <c r="D546" s="34"/>
      <c r="E546" s="34"/>
      <c r="F546" s="155"/>
    </row>
    <row r="547" customFormat="false" ht="16.8" hidden="false" customHeight="false" outlineLevel="0" collapsed="false">
      <c r="A547" s="49" t="s">
        <v>432</v>
      </c>
      <c r="B547" s="20" t="n">
        <f aca="false">B493+C493</f>
        <v>0</v>
      </c>
      <c r="C547" s="20"/>
      <c r="D547" s="34" t="n">
        <f aca="false">SUM(B547:C557)</f>
        <v>97740</v>
      </c>
      <c r="E547" s="34" t="n">
        <f aca="false">D539+D540</f>
        <v>324294</v>
      </c>
      <c r="F547" s="122" t="n">
        <f aca="false">E547/D547</f>
        <v>3.31792510742787</v>
      </c>
    </row>
    <row r="548" customFormat="false" ht="16.8" hidden="false" customHeight="false" outlineLevel="0" collapsed="false">
      <c r="A548" s="49" t="s">
        <v>403</v>
      </c>
      <c r="B548" s="20" t="n">
        <f aca="false">B494+C494</f>
        <v>0</v>
      </c>
      <c r="C548" s="20" t="n">
        <v>2100</v>
      </c>
      <c r="D548" s="34"/>
      <c r="E548" s="34"/>
      <c r="F548" s="122"/>
    </row>
    <row r="549" customFormat="false" ht="16.8" hidden="false" customHeight="false" outlineLevel="0" collapsed="false">
      <c r="A549" s="49" t="s">
        <v>401</v>
      </c>
      <c r="B549" s="20" t="n">
        <f aca="false">B495+C495</f>
        <v>0</v>
      </c>
      <c r="C549" s="20"/>
      <c r="D549" s="34"/>
      <c r="E549" s="34"/>
      <c r="F549" s="122"/>
    </row>
    <row r="550" customFormat="false" ht="16.8" hidden="false" customHeight="false" outlineLevel="0" collapsed="false">
      <c r="A550" s="49" t="s">
        <v>433</v>
      </c>
      <c r="B550" s="20" t="n">
        <f aca="false">B496+C496</f>
        <v>12860</v>
      </c>
      <c r="C550" s="20"/>
      <c r="D550" s="34"/>
      <c r="E550" s="34"/>
      <c r="F550" s="122"/>
    </row>
    <row r="551" customFormat="false" ht="16.8" hidden="false" customHeight="false" outlineLevel="0" collapsed="false">
      <c r="A551" s="49" t="s">
        <v>434</v>
      </c>
      <c r="B551" s="20" t="n">
        <f aca="false">B497+C497</f>
        <v>11500</v>
      </c>
      <c r="C551" s="20"/>
      <c r="D551" s="34"/>
      <c r="E551" s="34"/>
      <c r="F551" s="122"/>
    </row>
    <row r="552" customFormat="false" ht="16.8" hidden="false" customHeight="false" outlineLevel="0" collapsed="false">
      <c r="A552" s="49" t="s">
        <v>399</v>
      </c>
      <c r="B552" s="20" t="n">
        <f aca="false">B498+C498</f>
        <v>0</v>
      </c>
      <c r="C552" s="20"/>
      <c r="D552" s="34"/>
      <c r="E552" s="34"/>
      <c r="F552" s="122"/>
    </row>
    <row r="553" customFormat="false" ht="16.8" hidden="false" customHeight="false" outlineLevel="0" collapsed="false">
      <c r="A553" s="49" t="s">
        <v>435</v>
      </c>
      <c r="B553" s="20" t="n">
        <f aca="false">B499+C499</f>
        <v>6600</v>
      </c>
      <c r="C553" s="20"/>
      <c r="D553" s="34"/>
      <c r="E553" s="34"/>
      <c r="F553" s="122"/>
    </row>
    <row r="554" customFormat="false" ht="16.8" hidden="false" customHeight="false" outlineLevel="0" collapsed="false">
      <c r="A554" s="49" t="s">
        <v>436</v>
      </c>
      <c r="B554" s="20" t="n">
        <f aca="false">B500+C500</f>
        <v>24030</v>
      </c>
      <c r="C554" s="20" t="n">
        <v>24600</v>
      </c>
      <c r="D554" s="34"/>
      <c r="E554" s="34"/>
      <c r="F554" s="122"/>
    </row>
    <row r="555" customFormat="false" ht="16.8" hidden="false" customHeight="false" outlineLevel="0" collapsed="false">
      <c r="A555" s="49" t="s">
        <v>398</v>
      </c>
      <c r="B555" s="20" t="n">
        <f aca="false">B501+C501</f>
        <v>14350</v>
      </c>
      <c r="C555" s="20"/>
      <c r="D555" s="34"/>
      <c r="E555" s="34"/>
      <c r="F555" s="122"/>
    </row>
    <row r="556" customFormat="false" ht="16.8" hidden="false" customHeight="false" outlineLevel="0" collapsed="false">
      <c r="A556" s="49" t="s">
        <v>384</v>
      </c>
      <c r="B556" s="20" t="n">
        <f aca="false">B502+C502</f>
        <v>0</v>
      </c>
      <c r="C556" s="20"/>
      <c r="D556" s="34"/>
      <c r="E556" s="34"/>
      <c r="F556" s="122"/>
    </row>
    <row r="557" customFormat="false" ht="16.8" hidden="false" customHeight="false" outlineLevel="0" collapsed="false">
      <c r="A557" s="49" t="s">
        <v>390</v>
      </c>
      <c r="B557" s="20" t="n">
        <f aca="false">B503+C503</f>
        <v>1700</v>
      </c>
      <c r="C557" s="20"/>
      <c r="D557" s="34"/>
      <c r="E557" s="34"/>
      <c r="F557" s="122"/>
    </row>
    <row r="558" customFormat="false" ht="16.8" hidden="false" customHeight="false" outlineLevel="0" collapsed="false">
      <c r="A558" s="30" t="s">
        <v>11</v>
      </c>
      <c r="B558" s="94" t="n">
        <f aca="false">SUM(B545:B557)</f>
        <v>115290</v>
      </c>
      <c r="C558" s="94" t="n">
        <f aca="false">SUM(C545:C557)</f>
        <v>31300</v>
      </c>
      <c r="D558" s="94" t="n">
        <f aca="false">SUM(D545:D557)</f>
        <v>146590</v>
      </c>
      <c r="E558" s="94" t="n">
        <f aca="false">E545+E547</f>
        <v>462257</v>
      </c>
      <c r="F558" s="89" t="n">
        <f aca="false">E558/D558</f>
        <v>3.15340064124429</v>
      </c>
    </row>
    <row r="559" customFormat="false" ht="16.8" hidden="false" customHeight="false" outlineLevel="0" collapsed="false">
      <c r="A559" s="55" t="s">
        <v>471</v>
      </c>
      <c r="B559" s="56"/>
      <c r="C559" s="56"/>
      <c r="D559" s="56"/>
      <c r="E559" s="100"/>
      <c r="F559" s="100"/>
    </row>
    <row r="560" customFormat="false" ht="16.8" hidden="false" customHeight="false" outlineLevel="0" collapsed="false">
      <c r="A560" s="13" t="s">
        <v>20</v>
      </c>
      <c r="B560" s="1"/>
      <c r="C560" s="1"/>
      <c r="D560" s="1"/>
      <c r="E560" s="1"/>
      <c r="F560" s="1"/>
    </row>
    <row r="561" customFormat="false" ht="16.8" hidden="false" customHeight="false" outlineLevel="0" collapsed="false">
      <c r="A561" s="17" t="s">
        <v>13</v>
      </c>
      <c r="B561" s="17" t="s">
        <v>21</v>
      </c>
      <c r="C561" s="18"/>
      <c r="D561" s="18"/>
      <c r="E561" s="18"/>
      <c r="F561" s="39"/>
    </row>
    <row r="562" customFormat="false" ht="33.6" hidden="false" customHeight="false" outlineLevel="0" collapsed="false">
      <c r="A562" s="49" t="s">
        <v>420</v>
      </c>
      <c r="B562" s="20" t="n">
        <v>13850</v>
      </c>
      <c r="C562" s="18"/>
      <c r="D562" s="18"/>
      <c r="E562" s="18"/>
      <c r="F562" s="39"/>
    </row>
    <row r="563" customFormat="false" ht="16.8" hidden="false" customHeight="false" outlineLevel="0" collapsed="false">
      <c r="A563" s="49" t="s">
        <v>466</v>
      </c>
      <c r="B563" s="20" t="n">
        <v>15000</v>
      </c>
      <c r="C563" s="18"/>
      <c r="D563" s="18"/>
      <c r="E563" s="18"/>
      <c r="F563" s="39"/>
    </row>
    <row r="564" customFormat="false" ht="16.8" hidden="false" customHeight="false" outlineLevel="0" collapsed="false">
      <c r="A564" s="49" t="s">
        <v>432</v>
      </c>
      <c r="B564" s="20"/>
      <c r="C564" s="18"/>
      <c r="D564" s="18"/>
      <c r="E564" s="18"/>
      <c r="F564" s="39"/>
    </row>
    <row r="565" customFormat="false" ht="16.8" hidden="false" customHeight="false" outlineLevel="0" collapsed="false">
      <c r="A565" s="49" t="s">
        <v>403</v>
      </c>
      <c r="B565" s="20"/>
      <c r="C565" s="18"/>
      <c r="D565" s="18"/>
      <c r="E565" s="18"/>
      <c r="F565" s="39"/>
    </row>
    <row r="566" customFormat="false" ht="16.8" hidden="false" customHeight="false" outlineLevel="0" collapsed="false">
      <c r="A566" s="49" t="s">
        <v>401</v>
      </c>
      <c r="B566" s="20"/>
      <c r="C566" s="18"/>
      <c r="D566" s="18"/>
      <c r="E566" s="18"/>
      <c r="F566" s="39"/>
    </row>
    <row r="567" customFormat="false" ht="16.8" hidden="false" customHeight="false" outlineLevel="0" collapsed="false">
      <c r="A567" s="49" t="s">
        <v>433</v>
      </c>
      <c r="B567" s="20" t="n">
        <v>7400</v>
      </c>
      <c r="C567" s="18"/>
      <c r="D567" s="18"/>
      <c r="E567" s="18"/>
      <c r="F567" s="39"/>
    </row>
    <row r="568" customFormat="false" ht="16.8" hidden="false" customHeight="false" outlineLevel="0" collapsed="false">
      <c r="A568" s="49" t="s">
        <v>434</v>
      </c>
      <c r="B568" s="20" t="n">
        <v>5500</v>
      </c>
      <c r="C568" s="18"/>
      <c r="D568" s="18"/>
      <c r="E568" s="18"/>
      <c r="F568" s="39"/>
    </row>
    <row r="569" customFormat="false" ht="16.8" hidden="false" customHeight="false" outlineLevel="0" collapsed="false">
      <c r="A569" s="49" t="s">
        <v>399</v>
      </c>
      <c r="B569" s="20"/>
      <c r="C569" s="18"/>
      <c r="D569" s="18"/>
      <c r="E569" s="18"/>
      <c r="F569" s="39"/>
    </row>
    <row r="570" customFormat="false" ht="16.8" hidden="false" customHeight="false" outlineLevel="0" collapsed="false">
      <c r="A570" s="49" t="s">
        <v>435</v>
      </c>
      <c r="B570" s="20" t="n">
        <v>3050</v>
      </c>
      <c r="C570" s="18"/>
      <c r="D570" s="18"/>
      <c r="E570" s="18"/>
      <c r="F570" s="39"/>
    </row>
    <row r="571" customFormat="false" ht="16.8" hidden="false" customHeight="false" outlineLevel="0" collapsed="false">
      <c r="A571" s="49" t="s">
        <v>436</v>
      </c>
      <c r="B571" s="20" t="n">
        <v>42250</v>
      </c>
      <c r="C571" s="18"/>
      <c r="D571" s="18"/>
      <c r="E571" s="18"/>
      <c r="F571" s="39"/>
    </row>
    <row r="572" customFormat="false" ht="16.8" hidden="false" customHeight="false" outlineLevel="0" collapsed="false">
      <c r="A572" s="49" t="s">
        <v>398</v>
      </c>
      <c r="B572" s="20" t="n">
        <v>14350</v>
      </c>
      <c r="C572" s="1"/>
      <c r="D572" s="1"/>
      <c r="E572" s="1"/>
      <c r="F572" s="26"/>
    </row>
    <row r="573" customFormat="false" ht="16.8" hidden="false" customHeight="false" outlineLevel="0" collapsed="false">
      <c r="A573" s="49" t="s">
        <v>384</v>
      </c>
      <c r="B573" s="20"/>
      <c r="C573" s="1"/>
      <c r="D573" s="1"/>
      <c r="E573" s="1"/>
      <c r="F573" s="26"/>
    </row>
    <row r="574" customFormat="false" ht="16.8" hidden="false" customHeight="false" outlineLevel="0" collapsed="false">
      <c r="A574" s="49" t="s">
        <v>390</v>
      </c>
      <c r="B574" s="20" t="n">
        <v>15460</v>
      </c>
      <c r="C574" s="1"/>
      <c r="D574" s="1"/>
      <c r="E574" s="1"/>
      <c r="F574" s="26"/>
    </row>
    <row r="575" customFormat="false" ht="16.8" hidden="false" customHeight="false" outlineLevel="0" collapsed="false">
      <c r="A575" s="25" t="s">
        <v>11</v>
      </c>
      <c r="B575" s="35" t="n">
        <f aca="false">SUM(B562:B574)</f>
        <v>116860</v>
      </c>
      <c r="C575" s="1"/>
      <c r="D575" s="45"/>
      <c r="E575" s="45"/>
      <c r="F575" s="26"/>
    </row>
    <row r="576" customFormat="false" ht="13.2" hidden="false" customHeight="false" outlineLevel="0" collapsed="false">
      <c r="A576" s="1"/>
      <c r="B576" s="1"/>
      <c r="C576" s="1"/>
      <c r="D576" s="1"/>
      <c r="E576" s="1"/>
      <c r="F576" s="39"/>
    </row>
    <row r="577" customFormat="false" ht="16.8" hidden="false" customHeight="false" outlineLevel="0" collapsed="false">
      <c r="A577" s="39"/>
      <c r="B577" s="39"/>
      <c r="C577" s="141"/>
      <c r="D577" s="140" t="s">
        <v>396</v>
      </c>
      <c r="E577" s="140"/>
      <c r="F577" s="140"/>
    </row>
    <row r="578" customFormat="false" ht="13.2" hidden="false" customHeight="false" outlineLevel="0" collapsed="false">
      <c r="A578" s="26"/>
      <c r="B578" s="26"/>
      <c r="C578" s="26"/>
      <c r="D578" s="26"/>
      <c r="E578" s="141"/>
      <c r="F578" s="141"/>
    </row>
    <row r="579" customFormat="false" ht="13.2" hidden="false" customHeight="false" outlineLevel="0" collapsed="false">
      <c r="A579" s="26"/>
      <c r="B579" s="26"/>
      <c r="C579" s="26"/>
      <c r="D579" s="26"/>
      <c r="E579" s="26"/>
    </row>
    <row r="580" customFormat="false" ht="13.2" hidden="false" customHeight="false" outlineLevel="0" collapsed="false">
      <c r="A580" s="26"/>
      <c r="B580" s="26"/>
      <c r="C580" s="26"/>
      <c r="D580" s="26"/>
      <c r="E580" s="26"/>
    </row>
    <row r="581" customFormat="false" ht="13.2" hidden="false" customHeight="false" outlineLevel="0" collapsed="false">
      <c r="A581" s="26"/>
      <c r="B581" s="26"/>
      <c r="C581" s="26"/>
      <c r="D581" s="26"/>
      <c r="E581" s="26"/>
    </row>
    <row r="582" customFormat="false" ht="18.6" hidden="false" customHeight="true" outlineLevel="0" collapsed="false">
      <c r="A582" s="118" t="s">
        <v>472</v>
      </c>
      <c r="B582" s="118"/>
      <c r="C582" s="118"/>
      <c r="D582" s="118"/>
      <c r="E582" s="118"/>
      <c r="F582" s="118"/>
    </row>
    <row r="583" customFormat="false" ht="13.8" hidden="false" customHeight="true" outlineLevel="0" collapsed="false">
      <c r="A583" s="119" t="s">
        <v>2</v>
      </c>
      <c r="B583" s="119"/>
      <c r="C583" s="119"/>
      <c r="D583" s="119"/>
      <c r="E583" s="119"/>
      <c r="F583" s="119"/>
    </row>
    <row r="584" customFormat="false" ht="16.8" hidden="false" customHeight="false" outlineLevel="0" collapsed="false">
      <c r="A584" s="13" t="s">
        <v>3</v>
      </c>
      <c r="B584" s="14"/>
      <c r="C584" s="14"/>
      <c r="D584" s="46"/>
      <c r="E584" s="66" t="s">
        <v>4</v>
      </c>
      <c r="F584" s="66"/>
    </row>
    <row r="585" customFormat="false" ht="33.6" hidden="false" customHeight="false" outlineLevel="0" collapsed="false">
      <c r="A585" s="17" t="s">
        <v>5</v>
      </c>
      <c r="B585" s="17" t="s">
        <v>5</v>
      </c>
      <c r="C585" s="17" t="s">
        <v>473</v>
      </c>
      <c r="D585" s="17" t="s">
        <v>7</v>
      </c>
      <c r="E585" s="17" t="s">
        <v>8</v>
      </c>
      <c r="F585" s="150"/>
    </row>
    <row r="586" customFormat="false" ht="16.8" hidden="false" customHeight="false" outlineLevel="0" collapsed="false">
      <c r="A586" s="19" t="s">
        <v>9</v>
      </c>
      <c r="B586" s="20" t="n">
        <f aca="false">E536</f>
        <v>0</v>
      </c>
      <c r="D586" s="20"/>
      <c r="E586" s="47" t="n">
        <f aca="false">B586+C586-D586</f>
        <v>0</v>
      </c>
    </row>
    <row r="587" customFormat="false" ht="33.6" hidden="false" customHeight="false" outlineLevel="0" collapsed="false">
      <c r="A587" s="97" t="s">
        <v>159</v>
      </c>
      <c r="B587" s="20" t="n">
        <f aca="false">E537</f>
        <v>0</v>
      </c>
      <c r="C587" s="20" t="n">
        <f aca="false">32305+36695</f>
        <v>69000</v>
      </c>
      <c r="D587" s="20"/>
      <c r="E587" s="47" t="n">
        <f aca="false">B587+C587-D587</f>
        <v>69000</v>
      </c>
    </row>
    <row r="588" customFormat="false" ht="50.4" hidden="false" customHeight="false" outlineLevel="0" collapsed="false">
      <c r="A588" s="97" t="s">
        <v>414</v>
      </c>
      <c r="B588" s="20" t="n">
        <f aca="false">E538</f>
        <v>0</v>
      </c>
      <c r="C588" s="20"/>
      <c r="D588" s="20"/>
      <c r="E588" s="47" t="n">
        <f aca="false">B588+C588-D588</f>
        <v>0</v>
      </c>
    </row>
    <row r="589" customFormat="false" ht="33.6" hidden="false" customHeight="false" outlineLevel="0" collapsed="false">
      <c r="A589" s="97" t="s">
        <v>202</v>
      </c>
      <c r="B589" s="20" t="n">
        <f aca="false">E539</f>
        <v>0</v>
      </c>
      <c r="C589" s="20"/>
      <c r="D589" s="20"/>
      <c r="E589" s="47" t="n">
        <f aca="false">B589+C589-D589</f>
        <v>0</v>
      </c>
    </row>
    <row r="590" customFormat="false" ht="16.8" hidden="false" customHeight="false" outlineLevel="0" collapsed="false">
      <c r="A590" s="19" t="s">
        <v>10</v>
      </c>
      <c r="B590" s="20" t="n">
        <f aca="false">E540</f>
        <v>0</v>
      </c>
      <c r="C590" s="20" t="n">
        <v>170083</v>
      </c>
      <c r="D590" s="20"/>
      <c r="E590" s="47" t="n">
        <f aca="false">B590+C590-D590</f>
        <v>170083</v>
      </c>
    </row>
    <row r="591" customFormat="false" ht="16.8" hidden="false" customHeight="false" outlineLevel="0" collapsed="false">
      <c r="A591" s="21" t="s">
        <v>11</v>
      </c>
      <c r="B591" s="22" t="n">
        <f aca="false">SUM(B586:B590)</f>
        <v>0</v>
      </c>
      <c r="C591" s="22" t="n">
        <f aca="false">SUM(C587:C590)</f>
        <v>239083</v>
      </c>
      <c r="D591" s="22" t="n">
        <f aca="false">SUM(D586:D590)</f>
        <v>0</v>
      </c>
      <c r="E591" s="22" t="n">
        <f aca="false">SUM(E586:E590)</f>
        <v>239083</v>
      </c>
    </row>
    <row r="592" customFormat="false" ht="16.8" hidden="false" customHeight="false" outlineLevel="0" collapsed="false">
      <c r="A592" s="152" t="s">
        <v>446</v>
      </c>
      <c r="B592" s="152"/>
      <c r="C592" s="152"/>
      <c r="D592" s="152"/>
      <c r="E592" s="152"/>
    </row>
    <row r="593" customFormat="false" ht="16.8" hidden="false" customHeight="false" outlineLevel="0" collapsed="false">
      <c r="A593" s="13" t="s">
        <v>12</v>
      </c>
      <c r="B593" s="13"/>
      <c r="C593" s="13"/>
      <c r="D593" s="13"/>
      <c r="E593" s="13"/>
      <c r="F593" s="13"/>
    </row>
    <row r="594" customFormat="false" ht="33.6" hidden="false" customHeight="false" outlineLevel="0" collapsed="false">
      <c r="A594" s="25" t="s">
        <v>13</v>
      </c>
      <c r="B594" s="17" t="s">
        <v>474</v>
      </c>
      <c r="C594" s="17" t="s">
        <v>475</v>
      </c>
      <c r="D594" s="120" t="s">
        <v>418</v>
      </c>
      <c r="E594" s="143" t="s">
        <v>419</v>
      </c>
      <c r="F594" s="120" t="s">
        <v>16</v>
      </c>
    </row>
    <row r="595" customFormat="false" ht="33.6" hidden="false" customHeight="false" outlineLevel="0" collapsed="false">
      <c r="A595" s="49" t="s">
        <v>49</v>
      </c>
      <c r="B595" s="20" t="n">
        <v>500</v>
      </c>
      <c r="C595" s="20" t="n">
        <v>9250</v>
      </c>
      <c r="D595" s="34" t="n">
        <f aca="false">+C595+B595+B596+C596</f>
        <v>16800</v>
      </c>
      <c r="E595" s="34" t="n">
        <f aca="false">D586+D587</f>
        <v>0</v>
      </c>
      <c r="F595" s="51" t="n">
        <f aca="false">E595/D595</f>
        <v>0</v>
      </c>
    </row>
    <row r="596" customFormat="false" ht="16.8" hidden="false" customHeight="false" outlineLevel="0" collapsed="false">
      <c r="A596" s="49" t="s">
        <v>466</v>
      </c>
      <c r="B596" s="20" t="n">
        <v>7050</v>
      </c>
      <c r="C596" s="20"/>
      <c r="D596" s="34"/>
      <c r="E596" s="34"/>
      <c r="F596" s="155"/>
    </row>
    <row r="597" customFormat="false" ht="16.8" hidden="false" customHeight="false" outlineLevel="0" collapsed="false">
      <c r="A597" s="49" t="s">
        <v>432</v>
      </c>
      <c r="B597" s="20"/>
      <c r="C597" s="20"/>
      <c r="D597" s="34" t="n">
        <f aca="false">SUM(B597:C607)</f>
        <v>32600</v>
      </c>
      <c r="E597" s="34" t="n">
        <f aca="false">D589+D590</f>
        <v>0</v>
      </c>
      <c r="F597" s="122" t="n">
        <f aca="false">E597/D597</f>
        <v>0</v>
      </c>
    </row>
    <row r="598" customFormat="false" ht="16.8" hidden="false" customHeight="false" outlineLevel="0" collapsed="false">
      <c r="A598" s="49" t="s">
        <v>403</v>
      </c>
      <c r="B598" s="20"/>
      <c r="C598" s="20"/>
      <c r="D598" s="34"/>
      <c r="E598" s="34"/>
      <c r="F598" s="122"/>
    </row>
    <row r="599" customFormat="false" ht="16.8" hidden="false" customHeight="false" outlineLevel="0" collapsed="false">
      <c r="A599" s="49" t="s">
        <v>401</v>
      </c>
      <c r="B599" s="20" t="n">
        <v>2400</v>
      </c>
      <c r="C599" s="20"/>
      <c r="D599" s="34"/>
      <c r="E599" s="34"/>
      <c r="F599" s="122"/>
    </row>
    <row r="600" customFormat="false" ht="16.8" hidden="false" customHeight="false" outlineLevel="0" collapsed="false">
      <c r="A600" s="49" t="s">
        <v>433</v>
      </c>
      <c r="B600" s="20" t="n">
        <v>4650</v>
      </c>
      <c r="C600" s="20"/>
      <c r="D600" s="34"/>
      <c r="E600" s="34"/>
      <c r="F600" s="122"/>
    </row>
    <row r="601" customFormat="false" ht="16.8" hidden="false" customHeight="false" outlineLevel="0" collapsed="false">
      <c r="A601" s="49" t="s">
        <v>434</v>
      </c>
      <c r="B601" s="20" t="n">
        <v>5000</v>
      </c>
      <c r="C601" s="20"/>
      <c r="D601" s="34"/>
      <c r="E601" s="34"/>
      <c r="F601" s="122"/>
    </row>
    <row r="602" customFormat="false" ht="16.8" hidden="false" customHeight="false" outlineLevel="0" collapsed="false">
      <c r="A602" s="49" t="s">
        <v>399</v>
      </c>
      <c r="B602" s="20"/>
      <c r="C602" s="20"/>
      <c r="D602" s="34"/>
      <c r="E602" s="34"/>
      <c r="F602" s="122"/>
    </row>
    <row r="603" customFormat="false" ht="16.8" hidden="false" customHeight="false" outlineLevel="0" collapsed="false">
      <c r="A603" s="49" t="s">
        <v>435</v>
      </c>
      <c r="B603" s="20" t="n">
        <v>1000</v>
      </c>
      <c r="C603" s="20" t="n">
        <v>12500</v>
      </c>
      <c r="D603" s="34"/>
      <c r="E603" s="34"/>
      <c r="F603" s="122"/>
    </row>
    <row r="604" customFormat="false" ht="16.8" hidden="false" customHeight="false" outlineLevel="0" collapsed="false">
      <c r="A604" s="49" t="s">
        <v>436</v>
      </c>
      <c r="B604" s="20"/>
      <c r="C604" s="20" t="n">
        <v>7050</v>
      </c>
      <c r="D604" s="34"/>
      <c r="E604" s="34"/>
      <c r="F604" s="122"/>
    </row>
    <row r="605" customFormat="false" ht="16.8" hidden="false" customHeight="false" outlineLevel="0" collapsed="false">
      <c r="A605" s="49" t="s">
        <v>398</v>
      </c>
      <c r="B605" s="20"/>
      <c r="C605" s="20"/>
      <c r="D605" s="34"/>
      <c r="E605" s="34"/>
      <c r="F605" s="122"/>
    </row>
    <row r="606" customFormat="false" ht="16.8" hidden="false" customHeight="false" outlineLevel="0" collapsed="false">
      <c r="A606" s="49" t="s">
        <v>384</v>
      </c>
      <c r="B606" s="20"/>
      <c r="C606" s="20"/>
      <c r="D606" s="34"/>
      <c r="E606" s="34"/>
      <c r="F606" s="122"/>
    </row>
    <row r="607" customFormat="false" ht="16.8" hidden="false" customHeight="false" outlineLevel="0" collapsed="false">
      <c r="A607" s="49" t="s">
        <v>390</v>
      </c>
      <c r="B607" s="20"/>
      <c r="C607" s="20"/>
      <c r="D607" s="34"/>
      <c r="E607" s="34"/>
      <c r="F607" s="122"/>
    </row>
    <row r="608" customFormat="false" ht="16.8" hidden="false" customHeight="false" outlineLevel="0" collapsed="false">
      <c r="A608" s="30" t="s">
        <v>11</v>
      </c>
      <c r="B608" s="94" t="n">
        <f aca="false">SUM(B595:B607)</f>
        <v>20600</v>
      </c>
      <c r="C608" s="94" t="n">
        <f aca="false">SUM(C595:C607)</f>
        <v>28800</v>
      </c>
      <c r="D608" s="94" t="n">
        <f aca="false">SUM(D595:D607)</f>
        <v>49400</v>
      </c>
      <c r="E608" s="94" t="n">
        <f aca="false">E595+E597</f>
        <v>0</v>
      </c>
      <c r="F608" s="89" t="n">
        <f aca="false">E608/D608</f>
        <v>0</v>
      </c>
    </row>
    <row r="609" customFormat="false" ht="16.8" hidden="false" customHeight="false" outlineLevel="0" collapsed="false">
      <c r="A609" s="55" t="s">
        <v>476</v>
      </c>
      <c r="B609" s="56"/>
      <c r="C609" s="56"/>
      <c r="D609" s="56"/>
      <c r="E609" s="100"/>
      <c r="F609" s="100"/>
    </row>
    <row r="610" customFormat="false" ht="16.8" hidden="false" customHeight="false" outlineLevel="0" collapsed="false">
      <c r="A610" s="13" t="s">
        <v>20</v>
      </c>
      <c r="B610" s="1"/>
      <c r="C610" s="1"/>
      <c r="D610" s="1"/>
      <c r="E610" s="1"/>
      <c r="F610" s="1"/>
    </row>
    <row r="611" customFormat="false" ht="16.8" hidden="false" customHeight="false" outlineLevel="0" collapsed="false">
      <c r="A611" s="17" t="s">
        <v>13</v>
      </c>
      <c r="B611" s="17" t="s">
        <v>21</v>
      </c>
      <c r="C611" s="18"/>
      <c r="D611" s="18"/>
      <c r="E611" s="18"/>
      <c r="F611" s="39"/>
    </row>
    <row r="612" customFormat="false" ht="33.6" hidden="false" customHeight="false" outlineLevel="0" collapsed="false">
      <c r="A612" s="49" t="s">
        <v>420</v>
      </c>
      <c r="B612" s="20" t="n">
        <v>23600</v>
      </c>
      <c r="C612" s="18"/>
      <c r="D612" s="18"/>
      <c r="E612" s="18"/>
      <c r="F612" s="39"/>
    </row>
    <row r="613" customFormat="false" ht="16.8" hidden="false" customHeight="false" outlineLevel="0" collapsed="false">
      <c r="A613" s="49" t="s">
        <v>466</v>
      </c>
      <c r="B613" s="20" t="n">
        <v>22050</v>
      </c>
      <c r="C613" s="18"/>
      <c r="D613" s="18"/>
      <c r="E613" s="18"/>
      <c r="F613" s="39"/>
    </row>
    <row r="614" customFormat="false" ht="16.8" hidden="false" customHeight="false" outlineLevel="0" collapsed="false">
      <c r="A614" s="49" t="s">
        <v>432</v>
      </c>
      <c r="B614" s="20"/>
      <c r="C614" s="18"/>
      <c r="D614" s="18"/>
      <c r="E614" s="18"/>
      <c r="F614" s="39"/>
    </row>
    <row r="615" customFormat="false" ht="16.8" hidden="false" customHeight="false" outlineLevel="0" collapsed="false">
      <c r="A615" s="49" t="s">
        <v>403</v>
      </c>
      <c r="B615" s="20"/>
      <c r="C615" s="18"/>
      <c r="D615" s="18"/>
      <c r="E615" s="18"/>
      <c r="F615" s="39"/>
    </row>
    <row r="616" customFormat="false" ht="16.8" hidden="false" customHeight="false" outlineLevel="0" collapsed="false">
      <c r="A616" s="49" t="s">
        <v>401</v>
      </c>
      <c r="B616" s="20"/>
      <c r="C616" s="18"/>
      <c r="D616" s="18"/>
      <c r="E616" s="18"/>
      <c r="F616" s="39"/>
    </row>
    <row r="617" customFormat="false" ht="16.8" hidden="false" customHeight="false" outlineLevel="0" collapsed="false">
      <c r="A617" s="49" t="s">
        <v>433</v>
      </c>
      <c r="B617" s="20" t="n">
        <v>4400</v>
      </c>
      <c r="C617" s="18"/>
      <c r="D617" s="18"/>
      <c r="E617" s="18"/>
      <c r="F617" s="39"/>
    </row>
    <row r="618" customFormat="false" ht="16.8" hidden="false" customHeight="false" outlineLevel="0" collapsed="false">
      <c r="A618" s="49" t="s">
        <v>434</v>
      </c>
      <c r="B618" s="20"/>
      <c r="C618" s="18"/>
      <c r="D618" s="18"/>
      <c r="E618" s="18"/>
      <c r="F618" s="39"/>
    </row>
    <row r="619" customFormat="false" ht="16.8" hidden="false" customHeight="false" outlineLevel="0" collapsed="false">
      <c r="A619" s="49" t="s">
        <v>399</v>
      </c>
      <c r="B619" s="20"/>
      <c r="C619" s="18"/>
      <c r="D619" s="18"/>
      <c r="E619" s="18"/>
      <c r="F619" s="39"/>
    </row>
    <row r="620" customFormat="false" ht="16.8" hidden="false" customHeight="false" outlineLevel="0" collapsed="false">
      <c r="A620" s="49" t="s">
        <v>435</v>
      </c>
      <c r="B620" s="20" t="n">
        <v>103550</v>
      </c>
      <c r="C620" s="18"/>
      <c r="D620" s="18"/>
      <c r="E620" s="18"/>
      <c r="F620" s="39"/>
    </row>
    <row r="621" customFormat="false" ht="16.8" hidden="false" customHeight="false" outlineLevel="0" collapsed="false">
      <c r="A621" s="49" t="s">
        <v>436</v>
      </c>
      <c r="B621" s="20" t="n">
        <v>7050</v>
      </c>
      <c r="C621" s="18"/>
      <c r="D621" s="18"/>
      <c r="E621" s="18"/>
      <c r="F621" s="39"/>
    </row>
    <row r="622" customFormat="false" ht="16.8" hidden="false" customHeight="false" outlineLevel="0" collapsed="false">
      <c r="A622" s="49" t="s">
        <v>398</v>
      </c>
      <c r="B622" s="20"/>
      <c r="C622" s="1"/>
      <c r="D622" s="1"/>
      <c r="E622" s="1"/>
      <c r="F622" s="26"/>
    </row>
    <row r="623" customFormat="false" ht="16.8" hidden="false" customHeight="false" outlineLevel="0" collapsed="false">
      <c r="A623" s="49" t="s">
        <v>384</v>
      </c>
      <c r="B623" s="20"/>
      <c r="C623" s="1"/>
      <c r="D623" s="1"/>
      <c r="E623" s="1"/>
      <c r="F623" s="26"/>
    </row>
    <row r="624" customFormat="false" ht="16.8" hidden="false" customHeight="false" outlineLevel="0" collapsed="false">
      <c r="A624" s="49" t="s">
        <v>390</v>
      </c>
      <c r="B624" s="20" t="n">
        <v>5610</v>
      </c>
      <c r="C624" s="1"/>
      <c r="D624" s="1"/>
      <c r="E624" s="1"/>
      <c r="F624" s="26"/>
    </row>
    <row r="625" customFormat="false" ht="16.8" hidden="false" customHeight="false" outlineLevel="0" collapsed="false">
      <c r="A625" s="25" t="s">
        <v>11</v>
      </c>
      <c r="B625" s="35" t="n">
        <f aca="false">SUM(B612:B624)</f>
        <v>166260</v>
      </c>
      <c r="C625" s="1"/>
      <c r="D625" s="45"/>
      <c r="E625" s="45"/>
      <c r="F625" s="26"/>
    </row>
    <row r="626" customFormat="false" ht="13.2" hidden="false" customHeight="false" outlineLevel="0" collapsed="false">
      <c r="A626" s="1"/>
      <c r="B626" s="1"/>
      <c r="C626" s="1"/>
      <c r="D626" s="1"/>
      <c r="E626" s="1"/>
      <c r="F626" s="39"/>
    </row>
    <row r="627" customFormat="false" ht="16.8" hidden="false" customHeight="false" outlineLevel="0" collapsed="false">
      <c r="A627" s="39"/>
      <c r="B627" s="39"/>
      <c r="C627" s="141"/>
      <c r="D627" s="140" t="s">
        <v>396</v>
      </c>
      <c r="E627" s="140"/>
      <c r="F627" s="140"/>
    </row>
    <row r="628" customFormat="false" ht="13.2" hidden="false" customHeight="false" outlineLevel="0" collapsed="false">
      <c r="A628" s="26"/>
      <c r="B628" s="26"/>
      <c r="C628" s="26"/>
      <c r="D628" s="26"/>
      <c r="E628" s="141"/>
      <c r="F628" s="141"/>
    </row>
    <row r="634" customFormat="false" ht="18.6" hidden="false" customHeight="true" outlineLevel="0" collapsed="false">
      <c r="A634" s="118" t="s">
        <v>477</v>
      </c>
      <c r="B634" s="118"/>
      <c r="C634" s="118"/>
      <c r="D634" s="118"/>
      <c r="E634" s="118"/>
      <c r="F634" s="118"/>
    </row>
    <row r="635" customFormat="false" ht="13.8" hidden="false" customHeight="true" outlineLevel="0" collapsed="false">
      <c r="A635" s="119" t="s">
        <v>2</v>
      </c>
      <c r="B635" s="119"/>
      <c r="C635" s="119"/>
      <c r="D635" s="119"/>
      <c r="E635" s="119"/>
      <c r="F635" s="119"/>
    </row>
    <row r="636" customFormat="false" ht="16.8" hidden="false" customHeight="false" outlineLevel="0" collapsed="false">
      <c r="A636" s="13" t="s">
        <v>3</v>
      </c>
      <c r="B636" s="14"/>
      <c r="C636" s="14"/>
      <c r="D636" s="46"/>
      <c r="E636" s="66" t="s">
        <v>4</v>
      </c>
      <c r="F636" s="66"/>
    </row>
    <row r="637" customFormat="false" ht="33.6" hidden="false" customHeight="false" outlineLevel="0" collapsed="false">
      <c r="A637" s="17" t="s">
        <v>5</v>
      </c>
      <c r="B637" s="17" t="s">
        <v>5</v>
      </c>
      <c r="C637" s="17" t="s">
        <v>478</v>
      </c>
      <c r="D637" s="17" t="s">
        <v>7</v>
      </c>
      <c r="E637" s="17" t="s">
        <v>8</v>
      </c>
      <c r="F637" s="150"/>
    </row>
    <row r="638" customFormat="false" ht="16.8" hidden="false" customHeight="false" outlineLevel="0" collapsed="false">
      <c r="A638" s="19" t="s">
        <v>9</v>
      </c>
      <c r="B638" s="20" t="n">
        <f aca="false">E586</f>
        <v>0</v>
      </c>
      <c r="C638" s="0" t="n">
        <v>45</v>
      </c>
      <c r="D638" s="20"/>
      <c r="E638" s="47" t="n">
        <f aca="false">B638+C638-D638</f>
        <v>45</v>
      </c>
    </row>
    <row r="639" customFormat="false" ht="33.6" hidden="false" customHeight="false" outlineLevel="0" collapsed="false">
      <c r="A639" s="97" t="s">
        <v>159</v>
      </c>
      <c r="B639" s="20" t="n">
        <f aca="false">E587</f>
        <v>69000</v>
      </c>
      <c r="C639" s="20" t="n">
        <v>13160</v>
      </c>
      <c r="D639" s="20"/>
      <c r="E639" s="47" t="n">
        <f aca="false">B639+C639-D639</f>
        <v>82160</v>
      </c>
    </row>
    <row r="640" customFormat="false" ht="50.4" hidden="false" customHeight="false" outlineLevel="0" collapsed="false">
      <c r="A640" s="97" t="s">
        <v>414</v>
      </c>
      <c r="B640" s="20" t="n">
        <f aca="false">E588</f>
        <v>0</v>
      </c>
      <c r="C640" s="20"/>
      <c r="D640" s="20"/>
      <c r="E640" s="47" t="n">
        <f aca="false">B640+C640-D640</f>
        <v>0</v>
      </c>
    </row>
    <row r="641" customFormat="false" ht="33.6" hidden="false" customHeight="false" outlineLevel="0" collapsed="false">
      <c r="A641" s="97" t="s">
        <v>202</v>
      </c>
      <c r="B641" s="20" t="n">
        <f aca="false">E589</f>
        <v>0</v>
      </c>
      <c r="C641" s="20"/>
      <c r="D641" s="20"/>
      <c r="E641" s="47" t="n">
        <f aca="false">B641+C641-D641</f>
        <v>0</v>
      </c>
    </row>
    <row r="642" customFormat="false" ht="16.8" hidden="false" customHeight="false" outlineLevel="0" collapsed="false">
      <c r="A642" s="19" t="s">
        <v>10</v>
      </c>
      <c r="B642" s="20" t="n">
        <f aca="false">E590</f>
        <v>170083</v>
      </c>
      <c r="C642" s="20" t="n">
        <f aca="false">31066-C638</f>
        <v>31021</v>
      </c>
      <c r="D642" s="20"/>
      <c r="E642" s="47" t="n">
        <f aca="false">B642+C642-D642</f>
        <v>201104</v>
      </c>
    </row>
    <row r="643" customFormat="false" ht="16.8" hidden="false" customHeight="false" outlineLevel="0" collapsed="false">
      <c r="A643" s="21" t="s">
        <v>11</v>
      </c>
      <c r="B643" s="22" t="n">
        <f aca="false">SUM(B638:B642)</f>
        <v>239083</v>
      </c>
      <c r="C643" s="22" t="n">
        <f aca="false">SUM(C639:C642)</f>
        <v>44181</v>
      </c>
      <c r="D643" s="22" t="n">
        <f aca="false">SUM(D638:D642)</f>
        <v>0</v>
      </c>
      <c r="E643" s="22" t="n">
        <f aca="false">SUM(E638:E642)</f>
        <v>283309</v>
      </c>
    </row>
    <row r="644" customFormat="false" ht="16.8" hidden="false" customHeight="false" outlineLevel="0" collapsed="false">
      <c r="A644" s="13" t="s">
        <v>12</v>
      </c>
      <c r="B644" s="13"/>
      <c r="C644" s="13"/>
      <c r="D644" s="13"/>
      <c r="E644" s="13"/>
      <c r="F644" s="13"/>
    </row>
    <row r="645" customFormat="false" ht="50.4" hidden="false" customHeight="false" outlineLevel="0" collapsed="false">
      <c r="A645" s="25" t="s">
        <v>13</v>
      </c>
      <c r="B645" s="17" t="s">
        <v>479</v>
      </c>
      <c r="C645" s="17" t="s">
        <v>480</v>
      </c>
      <c r="D645" s="120" t="s">
        <v>418</v>
      </c>
      <c r="E645" s="143" t="s">
        <v>419</v>
      </c>
      <c r="F645" s="120" t="s">
        <v>16</v>
      </c>
    </row>
    <row r="646" customFormat="false" ht="33.6" hidden="false" customHeight="false" outlineLevel="0" collapsed="false">
      <c r="A646" s="49" t="s">
        <v>49</v>
      </c>
      <c r="B646" s="20" t="n">
        <f aca="false">B595+C595</f>
        <v>9750</v>
      </c>
      <c r="C646" s="20" t="n">
        <v>4150</v>
      </c>
      <c r="D646" s="34" t="n">
        <f aca="false">+C646+B646+B647+C647</f>
        <v>28400</v>
      </c>
      <c r="E646" s="34" t="n">
        <f aca="false">D638+D639</f>
        <v>0</v>
      </c>
      <c r="F646" s="122" t="n">
        <f aca="false">E646/D646</f>
        <v>0</v>
      </c>
    </row>
    <row r="647" customFormat="false" ht="16.8" hidden="false" customHeight="false" outlineLevel="0" collapsed="false">
      <c r="A647" s="49" t="s">
        <v>466</v>
      </c>
      <c r="B647" s="20" t="n">
        <f aca="false">B596+C596</f>
        <v>7050</v>
      </c>
      <c r="C647" s="20" t="n">
        <v>7450</v>
      </c>
      <c r="D647" s="34"/>
      <c r="E647" s="34"/>
      <c r="F647" s="122"/>
    </row>
    <row r="648" customFormat="false" ht="16.8" hidden="false" customHeight="false" outlineLevel="0" collapsed="false">
      <c r="A648" s="49" t="s">
        <v>432</v>
      </c>
      <c r="B648" s="20" t="n">
        <f aca="false">B597+C597</f>
        <v>0</v>
      </c>
      <c r="C648" s="20"/>
      <c r="D648" s="34" t="n">
        <f aca="false">SUM(B648:C658)</f>
        <v>55100</v>
      </c>
      <c r="E648" s="34" t="n">
        <f aca="false">D641+D642</f>
        <v>0</v>
      </c>
      <c r="F648" s="122" t="n">
        <f aca="false">E648/D648</f>
        <v>0</v>
      </c>
    </row>
    <row r="649" customFormat="false" ht="16.8" hidden="false" customHeight="false" outlineLevel="0" collapsed="false">
      <c r="A649" s="49" t="s">
        <v>403</v>
      </c>
      <c r="B649" s="20" t="n">
        <f aca="false">B598+C598</f>
        <v>0</v>
      </c>
      <c r="C649" s="20"/>
      <c r="D649" s="34"/>
      <c r="E649" s="34"/>
      <c r="F649" s="122"/>
    </row>
    <row r="650" customFormat="false" ht="16.8" hidden="false" customHeight="false" outlineLevel="0" collapsed="false">
      <c r="A650" s="49" t="s">
        <v>401</v>
      </c>
      <c r="B650" s="20" t="n">
        <f aca="false">B599+C599</f>
        <v>2400</v>
      </c>
      <c r="C650" s="20"/>
      <c r="D650" s="34"/>
      <c r="E650" s="34"/>
      <c r="F650" s="122"/>
    </row>
    <row r="651" customFormat="false" ht="16.8" hidden="false" customHeight="false" outlineLevel="0" collapsed="false">
      <c r="A651" s="49" t="s">
        <v>433</v>
      </c>
      <c r="B651" s="20" t="n">
        <f aca="false">B600+C600</f>
        <v>4650</v>
      </c>
      <c r="C651" s="20"/>
      <c r="D651" s="34"/>
      <c r="E651" s="34"/>
      <c r="F651" s="122"/>
    </row>
    <row r="652" customFormat="false" ht="16.8" hidden="false" customHeight="false" outlineLevel="0" collapsed="false">
      <c r="A652" s="49" t="s">
        <v>434</v>
      </c>
      <c r="B652" s="20" t="n">
        <f aca="false">B601+C601</f>
        <v>5000</v>
      </c>
      <c r="C652" s="20"/>
      <c r="D652" s="34"/>
      <c r="E652" s="34"/>
      <c r="F652" s="122"/>
    </row>
    <row r="653" customFormat="false" ht="16.8" hidden="false" customHeight="false" outlineLevel="0" collapsed="false">
      <c r="A653" s="49" t="s">
        <v>399</v>
      </c>
      <c r="B653" s="20" t="n">
        <f aca="false">B602+C602</f>
        <v>0</v>
      </c>
      <c r="C653" s="20"/>
      <c r="D653" s="34"/>
      <c r="E653" s="34"/>
      <c r="F653" s="122"/>
    </row>
    <row r="654" customFormat="false" ht="16.8" hidden="false" customHeight="false" outlineLevel="0" collapsed="false">
      <c r="A654" s="49" t="s">
        <v>435</v>
      </c>
      <c r="B654" s="20" t="n">
        <f aca="false">B603+C603</f>
        <v>13500</v>
      </c>
      <c r="C654" s="20"/>
      <c r="D654" s="34"/>
      <c r="E654" s="34"/>
      <c r="F654" s="122"/>
    </row>
    <row r="655" customFormat="false" ht="16.8" hidden="false" customHeight="false" outlineLevel="0" collapsed="false">
      <c r="A655" s="49" t="s">
        <v>436</v>
      </c>
      <c r="B655" s="20" t="n">
        <f aca="false">B604+C604</f>
        <v>7050</v>
      </c>
      <c r="C655" s="20" t="n">
        <v>20200</v>
      </c>
      <c r="D655" s="34"/>
      <c r="E655" s="34"/>
      <c r="F655" s="122"/>
    </row>
    <row r="656" customFormat="false" ht="16.8" hidden="false" customHeight="false" outlineLevel="0" collapsed="false">
      <c r="A656" s="49" t="s">
        <v>398</v>
      </c>
      <c r="B656" s="20" t="n">
        <f aca="false">B605+C605</f>
        <v>0</v>
      </c>
      <c r="C656" s="20"/>
      <c r="D656" s="34"/>
      <c r="E656" s="34"/>
      <c r="F656" s="122"/>
    </row>
    <row r="657" customFormat="false" ht="16.8" hidden="false" customHeight="false" outlineLevel="0" collapsed="false">
      <c r="A657" s="49" t="s">
        <v>384</v>
      </c>
      <c r="B657" s="20" t="n">
        <f aca="false">B606+C606</f>
        <v>0</v>
      </c>
      <c r="C657" s="20"/>
      <c r="D657" s="34"/>
      <c r="E657" s="34"/>
      <c r="F657" s="122"/>
    </row>
    <row r="658" customFormat="false" ht="16.8" hidden="false" customHeight="false" outlineLevel="0" collapsed="false">
      <c r="A658" s="49" t="s">
        <v>390</v>
      </c>
      <c r="B658" s="20" t="n">
        <f aca="false">B607+C607</f>
        <v>0</v>
      </c>
      <c r="C658" s="20" t="n">
        <v>2300</v>
      </c>
      <c r="D658" s="34"/>
      <c r="E658" s="34"/>
      <c r="F658" s="122"/>
    </row>
    <row r="659" customFormat="false" ht="16.8" hidden="false" customHeight="false" outlineLevel="0" collapsed="false">
      <c r="A659" s="30" t="s">
        <v>11</v>
      </c>
      <c r="B659" s="94" t="n">
        <f aca="false">SUM(B646:B658)</f>
        <v>49400</v>
      </c>
      <c r="C659" s="94" t="n">
        <f aca="false">SUM(C646:C658)</f>
        <v>34100</v>
      </c>
      <c r="D659" s="94" t="n">
        <f aca="false">SUM(D646:D658)</f>
        <v>83500</v>
      </c>
      <c r="E659" s="94" t="n">
        <f aca="false">E646+E648</f>
        <v>0</v>
      </c>
      <c r="F659" s="89" t="n">
        <f aca="false">E659/D659</f>
        <v>0</v>
      </c>
    </row>
    <row r="660" customFormat="false" ht="16.8" hidden="false" customHeight="false" outlineLevel="0" collapsed="false">
      <c r="A660" s="55" t="s">
        <v>476</v>
      </c>
      <c r="B660" s="56"/>
      <c r="C660" s="56"/>
      <c r="D660" s="56"/>
      <c r="E660" s="100"/>
      <c r="F660" s="100"/>
    </row>
    <row r="661" customFormat="false" ht="16.8" hidden="false" customHeight="false" outlineLevel="0" collapsed="false">
      <c r="A661" s="13" t="s">
        <v>20</v>
      </c>
      <c r="B661" s="1"/>
      <c r="C661" s="1"/>
      <c r="D661" s="1"/>
      <c r="E661" s="1"/>
      <c r="F661" s="1"/>
    </row>
    <row r="662" customFormat="false" ht="16.8" hidden="false" customHeight="false" outlineLevel="0" collapsed="false">
      <c r="A662" s="17" t="s">
        <v>13</v>
      </c>
      <c r="B662" s="17" t="s">
        <v>21</v>
      </c>
      <c r="C662" s="18"/>
      <c r="D662" s="18"/>
      <c r="E662" s="18"/>
      <c r="F662" s="39"/>
    </row>
    <row r="663" customFormat="false" ht="33.6" hidden="false" customHeight="false" outlineLevel="0" collapsed="false">
      <c r="A663" s="49" t="s">
        <v>420</v>
      </c>
      <c r="B663" s="20" t="n">
        <v>27750</v>
      </c>
      <c r="C663" s="18"/>
      <c r="D663" s="18"/>
      <c r="E663" s="18"/>
      <c r="F663" s="39"/>
    </row>
    <row r="664" customFormat="false" ht="16.8" hidden="false" customHeight="false" outlineLevel="0" collapsed="false">
      <c r="A664" s="49" t="s">
        <v>466</v>
      </c>
      <c r="B664" s="20" t="n">
        <v>9500</v>
      </c>
      <c r="C664" s="18"/>
      <c r="D664" s="18"/>
      <c r="E664" s="18"/>
      <c r="F664" s="39"/>
    </row>
    <row r="665" customFormat="false" ht="16.8" hidden="false" customHeight="false" outlineLevel="0" collapsed="false">
      <c r="A665" s="49" t="s">
        <v>432</v>
      </c>
      <c r="B665" s="20"/>
      <c r="C665" s="18"/>
      <c r="D665" s="18"/>
      <c r="E665" s="18"/>
      <c r="F665" s="39"/>
    </row>
    <row r="666" customFormat="false" ht="16.8" hidden="false" customHeight="false" outlineLevel="0" collapsed="false">
      <c r="A666" s="49" t="s">
        <v>403</v>
      </c>
      <c r="B666" s="20"/>
      <c r="C666" s="18"/>
      <c r="D666" s="18"/>
      <c r="E666" s="18"/>
      <c r="F666" s="39"/>
    </row>
    <row r="667" customFormat="false" ht="16.8" hidden="false" customHeight="false" outlineLevel="0" collapsed="false">
      <c r="A667" s="49" t="s">
        <v>401</v>
      </c>
      <c r="B667" s="20"/>
      <c r="C667" s="18"/>
      <c r="D667" s="18"/>
      <c r="E667" s="18"/>
      <c r="F667" s="39"/>
    </row>
    <row r="668" customFormat="false" ht="16.8" hidden="false" customHeight="false" outlineLevel="0" collapsed="false">
      <c r="A668" s="49" t="s">
        <v>433</v>
      </c>
      <c r="B668" s="20" t="n">
        <v>4400</v>
      </c>
      <c r="C668" s="18"/>
      <c r="D668" s="18"/>
      <c r="E668" s="18"/>
      <c r="F668" s="39"/>
    </row>
    <row r="669" customFormat="false" ht="16.8" hidden="false" customHeight="false" outlineLevel="0" collapsed="false">
      <c r="A669" s="49" t="s">
        <v>434</v>
      </c>
      <c r="B669" s="20"/>
      <c r="C669" s="18"/>
      <c r="D669" s="18"/>
      <c r="E669" s="18"/>
      <c r="F669" s="39"/>
    </row>
    <row r="670" customFormat="false" ht="16.8" hidden="false" customHeight="false" outlineLevel="0" collapsed="false">
      <c r="A670" s="49" t="s">
        <v>399</v>
      </c>
      <c r="B670" s="20"/>
      <c r="C670" s="18"/>
      <c r="D670" s="18"/>
      <c r="E670" s="18"/>
      <c r="F670" s="39"/>
    </row>
    <row r="671" customFormat="false" ht="16.8" hidden="false" customHeight="false" outlineLevel="0" collapsed="false">
      <c r="A671" s="49" t="s">
        <v>435</v>
      </c>
      <c r="B671" s="20" t="n">
        <v>3550</v>
      </c>
      <c r="C671" s="18"/>
      <c r="D671" s="18"/>
      <c r="E671" s="18"/>
      <c r="F671" s="39"/>
    </row>
    <row r="672" customFormat="false" ht="16.8" hidden="false" customHeight="false" outlineLevel="0" collapsed="false">
      <c r="A672" s="49" t="s">
        <v>436</v>
      </c>
      <c r="B672" s="20" t="n">
        <v>27250</v>
      </c>
      <c r="C672" s="18"/>
      <c r="D672" s="18"/>
      <c r="E672" s="18"/>
      <c r="F672" s="39"/>
    </row>
    <row r="673" customFormat="false" ht="16.8" hidden="false" customHeight="false" outlineLevel="0" collapsed="false">
      <c r="A673" s="49" t="s">
        <v>398</v>
      </c>
      <c r="B673" s="20"/>
      <c r="C673" s="1"/>
      <c r="D673" s="1"/>
      <c r="E673" s="1"/>
      <c r="F673" s="26"/>
    </row>
    <row r="674" customFormat="false" ht="16.8" hidden="false" customHeight="false" outlineLevel="0" collapsed="false">
      <c r="A674" s="49" t="s">
        <v>384</v>
      </c>
      <c r="B674" s="20"/>
      <c r="C674" s="1"/>
      <c r="D674" s="1"/>
      <c r="E674" s="1"/>
      <c r="F674" s="26"/>
    </row>
    <row r="675" customFormat="false" ht="16.8" hidden="false" customHeight="false" outlineLevel="0" collapsed="false">
      <c r="A675" s="49" t="s">
        <v>390</v>
      </c>
      <c r="B675" s="20" t="n">
        <v>7910</v>
      </c>
      <c r="C675" s="1"/>
      <c r="D675" s="1"/>
      <c r="E675" s="1"/>
      <c r="F675" s="26"/>
    </row>
    <row r="676" customFormat="false" ht="16.8" hidden="false" customHeight="false" outlineLevel="0" collapsed="false">
      <c r="A676" s="25" t="s">
        <v>11</v>
      </c>
      <c r="B676" s="35" t="n">
        <f aca="false">SUM(B663:B675)</f>
        <v>80360</v>
      </c>
      <c r="C676" s="1"/>
      <c r="D676" s="45"/>
      <c r="E676" s="45"/>
      <c r="F676" s="26"/>
    </row>
    <row r="677" customFormat="false" ht="13.2" hidden="false" customHeight="false" outlineLevel="0" collapsed="false">
      <c r="A677" s="1"/>
      <c r="B677" s="1"/>
      <c r="C677" s="1"/>
      <c r="D677" s="1"/>
      <c r="E677" s="1"/>
      <c r="F677" s="39"/>
    </row>
    <row r="678" customFormat="false" ht="16.8" hidden="false" customHeight="false" outlineLevel="0" collapsed="false">
      <c r="A678" s="39"/>
      <c r="B678" s="39"/>
      <c r="C678" s="141"/>
      <c r="D678" s="140" t="s">
        <v>396</v>
      </c>
      <c r="E678" s="140"/>
      <c r="F678" s="140"/>
    </row>
    <row r="679" customFormat="false" ht="13.2" hidden="false" customHeight="false" outlineLevel="0" collapsed="false">
      <c r="A679" s="26"/>
      <c r="B679" s="26"/>
      <c r="C679" s="26"/>
      <c r="D679" s="26"/>
      <c r="E679" s="141"/>
      <c r="F679" s="141"/>
    </row>
    <row r="683" customFormat="false" ht="18.6" hidden="false" customHeight="true" outlineLevel="0" collapsed="false">
      <c r="A683" s="118" t="s">
        <v>481</v>
      </c>
      <c r="B683" s="118"/>
      <c r="C683" s="118"/>
      <c r="D683" s="118"/>
      <c r="E683" s="118"/>
      <c r="F683" s="118"/>
    </row>
    <row r="684" customFormat="false" ht="13.8" hidden="false" customHeight="true" outlineLevel="0" collapsed="false">
      <c r="A684" s="119" t="s">
        <v>2</v>
      </c>
      <c r="B684" s="119"/>
      <c r="C684" s="119"/>
      <c r="D684" s="119"/>
      <c r="E684" s="119"/>
      <c r="F684" s="119"/>
    </row>
    <row r="685" customFormat="false" ht="16.8" hidden="false" customHeight="false" outlineLevel="0" collapsed="false">
      <c r="A685" s="13" t="s">
        <v>3</v>
      </c>
      <c r="B685" s="14"/>
      <c r="C685" s="14"/>
      <c r="D685" s="46"/>
      <c r="E685" s="66" t="s">
        <v>4</v>
      </c>
      <c r="F685" s="66"/>
    </row>
    <row r="686" customFormat="false" ht="33.6" hidden="false" customHeight="false" outlineLevel="0" collapsed="false">
      <c r="A686" s="17" t="s">
        <v>5</v>
      </c>
      <c r="B686" s="17" t="s">
        <v>5</v>
      </c>
      <c r="C686" s="17" t="s">
        <v>482</v>
      </c>
      <c r="D686" s="17" t="s">
        <v>7</v>
      </c>
      <c r="E686" s="17" t="s">
        <v>8</v>
      </c>
      <c r="F686" s="150"/>
    </row>
    <row r="687" customFormat="false" ht="16.8" hidden="false" customHeight="false" outlineLevel="0" collapsed="false">
      <c r="A687" s="19" t="s">
        <v>9</v>
      </c>
      <c r="B687" s="20" t="n">
        <f aca="false">E638</f>
        <v>45</v>
      </c>
      <c r="C687" s="0" t="n">
        <v>50</v>
      </c>
      <c r="D687" s="20"/>
      <c r="E687" s="47" t="n">
        <f aca="false">B687+C687-D687</f>
        <v>95</v>
      </c>
    </row>
    <row r="688" customFormat="false" ht="33.6" hidden="false" customHeight="false" outlineLevel="0" collapsed="false">
      <c r="A688" s="97" t="s">
        <v>159</v>
      </c>
      <c r="B688" s="20" t="n">
        <f aca="false">E639</f>
        <v>82160</v>
      </c>
      <c r="C688" s="20" t="n">
        <v>22960</v>
      </c>
      <c r="D688" s="20"/>
      <c r="E688" s="47" t="n">
        <f aca="false">B688+C688-D688</f>
        <v>105120</v>
      </c>
    </row>
    <row r="689" customFormat="false" ht="50.4" hidden="false" customHeight="false" outlineLevel="0" collapsed="false">
      <c r="A689" s="97" t="s">
        <v>414</v>
      </c>
      <c r="B689" s="20" t="n">
        <f aca="false">E640</f>
        <v>0</v>
      </c>
      <c r="C689" s="20"/>
      <c r="D689" s="20"/>
      <c r="E689" s="47" t="n">
        <f aca="false">B689+C689-D689</f>
        <v>0</v>
      </c>
    </row>
    <row r="690" customFormat="false" ht="33.6" hidden="false" customHeight="false" outlineLevel="0" collapsed="false">
      <c r="A690" s="97" t="s">
        <v>202</v>
      </c>
      <c r="B690" s="20" t="n">
        <f aca="false">E641</f>
        <v>0</v>
      </c>
      <c r="C690" s="20" t="n">
        <v>935</v>
      </c>
      <c r="D690" s="20"/>
      <c r="E690" s="47" t="n">
        <f aca="false">B690+C690-D690</f>
        <v>935</v>
      </c>
    </row>
    <row r="691" customFormat="false" ht="16.8" hidden="false" customHeight="false" outlineLevel="0" collapsed="false">
      <c r="A691" s="19" t="s">
        <v>10</v>
      </c>
      <c r="B691" s="20" t="n">
        <f aca="false">E642</f>
        <v>201104</v>
      </c>
      <c r="C691" s="20" t="n">
        <f aca="false">43433-C687</f>
        <v>43383</v>
      </c>
      <c r="D691" s="20"/>
      <c r="E691" s="47" t="n">
        <f aca="false">B691+C691-D691</f>
        <v>244487</v>
      </c>
    </row>
    <row r="692" customFormat="false" ht="16.8" hidden="false" customHeight="false" outlineLevel="0" collapsed="false">
      <c r="A692" s="21" t="s">
        <v>11</v>
      </c>
      <c r="B692" s="22" t="n">
        <f aca="false">SUM(B687:B691)</f>
        <v>283309</v>
      </c>
      <c r="C692" s="22" t="n">
        <f aca="false">SUM(C688:C691)</f>
        <v>67278</v>
      </c>
      <c r="D692" s="22" t="n">
        <f aca="false">SUM(D687:D691)</f>
        <v>0</v>
      </c>
      <c r="E692" s="22" t="n">
        <f aca="false">SUM(E687:E691)</f>
        <v>350637</v>
      </c>
    </row>
    <row r="693" customFormat="false" ht="16.8" hidden="false" customHeight="false" outlineLevel="0" collapsed="false">
      <c r="A693" s="126" t="s">
        <v>87</v>
      </c>
      <c r="B693" s="126"/>
      <c r="C693" s="126"/>
      <c r="D693" s="126"/>
      <c r="E693" s="126"/>
    </row>
    <row r="694" customFormat="false" ht="16.8" hidden="false" customHeight="false" outlineLevel="0" collapsed="false">
      <c r="A694" s="13" t="s">
        <v>12</v>
      </c>
      <c r="B694" s="13"/>
      <c r="C694" s="13"/>
      <c r="D694" s="13"/>
      <c r="E694" s="13"/>
      <c r="F694" s="13"/>
    </row>
    <row r="695" customFormat="false" ht="50.4" hidden="false" customHeight="false" outlineLevel="0" collapsed="false">
      <c r="A695" s="25" t="s">
        <v>13</v>
      </c>
      <c r="B695" s="17" t="s">
        <v>483</v>
      </c>
      <c r="C695" s="17" t="s">
        <v>484</v>
      </c>
      <c r="D695" s="120" t="s">
        <v>418</v>
      </c>
      <c r="E695" s="143" t="s">
        <v>419</v>
      </c>
      <c r="F695" s="120" t="s">
        <v>16</v>
      </c>
    </row>
    <row r="696" customFormat="false" ht="33.6" hidden="false" customHeight="false" outlineLevel="0" collapsed="false">
      <c r="A696" s="49" t="s">
        <v>49</v>
      </c>
      <c r="B696" s="20" t="n">
        <f aca="false">B646+C646</f>
        <v>13900</v>
      </c>
      <c r="C696" s="20" t="n">
        <v>7350</v>
      </c>
      <c r="D696" s="34" t="n">
        <f aca="false">C696+C697+B696+B697</f>
        <v>40700</v>
      </c>
      <c r="E696" s="34"/>
      <c r="F696" s="122" t="n">
        <f aca="false">E696/D696</f>
        <v>0</v>
      </c>
    </row>
    <row r="697" customFormat="false" ht="16.8" hidden="false" customHeight="false" outlineLevel="0" collapsed="false">
      <c r="A697" s="49" t="s">
        <v>466</v>
      </c>
      <c r="B697" s="20" t="n">
        <f aca="false">B647+C647</f>
        <v>14500</v>
      </c>
      <c r="C697" s="20" t="n">
        <v>4950</v>
      </c>
      <c r="D697" s="34"/>
      <c r="E697" s="34"/>
      <c r="F697" s="122"/>
    </row>
    <row r="698" customFormat="false" ht="16.8" hidden="false" customHeight="false" outlineLevel="0" collapsed="false">
      <c r="A698" s="49" t="s">
        <v>432</v>
      </c>
      <c r="B698" s="20" t="n">
        <f aca="false">B648+C648</f>
        <v>0</v>
      </c>
      <c r="C698" s="20"/>
      <c r="D698" s="34" t="n">
        <f aca="false">SUM(B698:C708)</f>
        <v>64500</v>
      </c>
      <c r="E698" s="34"/>
      <c r="F698" s="122" t="n">
        <f aca="false">E698/D698</f>
        <v>0</v>
      </c>
    </row>
    <row r="699" customFormat="false" ht="16.8" hidden="false" customHeight="false" outlineLevel="0" collapsed="false">
      <c r="A699" s="49" t="s">
        <v>403</v>
      </c>
      <c r="B699" s="20" t="n">
        <f aca="false">B649+C649</f>
        <v>0</v>
      </c>
      <c r="C699" s="20" t="n">
        <v>4400</v>
      </c>
      <c r="D699" s="34"/>
      <c r="E699" s="34"/>
      <c r="F699" s="122"/>
    </row>
    <row r="700" customFormat="false" ht="16.8" hidden="false" customHeight="false" outlineLevel="0" collapsed="false">
      <c r="A700" s="49" t="s">
        <v>401</v>
      </c>
      <c r="B700" s="20" t="n">
        <f aca="false">B650+C650</f>
        <v>2400</v>
      </c>
      <c r="C700" s="20"/>
      <c r="D700" s="34"/>
      <c r="E700" s="34"/>
      <c r="F700" s="122"/>
    </row>
    <row r="701" customFormat="false" ht="16.8" hidden="false" customHeight="false" outlineLevel="0" collapsed="false">
      <c r="A701" s="49" t="s">
        <v>433</v>
      </c>
      <c r="B701" s="20" t="n">
        <f aca="false">B651+C651</f>
        <v>4650</v>
      </c>
      <c r="C701" s="20"/>
      <c r="D701" s="34"/>
      <c r="E701" s="34"/>
      <c r="F701" s="122"/>
    </row>
    <row r="702" customFormat="false" ht="16.8" hidden="false" customHeight="false" outlineLevel="0" collapsed="false">
      <c r="A702" s="49" t="s">
        <v>434</v>
      </c>
      <c r="B702" s="20" t="n">
        <f aca="false">B652+C652</f>
        <v>5000</v>
      </c>
      <c r="C702" s="20"/>
      <c r="D702" s="34"/>
      <c r="E702" s="34"/>
      <c r="F702" s="122"/>
    </row>
    <row r="703" customFormat="false" ht="16.8" hidden="false" customHeight="false" outlineLevel="0" collapsed="false">
      <c r="A703" s="49" t="s">
        <v>399</v>
      </c>
      <c r="B703" s="20" t="n">
        <f aca="false">B653+C653</f>
        <v>0</v>
      </c>
      <c r="C703" s="20"/>
      <c r="D703" s="34"/>
      <c r="E703" s="34"/>
      <c r="F703" s="122"/>
    </row>
    <row r="704" customFormat="false" ht="16.8" hidden="false" customHeight="false" outlineLevel="0" collapsed="false">
      <c r="A704" s="49" t="s">
        <v>435</v>
      </c>
      <c r="B704" s="20" t="n">
        <f aca="false">B654+C654</f>
        <v>13500</v>
      </c>
      <c r="C704" s="20" t="n">
        <v>900</v>
      </c>
      <c r="D704" s="34"/>
      <c r="E704" s="34"/>
      <c r="F704" s="122"/>
    </row>
    <row r="705" customFormat="false" ht="16.8" hidden="false" customHeight="false" outlineLevel="0" collapsed="false">
      <c r="A705" s="49" t="s">
        <v>436</v>
      </c>
      <c r="B705" s="20" t="n">
        <f aca="false">B655+C655</f>
        <v>27250</v>
      </c>
      <c r="C705" s="20" t="n">
        <v>3700</v>
      </c>
      <c r="D705" s="34"/>
      <c r="E705" s="34"/>
      <c r="F705" s="122"/>
    </row>
    <row r="706" customFormat="false" ht="16.8" hidden="false" customHeight="false" outlineLevel="0" collapsed="false">
      <c r="A706" s="49" t="s">
        <v>398</v>
      </c>
      <c r="B706" s="20" t="n">
        <f aca="false">B656+C656</f>
        <v>0</v>
      </c>
      <c r="C706" s="20"/>
      <c r="D706" s="34"/>
      <c r="E706" s="34"/>
      <c r="F706" s="122"/>
    </row>
    <row r="707" customFormat="false" ht="16.8" hidden="false" customHeight="false" outlineLevel="0" collapsed="false">
      <c r="A707" s="49" t="s">
        <v>384</v>
      </c>
      <c r="B707" s="20" t="n">
        <f aca="false">B657+C657</f>
        <v>0</v>
      </c>
      <c r="C707" s="20"/>
      <c r="D707" s="34"/>
      <c r="E707" s="34"/>
      <c r="F707" s="122"/>
    </row>
    <row r="708" customFormat="false" ht="16.8" hidden="false" customHeight="false" outlineLevel="0" collapsed="false">
      <c r="A708" s="49" t="s">
        <v>390</v>
      </c>
      <c r="B708" s="20" t="n">
        <f aca="false">B658+C658</f>
        <v>2300</v>
      </c>
      <c r="C708" s="20" t="n">
        <v>400</v>
      </c>
      <c r="D708" s="34"/>
      <c r="E708" s="34"/>
      <c r="F708" s="122"/>
    </row>
    <row r="709" customFormat="false" ht="16.8" hidden="false" customHeight="false" outlineLevel="0" collapsed="false">
      <c r="A709" s="30" t="s">
        <v>11</v>
      </c>
      <c r="B709" s="94" t="n">
        <f aca="false">SUM(B696:B708)</f>
        <v>83500</v>
      </c>
      <c r="C709" s="94" t="n">
        <f aca="false">SUM(C696:C708)</f>
        <v>21700</v>
      </c>
      <c r="D709" s="94" t="n">
        <f aca="false">SUM(D696:D708)</f>
        <v>105200</v>
      </c>
      <c r="E709" s="94" t="n">
        <f aca="false">E696+E698</f>
        <v>0</v>
      </c>
      <c r="F709" s="89" t="n">
        <f aca="false">E709/D709</f>
        <v>0</v>
      </c>
    </row>
    <row r="710" customFormat="false" ht="16.8" hidden="false" customHeight="false" outlineLevel="0" collapsed="false">
      <c r="A710" s="55" t="s">
        <v>476</v>
      </c>
      <c r="B710" s="56"/>
      <c r="C710" s="56"/>
      <c r="D710" s="56"/>
      <c r="E710" s="100"/>
      <c r="F710" s="100"/>
    </row>
    <row r="711" customFormat="false" ht="16.8" hidden="false" customHeight="false" outlineLevel="0" collapsed="false">
      <c r="A711" s="13" t="s">
        <v>20</v>
      </c>
      <c r="B711" s="1"/>
      <c r="C711" s="1"/>
      <c r="D711" s="1"/>
      <c r="E711" s="1"/>
      <c r="F711" s="1"/>
    </row>
    <row r="712" customFormat="false" ht="16.8" hidden="false" customHeight="false" outlineLevel="0" collapsed="false">
      <c r="A712" s="17" t="s">
        <v>13</v>
      </c>
      <c r="B712" s="17" t="s">
        <v>21</v>
      </c>
      <c r="C712" s="18"/>
      <c r="D712" s="18"/>
      <c r="E712" s="18"/>
      <c r="F712" s="39"/>
    </row>
    <row r="713" customFormat="false" ht="33.6" hidden="false" customHeight="false" outlineLevel="0" collapsed="false">
      <c r="A713" s="49" t="s">
        <v>420</v>
      </c>
      <c r="B713" s="20" t="n">
        <v>39950</v>
      </c>
      <c r="C713" s="18"/>
      <c r="D713" s="18"/>
      <c r="E713" s="18"/>
      <c r="F713" s="39"/>
    </row>
    <row r="714" customFormat="false" ht="16.8" hidden="false" customHeight="false" outlineLevel="0" collapsed="false">
      <c r="A714" s="49" t="s">
        <v>466</v>
      </c>
      <c r="B714" s="20" t="n">
        <v>9600</v>
      </c>
      <c r="C714" s="18"/>
      <c r="D714" s="18"/>
      <c r="E714" s="18"/>
      <c r="F714" s="39"/>
    </row>
    <row r="715" customFormat="false" ht="16.8" hidden="false" customHeight="false" outlineLevel="0" collapsed="false">
      <c r="A715" s="49" t="s">
        <v>432</v>
      </c>
      <c r="B715" s="20"/>
      <c r="C715" s="18"/>
      <c r="D715" s="18"/>
      <c r="E715" s="18"/>
      <c r="F715" s="39"/>
    </row>
    <row r="716" customFormat="false" ht="16.8" hidden="false" customHeight="false" outlineLevel="0" collapsed="false">
      <c r="A716" s="49" t="s">
        <v>403</v>
      </c>
      <c r="B716" s="20" t="n">
        <v>4400</v>
      </c>
      <c r="C716" s="18"/>
      <c r="D716" s="18"/>
      <c r="E716" s="18"/>
      <c r="F716" s="39"/>
    </row>
    <row r="717" customFormat="false" ht="16.8" hidden="false" customHeight="false" outlineLevel="0" collapsed="false">
      <c r="A717" s="49" t="s">
        <v>401</v>
      </c>
      <c r="B717" s="20"/>
      <c r="C717" s="18"/>
      <c r="D717" s="18"/>
      <c r="E717" s="18"/>
      <c r="F717" s="39"/>
    </row>
    <row r="718" customFormat="false" ht="16.8" hidden="false" customHeight="false" outlineLevel="0" collapsed="false">
      <c r="A718" s="49" t="s">
        <v>433</v>
      </c>
      <c r="B718" s="20"/>
      <c r="C718" s="18"/>
      <c r="D718" s="18"/>
      <c r="E718" s="18"/>
      <c r="F718" s="39"/>
    </row>
    <row r="719" customFormat="false" ht="16.8" hidden="false" customHeight="false" outlineLevel="0" collapsed="false">
      <c r="A719" s="49" t="s">
        <v>434</v>
      </c>
      <c r="B719" s="20"/>
      <c r="C719" s="18"/>
      <c r="D719" s="18"/>
      <c r="E719" s="18"/>
      <c r="F719" s="39"/>
    </row>
    <row r="720" customFormat="false" ht="16.8" hidden="false" customHeight="false" outlineLevel="0" collapsed="false">
      <c r="A720" s="49" t="s">
        <v>399</v>
      </c>
      <c r="B720" s="20"/>
      <c r="C720" s="18"/>
      <c r="D720" s="18"/>
      <c r="E720" s="18"/>
      <c r="F720" s="39"/>
    </row>
    <row r="721" customFormat="false" ht="16.8" hidden="false" customHeight="false" outlineLevel="0" collapsed="false">
      <c r="A721" s="49" t="s">
        <v>435</v>
      </c>
      <c r="B721" s="20" t="n">
        <v>2000</v>
      </c>
      <c r="C721" s="18"/>
      <c r="D721" s="18"/>
      <c r="E721" s="18"/>
      <c r="F721" s="39"/>
    </row>
    <row r="722" customFormat="false" ht="16.8" hidden="false" customHeight="false" outlineLevel="0" collapsed="false">
      <c r="A722" s="49" t="s">
        <v>436</v>
      </c>
      <c r="B722" s="20" t="n">
        <v>42390</v>
      </c>
      <c r="C722" s="18"/>
      <c r="D722" s="18"/>
      <c r="E722" s="18"/>
      <c r="F722" s="39"/>
    </row>
    <row r="723" customFormat="false" ht="16.8" hidden="false" customHeight="false" outlineLevel="0" collapsed="false">
      <c r="A723" s="49" t="s">
        <v>398</v>
      </c>
      <c r="B723" s="20"/>
      <c r="C723" s="1"/>
      <c r="D723" s="1"/>
      <c r="E723" s="1"/>
      <c r="F723" s="26"/>
    </row>
    <row r="724" customFormat="false" ht="16.8" hidden="false" customHeight="false" outlineLevel="0" collapsed="false">
      <c r="A724" s="49" t="s">
        <v>384</v>
      </c>
      <c r="B724" s="20"/>
      <c r="C724" s="1"/>
      <c r="D724" s="1"/>
      <c r="E724" s="1"/>
      <c r="F724" s="26"/>
    </row>
    <row r="725" customFormat="false" ht="16.8" hidden="false" customHeight="false" outlineLevel="0" collapsed="false">
      <c r="A725" s="49" t="s">
        <v>390</v>
      </c>
      <c r="B725" s="20" t="n">
        <v>3720</v>
      </c>
      <c r="C725" s="1"/>
      <c r="D725" s="1"/>
      <c r="E725" s="1"/>
      <c r="F725" s="26"/>
    </row>
    <row r="726" customFormat="false" ht="16.8" hidden="false" customHeight="false" outlineLevel="0" collapsed="false">
      <c r="A726" s="25" t="s">
        <v>11</v>
      </c>
      <c r="B726" s="35" t="n">
        <f aca="false">SUM(B713:B725)</f>
        <v>102060</v>
      </c>
      <c r="C726" s="1"/>
      <c r="D726" s="45"/>
      <c r="E726" s="45"/>
      <c r="F726" s="26"/>
    </row>
    <row r="727" customFormat="false" ht="13.2" hidden="false" customHeight="false" outlineLevel="0" collapsed="false">
      <c r="A727" s="1"/>
      <c r="B727" s="1"/>
      <c r="C727" s="1"/>
      <c r="D727" s="1"/>
      <c r="E727" s="1"/>
      <c r="F727" s="39"/>
    </row>
    <row r="728" customFormat="false" ht="16.8" hidden="false" customHeight="false" outlineLevel="0" collapsed="false">
      <c r="A728" s="39"/>
      <c r="B728" s="39"/>
      <c r="C728" s="141"/>
      <c r="D728" s="140" t="s">
        <v>396</v>
      </c>
      <c r="E728" s="140"/>
      <c r="F728" s="140"/>
    </row>
    <row r="729" customFormat="false" ht="13.2" hidden="false" customHeight="false" outlineLevel="0" collapsed="false">
      <c r="A729" s="26"/>
      <c r="B729" s="26"/>
      <c r="C729" s="26"/>
      <c r="D729" s="26"/>
      <c r="E729" s="141"/>
      <c r="F729" s="141"/>
    </row>
    <row r="731" customFormat="false" ht="18.6" hidden="false" customHeight="true" outlineLevel="0" collapsed="false">
      <c r="A731" s="118" t="s">
        <v>485</v>
      </c>
      <c r="B731" s="118"/>
      <c r="C731" s="118"/>
      <c r="D731" s="118"/>
      <c r="E731" s="118"/>
      <c r="F731" s="118"/>
    </row>
    <row r="732" customFormat="false" ht="13.8" hidden="false" customHeight="true" outlineLevel="0" collapsed="false">
      <c r="A732" s="119" t="s">
        <v>2</v>
      </c>
      <c r="B732" s="119"/>
      <c r="C732" s="119"/>
      <c r="D732" s="119"/>
      <c r="E732" s="119"/>
      <c r="F732" s="119"/>
    </row>
    <row r="733" customFormat="false" ht="16.8" hidden="false" customHeight="false" outlineLevel="0" collapsed="false">
      <c r="A733" s="13" t="s">
        <v>3</v>
      </c>
      <c r="B733" s="14"/>
      <c r="C733" s="14"/>
      <c r="D733" s="46"/>
      <c r="E733" s="66" t="s">
        <v>4</v>
      </c>
      <c r="F733" s="66"/>
    </row>
    <row r="734" customFormat="false" ht="33.6" hidden="false" customHeight="false" outlineLevel="0" collapsed="false">
      <c r="A734" s="17" t="s">
        <v>5</v>
      </c>
      <c r="B734" s="17" t="s">
        <v>5</v>
      </c>
      <c r="C734" s="17" t="s">
        <v>486</v>
      </c>
      <c r="D734" s="17" t="s">
        <v>7</v>
      </c>
      <c r="E734" s="17" t="s">
        <v>8</v>
      </c>
      <c r="F734" s="150"/>
    </row>
    <row r="735" customFormat="false" ht="16.8" hidden="false" customHeight="false" outlineLevel="0" collapsed="false">
      <c r="A735" s="19" t="s">
        <v>9</v>
      </c>
      <c r="B735" s="20" t="n">
        <f aca="false">E687</f>
        <v>95</v>
      </c>
      <c r="D735" s="20" t="n">
        <v>95</v>
      </c>
      <c r="E735" s="47" t="n">
        <f aca="false">B735+C735-D735</f>
        <v>0</v>
      </c>
    </row>
    <row r="736" customFormat="false" ht="33.6" hidden="false" customHeight="false" outlineLevel="0" collapsed="false">
      <c r="A736" s="97" t="s">
        <v>159</v>
      </c>
      <c r="B736" s="20" t="n">
        <f aca="false">E688</f>
        <v>105120</v>
      </c>
      <c r="C736" s="20" t="n">
        <v>43460</v>
      </c>
      <c r="D736" s="20" t="n">
        <f aca="false">148580-4920</f>
        <v>143660</v>
      </c>
      <c r="E736" s="47" t="n">
        <f aca="false">B736+C736-D736</f>
        <v>4920</v>
      </c>
    </row>
    <row r="737" customFormat="false" ht="50.4" hidden="false" customHeight="false" outlineLevel="0" collapsed="false">
      <c r="A737" s="97" t="s">
        <v>414</v>
      </c>
      <c r="B737" s="20" t="n">
        <f aca="false">E689</f>
        <v>0</v>
      </c>
      <c r="C737" s="20"/>
      <c r="D737" s="20"/>
      <c r="E737" s="47" t="n">
        <f aca="false">B737+C737-D737</f>
        <v>0</v>
      </c>
    </row>
    <row r="738" customFormat="false" ht="33.6" hidden="false" customHeight="false" outlineLevel="0" collapsed="false">
      <c r="A738" s="97" t="s">
        <v>202</v>
      </c>
      <c r="B738" s="20" t="n">
        <f aca="false">E690</f>
        <v>935</v>
      </c>
      <c r="C738" s="20"/>
      <c r="D738" s="20" t="n">
        <v>935</v>
      </c>
      <c r="E738" s="47" t="n">
        <f aca="false">B738+C738-D738</f>
        <v>0</v>
      </c>
    </row>
    <row r="739" customFormat="false" ht="16.8" hidden="false" customHeight="false" outlineLevel="0" collapsed="false">
      <c r="A739" s="19" t="s">
        <v>10</v>
      </c>
      <c r="B739" s="20" t="n">
        <f aca="false">E691</f>
        <v>244487</v>
      </c>
      <c r="C739" s="20" t="n">
        <v>5292</v>
      </c>
      <c r="D739" s="20" t="n">
        <v>249779</v>
      </c>
      <c r="E739" s="47" t="n">
        <f aca="false">B739+C739-D739</f>
        <v>0</v>
      </c>
    </row>
    <row r="740" customFormat="false" ht="16.8" hidden="false" customHeight="false" outlineLevel="0" collapsed="false">
      <c r="A740" s="21" t="s">
        <v>11</v>
      </c>
      <c r="B740" s="22" t="n">
        <f aca="false">SUM(B735:B739)</f>
        <v>350637</v>
      </c>
      <c r="C740" s="22" t="n">
        <f aca="false">SUM(C736:C739)</f>
        <v>48752</v>
      </c>
      <c r="D740" s="22" t="n">
        <f aca="false">SUM(D735:D739)</f>
        <v>394469</v>
      </c>
      <c r="E740" s="22" t="n">
        <f aca="false">SUM(E735:E739)</f>
        <v>4920</v>
      </c>
    </row>
    <row r="741" customFormat="false" ht="16.8" hidden="false" customHeight="false" outlineLevel="0" collapsed="false">
      <c r="A741" s="13" t="s">
        <v>12</v>
      </c>
      <c r="B741" s="13"/>
      <c r="C741" s="13"/>
      <c r="D741" s="13"/>
      <c r="E741" s="13"/>
      <c r="F741" s="13"/>
    </row>
    <row r="742" customFormat="false" ht="50.4" hidden="false" customHeight="false" outlineLevel="0" collapsed="false">
      <c r="A742" s="25" t="s">
        <v>13</v>
      </c>
      <c r="B742" s="17" t="s">
        <v>487</v>
      </c>
      <c r="C742" s="17" t="s">
        <v>488</v>
      </c>
      <c r="D742" s="120" t="s">
        <v>418</v>
      </c>
      <c r="E742" s="143" t="s">
        <v>419</v>
      </c>
      <c r="F742" s="120" t="s">
        <v>16</v>
      </c>
    </row>
    <row r="743" customFormat="false" ht="33.6" hidden="false" customHeight="false" outlineLevel="0" collapsed="false">
      <c r="A743" s="49" t="s">
        <v>49</v>
      </c>
      <c r="B743" s="20" t="n">
        <f aca="false">B696+C696</f>
        <v>21250</v>
      </c>
      <c r="C743" s="20"/>
      <c r="D743" s="34" t="n">
        <f aca="false">C743+C744+B743+B744</f>
        <v>49550</v>
      </c>
      <c r="E743" s="34" t="n">
        <f aca="false">D735+D736</f>
        <v>143755</v>
      </c>
      <c r="F743" s="122" t="n">
        <f aca="false">E743/D743</f>
        <v>2.90121089808274</v>
      </c>
    </row>
    <row r="744" customFormat="false" ht="16.8" hidden="false" customHeight="false" outlineLevel="0" collapsed="false">
      <c r="A744" s="49" t="s">
        <v>466</v>
      </c>
      <c r="B744" s="20" t="n">
        <f aca="false">B697+C697</f>
        <v>19450</v>
      </c>
      <c r="C744" s="20" t="n">
        <v>8850</v>
      </c>
      <c r="D744" s="34"/>
      <c r="E744" s="34"/>
      <c r="F744" s="122"/>
    </row>
    <row r="745" customFormat="false" ht="16.8" hidden="false" customHeight="false" outlineLevel="0" collapsed="false">
      <c r="A745" s="49" t="s">
        <v>432</v>
      </c>
      <c r="B745" s="20" t="n">
        <f aca="false">B698+C698</f>
        <v>0</v>
      </c>
      <c r="C745" s="20"/>
      <c r="D745" s="34" t="n">
        <f aca="false">SUM(B745:C755)</f>
        <v>71160</v>
      </c>
      <c r="E745" s="34" t="n">
        <f aca="false">D738+D739</f>
        <v>250714</v>
      </c>
      <c r="F745" s="145" t="n">
        <f aca="false">E745/D745</f>
        <v>3.52324339516582</v>
      </c>
    </row>
    <row r="746" customFormat="false" ht="16.8" hidden="false" customHeight="false" outlineLevel="0" collapsed="false">
      <c r="A746" s="49" t="s">
        <v>403</v>
      </c>
      <c r="B746" s="20" t="n">
        <f aca="false">B699+C699</f>
        <v>4400</v>
      </c>
      <c r="C746" s="20"/>
      <c r="D746" s="34"/>
      <c r="E746" s="34"/>
      <c r="F746" s="145"/>
    </row>
    <row r="747" customFormat="false" ht="16.8" hidden="false" customHeight="false" outlineLevel="0" collapsed="false">
      <c r="A747" s="49" t="s">
        <v>401</v>
      </c>
      <c r="B747" s="20" t="n">
        <f aca="false">B700+C700</f>
        <v>2400</v>
      </c>
      <c r="C747" s="20"/>
      <c r="D747" s="34"/>
      <c r="E747" s="34"/>
      <c r="F747" s="145"/>
    </row>
    <row r="748" customFormat="false" ht="16.8" hidden="false" customHeight="false" outlineLevel="0" collapsed="false">
      <c r="A748" s="49" t="s">
        <v>433</v>
      </c>
      <c r="B748" s="20" t="n">
        <f aca="false">B701+C701</f>
        <v>4650</v>
      </c>
      <c r="C748" s="20" t="n">
        <v>5360</v>
      </c>
      <c r="D748" s="34"/>
      <c r="E748" s="34"/>
      <c r="F748" s="145"/>
    </row>
    <row r="749" customFormat="false" ht="16.8" hidden="false" customHeight="false" outlineLevel="0" collapsed="false">
      <c r="A749" s="49" t="s">
        <v>434</v>
      </c>
      <c r="B749" s="20" t="n">
        <f aca="false">B702+C702</f>
        <v>5000</v>
      </c>
      <c r="C749" s="20"/>
      <c r="D749" s="34"/>
      <c r="E749" s="34"/>
      <c r="F749" s="145"/>
    </row>
    <row r="750" customFormat="false" ht="16.8" hidden="false" customHeight="false" outlineLevel="0" collapsed="false">
      <c r="A750" s="49" t="s">
        <v>399</v>
      </c>
      <c r="B750" s="20" t="n">
        <f aca="false">B703+C703</f>
        <v>0</v>
      </c>
      <c r="C750" s="20"/>
      <c r="D750" s="34"/>
      <c r="E750" s="34"/>
      <c r="F750" s="145"/>
    </row>
    <row r="751" customFormat="false" ht="16.8" hidden="false" customHeight="false" outlineLevel="0" collapsed="false">
      <c r="A751" s="49" t="s">
        <v>435</v>
      </c>
      <c r="B751" s="20" t="n">
        <f aca="false">B704+C704</f>
        <v>14400</v>
      </c>
      <c r="C751" s="20"/>
      <c r="D751" s="34"/>
      <c r="E751" s="34"/>
      <c r="F751" s="145"/>
    </row>
    <row r="752" customFormat="false" ht="16.8" hidden="false" customHeight="false" outlineLevel="0" collapsed="false">
      <c r="A752" s="49" t="s">
        <v>436</v>
      </c>
      <c r="B752" s="20" t="n">
        <f aca="false">B705+C705</f>
        <v>30950</v>
      </c>
      <c r="C752" s="20" t="n">
        <v>250</v>
      </c>
      <c r="D752" s="34"/>
      <c r="E752" s="34"/>
      <c r="F752" s="145"/>
    </row>
    <row r="753" customFormat="false" ht="16.8" hidden="false" customHeight="false" outlineLevel="0" collapsed="false">
      <c r="A753" s="49" t="s">
        <v>398</v>
      </c>
      <c r="B753" s="20" t="n">
        <f aca="false">B706+C706</f>
        <v>0</v>
      </c>
      <c r="C753" s="20"/>
      <c r="D753" s="34"/>
      <c r="E753" s="34"/>
      <c r="F753" s="145"/>
    </row>
    <row r="754" customFormat="false" ht="16.8" hidden="false" customHeight="false" outlineLevel="0" collapsed="false">
      <c r="A754" s="49" t="s">
        <v>384</v>
      </c>
      <c r="B754" s="20" t="n">
        <f aca="false">B707+C707</f>
        <v>0</v>
      </c>
      <c r="C754" s="20"/>
      <c r="D754" s="34"/>
      <c r="E754" s="34"/>
      <c r="F754" s="145"/>
    </row>
    <row r="755" customFormat="false" ht="16.8" hidden="false" customHeight="false" outlineLevel="0" collapsed="false">
      <c r="A755" s="49" t="s">
        <v>390</v>
      </c>
      <c r="B755" s="20" t="n">
        <f aca="false">B708+C708</f>
        <v>2700</v>
      </c>
      <c r="C755" s="20" t="n">
        <v>1050</v>
      </c>
      <c r="D755" s="34"/>
      <c r="E755" s="34"/>
      <c r="F755" s="147"/>
    </row>
    <row r="756" customFormat="false" ht="16.8" hidden="false" customHeight="false" outlineLevel="0" collapsed="false">
      <c r="A756" s="30" t="s">
        <v>11</v>
      </c>
      <c r="B756" s="94" t="n">
        <f aca="false">SUM(B743:B755)</f>
        <v>105200</v>
      </c>
      <c r="C756" s="94" t="n">
        <f aca="false">SUM(C743:C755)</f>
        <v>15510</v>
      </c>
      <c r="D756" s="94" t="n">
        <f aca="false">SUM(D743:D755)</f>
        <v>120710</v>
      </c>
      <c r="E756" s="94" t="n">
        <f aca="false">E743+E745</f>
        <v>394469</v>
      </c>
      <c r="F756" s="89" t="n">
        <f aca="false">E756/D756</f>
        <v>3.26790655289537</v>
      </c>
    </row>
    <row r="757" customFormat="false" ht="16.8" hidden="false" customHeight="false" outlineLevel="0" collapsed="false">
      <c r="A757" s="55" t="s">
        <v>476</v>
      </c>
      <c r="B757" s="56"/>
      <c r="C757" s="56"/>
      <c r="D757" s="56"/>
      <c r="E757" s="100"/>
      <c r="F757" s="100"/>
    </row>
    <row r="758" customFormat="false" ht="16.8" hidden="false" customHeight="false" outlineLevel="0" collapsed="false">
      <c r="A758" s="13" t="s">
        <v>20</v>
      </c>
      <c r="B758" s="1"/>
      <c r="C758" s="1"/>
      <c r="D758" s="1"/>
      <c r="E758" s="1"/>
      <c r="F758" s="1"/>
    </row>
    <row r="759" customFormat="false" ht="16.8" hidden="false" customHeight="false" outlineLevel="0" collapsed="false">
      <c r="A759" s="17" t="s">
        <v>13</v>
      </c>
      <c r="B759" s="17" t="s">
        <v>21</v>
      </c>
      <c r="C759" s="18"/>
      <c r="D759" s="18"/>
      <c r="E759" s="18"/>
      <c r="F759" s="39"/>
    </row>
    <row r="760" customFormat="false" ht="33.6" hidden="false" customHeight="false" outlineLevel="0" collapsed="false">
      <c r="A760" s="49" t="s">
        <v>420</v>
      </c>
      <c r="B760" s="20" t="n">
        <v>39950</v>
      </c>
      <c r="C760" s="18"/>
      <c r="D760" s="18"/>
      <c r="E760" s="18"/>
      <c r="F760" s="39"/>
    </row>
    <row r="761" customFormat="false" ht="16.8" hidden="false" customHeight="false" outlineLevel="0" collapsed="false">
      <c r="A761" s="49" t="s">
        <v>466</v>
      </c>
      <c r="B761" s="20" t="n">
        <v>9600</v>
      </c>
      <c r="C761" s="18"/>
      <c r="D761" s="18"/>
      <c r="E761" s="18"/>
      <c r="F761" s="39"/>
    </row>
    <row r="762" customFormat="false" ht="16.8" hidden="false" customHeight="false" outlineLevel="0" collapsed="false">
      <c r="A762" s="49" t="s">
        <v>432</v>
      </c>
      <c r="B762" s="20"/>
      <c r="C762" s="18"/>
      <c r="D762" s="18"/>
      <c r="E762" s="18"/>
      <c r="F762" s="39"/>
    </row>
    <row r="763" customFormat="false" ht="16.8" hidden="false" customHeight="false" outlineLevel="0" collapsed="false">
      <c r="A763" s="49" t="s">
        <v>403</v>
      </c>
      <c r="B763" s="20" t="n">
        <v>4400</v>
      </c>
      <c r="C763" s="18"/>
      <c r="D763" s="18"/>
      <c r="E763" s="18"/>
      <c r="F763" s="39"/>
    </row>
    <row r="764" customFormat="false" ht="16.8" hidden="false" customHeight="false" outlineLevel="0" collapsed="false">
      <c r="A764" s="49" t="s">
        <v>401</v>
      </c>
      <c r="B764" s="20"/>
      <c r="C764" s="18"/>
      <c r="D764" s="18"/>
      <c r="E764" s="18"/>
      <c r="F764" s="39"/>
    </row>
    <row r="765" customFormat="false" ht="16.8" hidden="false" customHeight="false" outlineLevel="0" collapsed="false">
      <c r="A765" s="49" t="s">
        <v>433</v>
      </c>
      <c r="B765" s="20"/>
      <c r="C765" s="18"/>
      <c r="D765" s="18"/>
      <c r="E765" s="18"/>
      <c r="F765" s="39"/>
    </row>
    <row r="766" customFormat="false" ht="16.8" hidden="false" customHeight="false" outlineLevel="0" collapsed="false">
      <c r="A766" s="49" t="s">
        <v>434</v>
      </c>
      <c r="B766" s="20"/>
      <c r="C766" s="18"/>
      <c r="D766" s="18"/>
      <c r="E766" s="18"/>
      <c r="F766" s="39"/>
    </row>
    <row r="767" customFormat="false" ht="16.8" hidden="false" customHeight="false" outlineLevel="0" collapsed="false">
      <c r="A767" s="49" t="s">
        <v>399</v>
      </c>
      <c r="B767" s="20"/>
      <c r="C767" s="18"/>
      <c r="D767" s="18"/>
      <c r="E767" s="18"/>
      <c r="F767" s="39"/>
    </row>
    <row r="768" customFormat="false" ht="16.8" hidden="false" customHeight="false" outlineLevel="0" collapsed="false">
      <c r="A768" s="49" t="s">
        <v>435</v>
      </c>
      <c r="B768" s="20" t="n">
        <v>2000</v>
      </c>
      <c r="C768" s="18"/>
      <c r="D768" s="18"/>
      <c r="E768" s="18"/>
      <c r="F768" s="39"/>
    </row>
    <row r="769" customFormat="false" ht="16.8" hidden="false" customHeight="false" outlineLevel="0" collapsed="false">
      <c r="A769" s="49" t="s">
        <v>436</v>
      </c>
      <c r="B769" s="20" t="n">
        <v>42390</v>
      </c>
      <c r="C769" s="18"/>
      <c r="D769" s="18"/>
      <c r="E769" s="18"/>
      <c r="F769" s="39"/>
    </row>
    <row r="770" customFormat="false" ht="16.8" hidden="false" customHeight="false" outlineLevel="0" collapsed="false">
      <c r="A770" s="49" t="s">
        <v>398</v>
      </c>
      <c r="B770" s="20"/>
      <c r="C770" s="1"/>
      <c r="D770" s="1"/>
      <c r="E770" s="1"/>
      <c r="F770" s="26"/>
    </row>
    <row r="771" customFormat="false" ht="16.8" hidden="false" customHeight="false" outlineLevel="0" collapsed="false">
      <c r="A771" s="49" t="s">
        <v>384</v>
      </c>
      <c r="B771" s="20"/>
      <c r="C771" s="1"/>
      <c r="D771" s="1"/>
      <c r="E771" s="1"/>
      <c r="F771" s="26"/>
    </row>
    <row r="772" customFormat="false" ht="16.8" hidden="false" customHeight="false" outlineLevel="0" collapsed="false">
      <c r="A772" s="49" t="s">
        <v>390</v>
      </c>
      <c r="B772" s="20" t="n">
        <v>3720</v>
      </c>
      <c r="C772" s="1"/>
      <c r="D772" s="1"/>
      <c r="E772" s="1"/>
      <c r="F772" s="26"/>
    </row>
    <row r="773" customFormat="false" ht="16.8" hidden="false" customHeight="false" outlineLevel="0" collapsed="false">
      <c r="A773" s="25" t="s">
        <v>11</v>
      </c>
      <c r="B773" s="35" t="n">
        <f aca="false">SUM(B760:B772)</f>
        <v>102060</v>
      </c>
      <c r="C773" s="1"/>
      <c r="D773" s="45"/>
      <c r="E773" s="45"/>
      <c r="F773" s="26"/>
    </row>
    <row r="774" customFormat="false" ht="13.2" hidden="false" customHeight="false" outlineLevel="0" collapsed="false">
      <c r="A774" s="1"/>
      <c r="B774" s="1"/>
      <c r="C774" s="1"/>
      <c r="D774" s="1"/>
      <c r="E774" s="1"/>
      <c r="F774" s="39"/>
    </row>
    <row r="775" customFormat="false" ht="16.8" hidden="false" customHeight="false" outlineLevel="0" collapsed="false">
      <c r="A775" s="39"/>
      <c r="B775" s="39"/>
      <c r="C775" s="141"/>
      <c r="D775" s="140" t="s">
        <v>396</v>
      </c>
      <c r="E775" s="140"/>
      <c r="F775" s="140"/>
    </row>
    <row r="780" customFormat="false" ht="18.6" hidden="false" customHeight="true" outlineLevel="0" collapsed="false">
      <c r="A780" s="118" t="s">
        <v>489</v>
      </c>
      <c r="B780" s="118"/>
      <c r="C780" s="118"/>
      <c r="D780" s="118"/>
      <c r="E780" s="118"/>
      <c r="F780" s="118"/>
    </row>
    <row r="781" customFormat="false" ht="13.8" hidden="false" customHeight="true" outlineLevel="0" collapsed="false">
      <c r="A781" s="119" t="s">
        <v>2</v>
      </c>
      <c r="B781" s="119"/>
      <c r="C781" s="119"/>
      <c r="D781" s="119"/>
      <c r="E781" s="119"/>
      <c r="F781" s="119"/>
    </row>
    <row r="782" customFormat="false" ht="16.8" hidden="false" customHeight="false" outlineLevel="0" collapsed="false">
      <c r="A782" s="13" t="s">
        <v>3</v>
      </c>
      <c r="B782" s="14"/>
      <c r="C782" s="14"/>
      <c r="D782" s="46"/>
      <c r="E782" s="66" t="s">
        <v>4</v>
      </c>
      <c r="F782" s="66"/>
    </row>
    <row r="783" customFormat="false" ht="33.6" hidden="false" customHeight="false" outlineLevel="0" collapsed="false">
      <c r="A783" s="17" t="s">
        <v>5</v>
      </c>
      <c r="B783" s="17" t="s">
        <v>5</v>
      </c>
      <c r="C783" s="17" t="s">
        <v>490</v>
      </c>
      <c r="D783" s="17" t="s">
        <v>7</v>
      </c>
      <c r="E783" s="17" t="s">
        <v>8</v>
      </c>
      <c r="F783" s="150"/>
    </row>
    <row r="784" customFormat="false" ht="16.8" hidden="false" customHeight="false" outlineLevel="0" collapsed="false">
      <c r="A784" s="19" t="s">
        <v>9</v>
      </c>
      <c r="B784" s="20" t="n">
        <f aca="false">E735</f>
        <v>0</v>
      </c>
      <c r="D784" s="20"/>
      <c r="E784" s="47" t="n">
        <f aca="false">B784+C784-D784</f>
        <v>0</v>
      </c>
    </row>
    <row r="785" customFormat="false" ht="33.6" hidden="false" customHeight="false" outlineLevel="0" collapsed="false">
      <c r="A785" s="97" t="s">
        <v>159</v>
      </c>
      <c r="B785" s="20" t="n">
        <f aca="false">E736</f>
        <v>4920</v>
      </c>
      <c r="C785" s="20" t="n">
        <v>18370</v>
      </c>
      <c r="D785" s="20" t="n">
        <v>23290</v>
      </c>
      <c r="E785" s="47" t="n">
        <f aca="false">B785+C785-D785</f>
        <v>0</v>
      </c>
    </row>
    <row r="786" customFormat="false" ht="50.4" hidden="false" customHeight="false" outlineLevel="0" collapsed="false">
      <c r="A786" s="97" t="s">
        <v>414</v>
      </c>
      <c r="B786" s="20" t="n">
        <f aca="false">E737</f>
        <v>0</v>
      </c>
      <c r="C786" s="20"/>
      <c r="D786" s="20"/>
      <c r="E786" s="47" t="n">
        <f aca="false">B786+C786-D786</f>
        <v>0</v>
      </c>
    </row>
    <row r="787" customFormat="false" ht="33.6" hidden="false" customHeight="false" outlineLevel="0" collapsed="false">
      <c r="A787" s="97" t="s">
        <v>202</v>
      </c>
      <c r="B787" s="20" t="n">
        <f aca="false">E738</f>
        <v>0</v>
      </c>
      <c r="C787" s="20"/>
      <c r="D787" s="20"/>
      <c r="E787" s="47" t="n">
        <f aca="false">B787+C787-D787</f>
        <v>0</v>
      </c>
    </row>
    <row r="788" customFormat="false" ht="16.8" hidden="false" customHeight="false" outlineLevel="0" collapsed="false">
      <c r="A788" s="19" t="s">
        <v>10</v>
      </c>
      <c r="B788" s="20" t="n">
        <f aca="false">E739</f>
        <v>0</v>
      </c>
      <c r="C788" s="20" t="n">
        <v>18238</v>
      </c>
      <c r="D788" s="20" t="n">
        <v>18238</v>
      </c>
      <c r="E788" s="47" t="n">
        <f aca="false">B788+C788-D788</f>
        <v>0</v>
      </c>
    </row>
    <row r="789" customFormat="false" ht="16.8" hidden="false" customHeight="false" outlineLevel="0" collapsed="false">
      <c r="A789" s="21" t="s">
        <v>11</v>
      </c>
      <c r="B789" s="22" t="n">
        <f aca="false">SUM(B784:B788)</f>
        <v>4920</v>
      </c>
      <c r="C789" s="22" t="n">
        <f aca="false">SUM(C785:C788)</f>
        <v>36608</v>
      </c>
      <c r="D789" s="22" t="n">
        <f aca="false">SUM(D784:D788)</f>
        <v>41528</v>
      </c>
      <c r="E789" s="22" t="n">
        <f aca="false">SUM(E784:E788)</f>
        <v>0</v>
      </c>
    </row>
    <row r="790" customFormat="false" ht="16.8" hidden="false" customHeight="false" outlineLevel="0" collapsed="false">
      <c r="A790" s="13" t="s">
        <v>12</v>
      </c>
      <c r="B790" s="13"/>
      <c r="C790" s="13"/>
      <c r="D790" s="13"/>
      <c r="E790" s="13"/>
      <c r="F790" s="13"/>
    </row>
    <row r="791" customFormat="false" ht="33.6" hidden="false" customHeight="false" outlineLevel="0" collapsed="false">
      <c r="A791" s="25" t="s">
        <v>13</v>
      </c>
      <c r="B791" s="17" t="s">
        <v>491</v>
      </c>
      <c r="C791" s="120" t="s">
        <v>418</v>
      </c>
      <c r="D791" s="143" t="s">
        <v>419</v>
      </c>
      <c r="E791" s="120" t="s">
        <v>16</v>
      </c>
    </row>
    <row r="792" customFormat="false" ht="33.6" hidden="false" customHeight="false" outlineLevel="0" collapsed="false">
      <c r="A792" s="49" t="s">
        <v>49</v>
      </c>
      <c r="B792" s="20" t="n">
        <v>2000</v>
      </c>
      <c r="C792" s="34" t="n">
        <f aca="false">B792+B793</f>
        <v>5850</v>
      </c>
      <c r="D792" s="34" t="n">
        <f aca="false">D789</f>
        <v>41528</v>
      </c>
      <c r="E792" s="122" t="n">
        <f aca="false">D792/C805</f>
        <v>2.58741433021807</v>
      </c>
    </row>
    <row r="793" customFormat="false" ht="16.8" hidden="false" customHeight="false" outlineLevel="0" collapsed="false">
      <c r="A793" s="49" t="s">
        <v>466</v>
      </c>
      <c r="B793" s="20" t="n">
        <v>3850</v>
      </c>
      <c r="C793" s="34"/>
      <c r="D793" s="34"/>
      <c r="E793" s="122"/>
    </row>
    <row r="794" customFormat="false" ht="16.8" hidden="false" customHeight="false" outlineLevel="0" collapsed="false">
      <c r="A794" s="49" t="s">
        <v>432</v>
      </c>
      <c r="B794" s="20"/>
      <c r="C794" s="34" t="n">
        <f aca="false">B805</f>
        <v>10200</v>
      </c>
      <c r="D794" s="34"/>
      <c r="E794" s="122"/>
    </row>
    <row r="795" customFormat="false" ht="16.8" hidden="false" customHeight="false" outlineLevel="0" collapsed="false">
      <c r="A795" s="49" t="s">
        <v>403</v>
      </c>
      <c r="B795" s="20"/>
      <c r="C795" s="34"/>
      <c r="D795" s="34"/>
      <c r="E795" s="122"/>
    </row>
    <row r="796" customFormat="false" ht="16.8" hidden="false" customHeight="false" outlineLevel="0" collapsed="false">
      <c r="A796" s="49" t="s">
        <v>401</v>
      </c>
      <c r="B796" s="20"/>
      <c r="C796" s="34"/>
      <c r="D796" s="34"/>
      <c r="E796" s="122"/>
    </row>
    <row r="797" customFormat="false" ht="16.8" hidden="false" customHeight="false" outlineLevel="0" collapsed="false">
      <c r="A797" s="49" t="s">
        <v>433</v>
      </c>
      <c r="B797" s="20"/>
      <c r="C797" s="34"/>
      <c r="D797" s="34"/>
      <c r="E797" s="122"/>
    </row>
    <row r="798" customFormat="false" ht="16.8" hidden="false" customHeight="false" outlineLevel="0" collapsed="false">
      <c r="A798" s="49" t="s">
        <v>434</v>
      </c>
      <c r="B798" s="20"/>
      <c r="C798" s="34"/>
      <c r="D798" s="34"/>
      <c r="E798" s="122"/>
    </row>
    <row r="799" customFormat="false" ht="16.8" hidden="false" customHeight="false" outlineLevel="0" collapsed="false">
      <c r="A799" s="49" t="s">
        <v>399</v>
      </c>
      <c r="B799" s="20"/>
      <c r="C799" s="34"/>
      <c r="D799" s="34"/>
      <c r="E799" s="122"/>
    </row>
    <row r="800" customFormat="false" ht="16.8" hidden="false" customHeight="false" outlineLevel="0" collapsed="false">
      <c r="A800" s="49" t="s">
        <v>435</v>
      </c>
      <c r="B800" s="20"/>
      <c r="C800" s="34"/>
      <c r="D800" s="34"/>
      <c r="E800" s="122"/>
    </row>
    <row r="801" customFormat="false" ht="16.8" hidden="false" customHeight="false" outlineLevel="0" collapsed="false">
      <c r="A801" s="49" t="s">
        <v>436</v>
      </c>
      <c r="B801" s="20"/>
      <c r="C801" s="34"/>
      <c r="D801" s="34"/>
      <c r="E801" s="122"/>
    </row>
    <row r="802" customFormat="false" ht="16.8" hidden="false" customHeight="false" outlineLevel="0" collapsed="false">
      <c r="A802" s="49" t="s">
        <v>398</v>
      </c>
      <c r="B802" s="20" t="n">
        <v>2550</v>
      </c>
      <c r="C802" s="34"/>
      <c r="D802" s="34"/>
      <c r="E802" s="122"/>
    </row>
    <row r="803" customFormat="false" ht="16.8" hidden="false" customHeight="false" outlineLevel="0" collapsed="false">
      <c r="A803" s="49" t="s">
        <v>384</v>
      </c>
      <c r="B803" s="20"/>
      <c r="C803" s="34"/>
      <c r="D803" s="34"/>
      <c r="E803" s="122"/>
    </row>
    <row r="804" customFormat="false" ht="16.8" hidden="false" customHeight="false" outlineLevel="0" collapsed="false">
      <c r="A804" s="49" t="s">
        <v>390</v>
      </c>
      <c r="B804" s="20" t="n">
        <v>1800</v>
      </c>
      <c r="C804" s="34"/>
      <c r="D804" s="34"/>
      <c r="E804" s="122"/>
    </row>
    <row r="805" customFormat="false" ht="16.8" hidden="false" customHeight="false" outlineLevel="0" collapsed="false">
      <c r="A805" s="30" t="s">
        <v>11</v>
      </c>
      <c r="B805" s="94" t="n">
        <f aca="false">SUM(B792:B804)</f>
        <v>10200</v>
      </c>
      <c r="C805" s="94" t="n">
        <f aca="false">SUM(C792:C804)</f>
        <v>16050</v>
      </c>
      <c r="D805" s="94" t="n">
        <f aca="false">D792+D794</f>
        <v>41528</v>
      </c>
      <c r="E805" s="89" t="n">
        <f aca="false">D805/C805</f>
        <v>2.58741433021807</v>
      </c>
    </row>
    <row r="806" customFormat="false" ht="16.8" hidden="false" customHeight="false" outlineLevel="0" collapsed="false">
      <c r="A806" s="55" t="s">
        <v>476</v>
      </c>
      <c r="B806" s="56"/>
      <c r="C806" s="56"/>
      <c r="D806" s="56"/>
      <c r="E806" s="100"/>
      <c r="F806" s="100"/>
    </row>
    <row r="807" customFormat="false" ht="16.8" hidden="false" customHeight="false" outlineLevel="0" collapsed="false">
      <c r="A807" s="13" t="s">
        <v>20</v>
      </c>
      <c r="B807" s="1"/>
      <c r="C807" s="1"/>
      <c r="D807" s="1"/>
      <c r="E807" s="1"/>
      <c r="F807" s="1"/>
    </row>
    <row r="808" customFormat="false" ht="16.8" hidden="false" customHeight="false" outlineLevel="0" collapsed="false">
      <c r="A808" s="17" t="s">
        <v>13</v>
      </c>
      <c r="B808" s="17" t="s">
        <v>21</v>
      </c>
      <c r="C808" s="18"/>
      <c r="D808" s="18"/>
      <c r="E808" s="18"/>
      <c r="F808" s="39"/>
    </row>
    <row r="809" customFormat="false" ht="33.6" hidden="false" customHeight="false" outlineLevel="0" collapsed="false">
      <c r="A809" s="49" t="s">
        <v>420</v>
      </c>
      <c r="B809" s="20" t="n">
        <v>16950</v>
      </c>
      <c r="C809" s="18"/>
      <c r="D809" s="18"/>
      <c r="E809" s="18"/>
      <c r="F809" s="39"/>
    </row>
    <row r="810" customFormat="false" ht="16.8" hidden="false" customHeight="false" outlineLevel="0" collapsed="false">
      <c r="A810" s="49" t="s">
        <v>466</v>
      </c>
      <c r="B810" s="20" t="n">
        <v>7300</v>
      </c>
      <c r="C810" s="18"/>
      <c r="D810" s="18"/>
      <c r="E810" s="18"/>
      <c r="F810" s="39"/>
    </row>
    <row r="811" customFormat="false" ht="16.8" hidden="false" customHeight="false" outlineLevel="0" collapsed="false">
      <c r="A811" s="49" t="s">
        <v>432</v>
      </c>
      <c r="B811" s="20"/>
      <c r="C811" s="18"/>
      <c r="D811" s="18"/>
      <c r="E811" s="18"/>
      <c r="F811" s="39"/>
    </row>
    <row r="812" customFormat="false" ht="16.8" hidden="false" customHeight="false" outlineLevel="0" collapsed="false">
      <c r="A812" s="49" t="s">
        <v>403</v>
      </c>
      <c r="B812" s="20" t="n">
        <v>4400</v>
      </c>
      <c r="C812" s="18"/>
      <c r="D812" s="18"/>
      <c r="E812" s="18"/>
      <c r="F812" s="39"/>
    </row>
    <row r="813" customFormat="false" ht="16.8" hidden="false" customHeight="false" outlineLevel="0" collapsed="false">
      <c r="A813" s="49" t="s">
        <v>401</v>
      </c>
      <c r="B813" s="20"/>
      <c r="C813" s="18"/>
      <c r="D813" s="18"/>
      <c r="E813" s="18"/>
      <c r="F813" s="39"/>
    </row>
    <row r="814" customFormat="false" ht="16.8" hidden="false" customHeight="false" outlineLevel="0" collapsed="false">
      <c r="A814" s="49" t="s">
        <v>433</v>
      </c>
      <c r="B814" s="20" t="n">
        <v>5360</v>
      </c>
      <c r="C814" s="18"/>
      <c r="D814" s="18"/>
      <c r="E814" s="18"/>
      <c r="F814" s="39"/>
    </row>
    <row r="815" customFormat="false" ht="16.8" hidden="false" customHeight="false" outlineLevel="0" collapsed="false">
      <c r="A815" s="49" t="s">
        <v>434</v>
      </c>
      <c r="B815" s="20"/>
      <c r="C815" s="18"/>
      <c r="D815" s="18"/>
      <c r="E815" s="18"/>
      <c r="F815" s="39"/>
    </row>
    <row r="816" customFormat="false" ht="16.8" hidden="false" customHeight="false" outlineLevel="0" collapsed="false">
      <c r="A816" s="49" t="s">
        <v>399</v>
      </c>
      <c r="B816" s="20"/>
      <c r="C816" s="18"/>
      <c r="D816" s="18"/>
      <c r="E816" s="18"/>
      <c r="F816" s="39"/>
    </row>
    <row r="817" customFormat="false" ht="16.8" hidden="false" customHeight="false" outlineLevel="0" collapsed="false">
      <c r="A817" s="49" t="s">
        <v>435</v>
      </c>
      <c r="B817" s="20" t="n">
        <v>2000</v>
      </c>
      <c r="C817" s="18"/>
      <c r="D817" s="18"/>
      <c r="E817" s="18"/>
      <c r="F817" s="39"/>
    </row>
    <row r="818" customFormat="false" ht="16.8" hidden="false" customHeight="false" outlineLevel="0" collapsed="false">
      <c r="A818" s="49" t="s">
        <v>436</v>
      </c>
      <c r="B818" s="20" t="n">
        <v>22640</v>
      </c>
      <c r="C818" s="18"/>
      <c r="D818" s="18"/>
      <c r="E818" s="18"/>
      <c r="F818" s="39"/>
    </row>
    <row r="819" customFormat="false" ht="16.8" hidden="false" customHeight="false" outlineLevel="0" collapsed="false">
      <c r="A819" s="49" t="s">
        <v>398</v>
      </c>
      <c r="B819" s="20" t="n">
        <v>2550</v>
      </c>
      <c r="C819" s="1"/>
      <c r="D819" s="1"/>
      <c r="E819" s="1"/>
      <c r="F819" s="26"/>
    </row>
    <row r="820" customFormat="false" ht="16.8" hidden="false" customHeight="false" outlineLevel="0" collapsed="false">
      <c r="A820" s="49" t="s">
        <v>384</v>
      </c>
      <c r="B820" s="20"/>
      <c r="C820" s="1"/>
      <c r="D820" s="1"/>
      <c r="E820" s="1"/>
      <c r="F820" s="26"/>
    </row>
    <row r="821" customFormat="false" ht="16.8" hidden="false" customHeight="false" outlineLevel="0" collapsed="false">
      <c r="A821" s="49" t="s">
        <v>390</v>
      </c>
      <c r="B821" s="20" t="n">
        <v>6570</v>
      </c>
      <c r="C821" s="1"/>
      <c r="D821" s="1"/>
      <c r="E821" s="1"/>
      <c r="F821" s="26"/>
    </row>
    <row r="822" customFormat="false" ht="16.8" hidden="false" customHeight="false" outlineLevel="0" collapsed="false">
      <c r="A822" s="25" t="s">
        <v>11</v>
      </c>
      <c r="B822" s="35" t="n">
        <f aca="false">SUM(B809:B821)</f>
        <v>67770</v>
      </c>
      <c r="C822" s="1"/>
      <c r="D822" s="45"/>
      <c r="E822" s="45"/>
      <c r="F822" s="26"/>
    </row>
    <row r="823" customFormat="false" ht="13.2" hidden="false" customHeight="false" outlineLevel="0" collapsed="false">
      <c r="A823" s="1"/>
      <c r="B823" s="1"/>
      <c r="C823" s="1"/>
      <c r="D823" s="1"/>
      <c r="E823" s="1"/>
      <c r="F823" s="39"/>
    </row>
    <row r="824" customFormat="false" ht="16.8" hidden="false" customHeight="false" outlineLevel="0" collapsed="false">
      <c r="A824" s="39"/>
      <c r="B824" s="39"/>
      <c r="C824" s="141"/>
      <c r="D824" s="140" t="s">
        <v>396</v>
      </c>
      <c r="E824" s="140"/>
      <c r="F824" s="140"/>
    </row>
    <row r="829" customFormat="false" ht="18.6" hidden="false" customHeight="true" outlineLevel="0" collapsed="false">
      <c r="A829" s="118" t="s">
        <v>492</v>
      </c>
      <c r="B829" s="118"/>
      <c r="C829" s="118"/>
      <c r="D829" s="118"/>
      <c r="E829" s="118"/>
      <c r="F829" s="118"/>
    </row>
    <row r="830" customFormat="false" ht="13.8" hidden="false" customHeight="true" outlineLevel="0" collapsed="false">
      <c r="A830" s="119" t="s">
        <v>2</v>
      </c>
      <c r="B830" s="119"/>
      <c r="C830" s="119"/>
      <c r="D830" s="119"/>
      <c r="E830" s="119"/>
      <c r="F830" s="119"/>
    </row>
    <row r="831" customFormat="false" ht="16.8" hidden="false" customHeight="false" outlineLevel="0" collapsed="false">
      <c r="A831" s="13" t="s">
        <v>3</v>
      </c>
      <c r="B831" s="14"/>
      <c r="C831" s="14"/>
      <c r="D831" s="46"/>
      <c r="E831" s="66" t="s">
        <v>4</v>
      </c>
      <c r="F831" s="66"/>
    </row>
    <row r="832" customFormat="false" ht="33.6" hidden="false" customHeight="false" outlineLevel="0" collapsed="false">
      <c r="A832" s="17" t="s">
        <v>5</v>
      </c>
      <c r="B832" s="17" t="s">
        <v>5</v>
      </c>
      <c r="C832" s="17" t="s">
        <v>493</v>
      </c>
      <c r="D832" s="17" t="s">
        <v>7</v>
      </c>
      <c r="E832" s="17" t="s">
        <v>8</v>
      </c>
      <c r="F832" s="150"/>
    </row>
    <row r="833" customFormat="false" ht="16.8" hidden="false" customHeight="false" outlineLevel="0" collapsed="false">
      <c r="A833" s="19" t="s">
        <v>9</v>
      </c>
      <c r="B833" s="20" t="n">
        <f aca="false">E784</f>
        <v>0</v>
      </c>
      <c r="D833" s="20"/>
      <c r="E833" s="47" t="n">
        <f aca="false">B833+C833-D833</f>
        <v>0</v>
      </c>
    </row>
    <row r="834" customFormat="false" ht="33.6" hidden="false" customHeight="false" outlineLevel="0" collapsed="false">
      <c r="A834" s="97" t="s">
        <v>159</v>
      </c>
      <c r="B834" s="20" t="n">
        <f aca="false">E785</f>
        <v>0</v>
      </c>
      <c r="C834" s="20" t="n">
        <v>13130</v>
      </c>
      <c r="D834" s="20"/>
      <c r="E834" s="47" t="n">
        <f aca="false">B834+C834-D834</f>
        <v>13130</v>
      </c>
    </row>
    <row r="835" customFormat="false" ht="50.4" hidden="false" customHeight="false" outlineLevel="0" collapsed="false">
      <c r="A835" s="97" t="s">
        <v>414</v>
      </c>
      <c r="B835" s="20" t="n">
        <f aca="false">E786</f>
        <v>0</v>
      </c>
      <c r="C835" s="20"/>
      <c r="D835" s="20"/>
      <c r="E835" s="47" t="n">
        <f aca="false">B835+C835-D835</f>
        <v>0</v>
      </c>
    </row>
    <row r="836" customFormat="false" ht="33.6" hidden="false" customHeight="false" outlineLevel="0" collapsed="false">
      <c r="A836" s="97" t="s">
        <v>202</v>
      </c>
      <c r="B836" s="20" t="n">
        <f aca="false">E787</f>
        <v>0</v>
      </c>
      <c r="C836" s="20" t="n">
        <v>215</v>
      </c>
      <c r="D836" s="20"/>
      <c r="E836" s="47" t="n">
        <f aca="false">B836+C836-D836</f>
        <v>215</v>
      </c>
    </row>
    <row r="837" customFormat="false" ht="16.8" hidden="false" customHeight="false" outlineLevel="0" collapsed="false">
      <c r="A837" s="19" t="s">
        <v>10</v>
      </c>
      <c r="B837" s="20" t="n">
        <f aca="false">E788</f>
        <v>0</v>
      </c>
      <c r="C837" s="20" t="n">
        <v>12673</v>
      </c>
      <c r="D837" s="20"/>
      <c r="E837" s="47" t="n">
        <f aca="false">B837+C837-D837</f>
        <v>12673</v>
      </c>
    </row>
    <row r="838" customFormat="false" ht="16.8" hidden="false" customHeight="false" outlineLevel="0" collapsed="false">
      <c r="A838" s="21" t="s">
        <v>11</v>
      </c>
      <c r="B838" s="22" t="n">
        <f aca="false">SUM(B833:B837)</f>
        <v>0</v>
      </c>
      <c r="C838" s="22" t="n">
        <f aca="false">SUM(C834:C837)</f>
        <v>26018</v>
      </c>
      <c r="D838" s="22" t="n">
        <f aca="false">SUM(D833:D837)</f>
        <v>0</v>
      </c>
      <c r="E838" s="22" t="n">
        <f aca="false">SUM(E833:E837)</f>
        <v>26018</v>
      </c>
    </row>
    <row r="839" customFormat="false" ht="16.8" hidden="false" customHeight="false" outlineLevel="0" collapsed="false">
      <c r="A839" s="13" t="s">
        <v>12</v>
      </c>
      <c r="B839" s="13"/>
      <c r="C839" s="13"/>
      <c r="D839" s="13"/>
      <c r="E839" s="13"/>
      <c r="F839" s="13"/>
    </row>
    <row r="840" customFormat="false" ht="33.6" hidden="false" customHeight="false" outlineLevel="0" collapsed="false">
      <c r="A840" s="25" t="s">
        <v>13</v>
      </c>
      <c r="B840" s="17" t="s">
        <v>494</v>
      </c>
      <c r="C840" s="120" t="s">
        <v>418</v>
      </c>
      <c r="D840" s="143" t="s">
        <v>419</v>
      </c>
      <c r="E840" s="120" t="s">
        <v>16</v>
      </c>
    </row>
    <row r="841" customFormat="false" ht="33.6" hidden="false" customHeight="false" outlineLevel="0" collapsed="false">
      <c r="A841" s="49" t="s">
        <v>49</v>
      </c>
      <c r="B841" s="20"/>
      <c r="C841" s="34" t="n">
        <f aca="false">B841+B842</f>
        <v>0</v>
      </c>
      <c r="D841" s="34" t="n">
        <f aca="false">D838</f>
        <v>0</v>
      </c>
      <c r="E841" s="122" t="n">
        <f aca="false">D841/C854</f>
        <v>0</v>
      </c>
    </row>
    <row r="842" customFormat="false" ht="16.8" hidden="false" customHeight="false" outlineLevel="0" collapsed="false">
      <c r="A842" s="49" t="s">
        <v>466</v>
      </c>
      <c r="B842" s="20"/>
      <c r="C842" s="34"/>
      <c r="D842" s="34"/>
      <c r="E842" s="122"/>
    </row>
    <row r="843" customFormat="false" ht="16.8" hidden="false" customHeight="false" outlineLevel="0" collapsed="false">
      <c r="A843" s="49" t="s">
        <v>432</v>
      </c>
      <c r="B843" s="20"/>
      <c r="C843" s="34" t="n">
        <f aca="false">B854</f>
        <v>9930</v>
      </c>
      <c r="D843" s="34"/>
      <c r="E843" s="122"/>
    </row>
    <row r="844" customFormat="false" ht="16.8" hidden="false" customHeight="false" outlineLevel="0" collapsed="false">
      <c r="A844" s="49" t="s">
        <v>403</v>
      </c>
      <c r="B844" s="20"/>
      <c r="C844" s="34"/>
      <c r="D844" s="34"/>
      <c r="E844" s="122"/>
    </row>
    <row r="845" customFormat="false" ht="16.8" hidden="false" customHeight="false" outlineLevel="0" collapsed="false">
      <c r="A845" s="49" t="s">
        <v>401</v>
      </c>
      <c r="B845" s="20" t="n">
        <v>4880</v>
      </c>
      <c r="C845" s="34"/>
      <c r="D845" s="34"/>
      <c r="E845" s="122"/>
    </row>
    <row r="846" customFormat="false" ht="16.8" hidden="false" customHeight="false" outlineLevel="0" collapsed="false">
      <c r="A846" s="49" t="s">
        <v>433</v>
      </c>
      <c r="B846" s="20"/>
      <c r="C846" s="34"/>
      <c r="D846" s="34"/>
      <c r="E846" s="122"/>
    </row>
    <row r="847" customFormat="false" ht="16.8" hidden="false" customHeight="false" outlineLevel="0" collapsed="false">
      <c r="A847" s="49" t="s">
        <v>434</v>
      </c>
      <c r="B847" s="20"/>
      <c r="C847" s="34"/>
      <c r="D847" s="34"/>
      <c r="E847" s="122"/>
    </row>
    <row r="848" customFormat="false" ht="16.8" hidden="false" customHeight="false" outlineLevel="0" collapsed="false">
      <c r="A848" s="49" t="s">
        <v>399</v>
      </c>
      <c r="B848" s="20"/>
      <c r="C848" s="34"/>
      <c r="D848" s="34"/>
      <c r="E848" s="122"/>
    </row>
    <row r="849" customFormat="false" ht="16.8" hidden="false" customHeight="false" outlineLevel="0" collapsed="false">
      <c r="A849" s="49" t="s">
        <v>435</v>
      </c>
      <c r="B849" s="20"/>
      <c r="C849" s="34"/>
      <c r="D849" s="34"/>
      <c r="E849" s="122"/>
    </row>
    <row r="850" customFormat="false" ht="16.8" hidden="false" customHeight="false" outlineLevel="0" collapsed="false">
      <c r="A850" s="49" t="s">
        <v>436</v>
      </c>
      <c r="B850" s="20" t="n">
        <v>3900</v>
      </c>
      <c r="C850" s="34"/>
      <c r="D850" s="34"/>
      <c r="E850" s="122"/>
    </row>
    <row r="851" customFormat="false" ht="16.8" hidden="false" customHeight="false" outlineLevel="0" collapsed="false">
      <c r="A851" s="49" t="s">
        <v>398</v>
      </c>
      <c r="B851" s="20"/>
      <c r="C851" s="34"/>
      <c r="D851" s="34"/>
      <c r="E851" s="122"/>
    </row>
    <row r="852" customFormat="false" ht="16.8" hidden="false" customHeight="false" outlineLevel="0" collapsed="false">
      <c r="A852" s="49" t="s">
        <v>384</v>
      </c>
      <c r="B852" s="20"/>
      <c r="C852" s="34"/>
      <c r="D852" s="34"/>
      <c r="E852" s="122"/>
    </row>
    <row r="853" customFormat="false" ht="16.8" hidden="false" customHeight="false" outlineLevel="0" collapsed="false">
      <c r="A853" s="49" t="s">
        <v>390</v>
      </c>
      <c r="B853" s="20" t="n">
        <v>1150</v>
      </c>
      <c r="C853" s="34"/>
      <c r="D853" s="34"/>
      <c r="E853" s="122"/>
    </row>
    <row r="854" customFormat="false" ht="16.8" hidden="false" customHeight="false" outlineLevel="0" collapsed="false">
      <c r="A854" s="30" t="s">
        <v>11</v>
      </c>
      <c r="B854" s="94" t="n">
        <f aca="false">SUM(B841:B853)</f>
        <v>9930</v>
      </c>
      <c r="C854" s="94" t="n">
        <f aca="false">SUM(C841:C853)</f>
        <v>9930</v>
      </c>
      <c r="D854" s="94" t="n">
        <f aca="false">D841+D843</f>
        <v>0</v>
      </c>
      <c r="E854" s="89" t="n">
        <f aca="false">D854/C854</f>
        <v>0</v>
      </c>
    </row>
    <row r="855" customFormat="false" ht="16.8" hidden="false" customHeight="false" outlineLevel="0" collapsed="false">
      <c r="A855" s="55" t="s">
        <v>476</v>
      </c>
      <c r="B855" s="56"/>
      <c r="C855" s="56"/>
      <c r="D855" s="56"/>
      <c r="E855" s="100"/>
      <c r="F855" s="100"/>
    </row>
    <row r="856" customFormat="false" ht="16.8" hidden="false" customHeight="false" outlineLevel="0" collapsed="false">
      <c r="A856" s="13" t="s">
        <v>20</v>
      </c>
      <c r="B856" s="1"/>
      <c r="C856" s="1"/>
      <c r="D856" s="1"/>
      <c r="E856" s="1"/>
      <c r="F856" s="1"/>
    </row>
    <row r="857" customFormat="false" ht="16.8" hidden="false" customHeight="false" outlineLevel="0" collapsed="false">
      <c r="A857" s="17" t="s">
        <v>13</v>
      </c>
      <c r="B857" s="17" t="s">
        <v>21</v>
      </c>
      <c r="C857" s="18"/>
      <c r="D857" s="18"/>
      <c r="E857" s="18"/>
      <c r="F857" s="39"/>
    </row>
    <row r="858" customFormat="false" ht="33.6" hidden="false" customHeight="false" outlineLevel="0" collapsed="false">
      <c r="A858" s="49" t="s">
        <v>420</v>
      </c>
      <c r="B858" s="20" t="n">
        <v>16950</v>
      </c>
      <c r="C858" s="18"/>
      <c r="D858" s="18"/>
      <c r="E858" s="18"/>
      <c r="F858" s="39"/>
    </row>
    <row r="859" customFormat="false" ht="16.8" hidden="false" customHeight="false" outlineLevel="0" collapsed="false">
      <c r="A859" s="49" t="s">
        <v>466</v>
      </c>
      <c r="B859" s="20" t="n">
        <v>7300</v>
      </c>
      <c r="C859" s="18"/>
      <c r="D859" s="18"/>
      <c r="E859" s="18"/>
      <c r="F859" s="39"/>
    </row>
    <row r="860" customFormat="false" ht="16.8" hidden="false" customHeight="false" outlineLevel="0" collapsed="false">
      <c r="A860" s="49" t="s">
        <v>432</v>
      </c>
      <c r="B860" s="20"/>
      <c r="C860" s="18"/>
      <c r="D860" s="18"/>
      <c r="E860" s="18"/>
      <c r="F860" s="39"/>
    </row>
    <row r="861" customFormat="false" ht="16.8" hidden="false" customHeight="false" outlineLevel="0" collapsed="false">
      <c r="A861" s="49" t="s">
        <v>403</v>
      </c>
      <c r="B861" s="20" t="n">
        <v>4400</v>
      </c>
      <c r="C861" s="18"/>
      <c r="D861" s="18"/>
      <c r="E861" s="18"/>
      <c r="F861" s="39"/>
    </row>
    <row r="862" customFormat="false" ht="16.8" hidden="false" customHeight="false" outlineLevel="0" collapsed="false">
      <c r="A862" s="49" t="s">
        <v>401</v>
      </c>
      <c r="B862" s="20"/>
      <c r="C862" s="18"/>
      <c r="D862" s="18"/>
      <c r="E862" s="18"/>
      <c r="F862" s="39"/>
    </row>
    <row r="863" customFormat="false" ht="16.8" hidden="false" customHeight="false" outlineLevel="0" collapsed="false">
      <c r="A863" s="49" t="s">
        <v>433</v>
      </c>
      <c r="B863" s="20" t="n">
        <v>10240</v>
      </c>
      <c r="C863" s="18"/>
      <c r="D863" s="18"/>
      <c r="E863" s="18"/>
      <c r="F863" s="39"/>
    </row>
    <row r="864" customFormat="false" ht="16.8" hidden="false" customHeight="false" outlineLevel="0" collapsed="false">
      <c r="A864" s="49" t="s">
        <v>434</v>
      </c>
      <c r="B864" s="20"/>
      <c r="C864" s="18"/>
      <c r="D864" s="18"/>
      <c r="E864" s="18"/>
      <c r="F864" s="39"/>
    </row>
    <row r="865" customFormat="false" ht="16.8" hidden="false" customHeight="false" outlineLevel="0" collapsed="false">
      <c r="A865" s="49" t="s">
        <v>399</v>
      </c>
      <c r="B865" s="20"/>
      <c r="C865" s="18"/>
      <c r="D865" s="18"/>
      <c r="E865" s="18"/>
      <c r="F865" s="39"/>
    </row>
    <row r="866" customFormat="false" ht="16.8" hidden="false" customHeight="false" outlineLevel="0" collapsed="false">
      <c r="A866" s="49" t="s">
        <v>435</v>
      </c>
      <c r="B866" s="20" t="n">
        <v>2000</v>
      </c>
      <c r="C866" s="18"/>
      <c r="D866" s="18"/>
      <c r="E866" s="18"/>
      <c r="F866" s="39"/>
    </row>
    <row r="867" customFormat="false" ht="16.8" hidden="false" customHeight="false" outlineLevel="0" collapsed="false">
      <c r="A867" s="49" t="s">
        <v>436</v>
      </c>
      <c r="B867" s="20" t="n">
        <v>26540</v>
      </c>
      <c r="C867" s="18"/>
      <c r="D867" s="18"/>
      <c r="E867" s="18"/>
      <c r="F867" s="39"/>
    </row>
    <row r="868" customFormat="false" ht="16.8" hidden="false" customHeight="false" outlineLevel="0" collapsed="false">
      <c r="A868" s="49" t="s">
        <v>398</v>
      </c>
      <c r="B868" s="20" t="n">
        <v>2550</v>
      </c>
      <c r="C868" s="1"/>
      <c r="D868" s="1"/>
      <c r="E868" s="1"/>
      <c r="F868" s="26"/>
    </row>
    <row r="869" customFormat="false" ht="16.8" hidden="false" customHeight="false" outlineLevel="0" collapsed="false">
      <c r="A869" s="49" t="s">
        <v>384</v>
      </c>
      <c r="B869" s="20"/>
      <c r="C869" s="1"/>
      <c r="D869" s="1"/>
      <c r="E869" s="1"/>
      <c r="F869" s="26"/>
    </row>
    <row r="870" customFormat="false" ht="16.8" hidden="false" customHeight="false" outlineLevel="0" collapsed="false">
      <c r="A870" s="49" t="s">
        <v>390</v>
      </c>
      <c r="B870" s="20" t="n">
        <v>7720</v>
      </c>
      <c r="C870" s="1"/>
      <c r="D870" s="1"/>
      <c r="E870" s="1"/>
      <c r="F870" s="26"/>
    </row>
    <row r="871" customFormat="false" ht="16.8" hidden="false" customHeight="false" outlineLevel="0" collapsed="false">
      <c r="A871" s="25" t="s">
        <v>11</v>
      </c>
      <c r="B871" s="35" t="n">
        <f aca="false">SUM(B858:B870)</f>
        <v>77700</v>
      </c>
      <c r="C871" s="1"/>
      <c r="D871" s="45"/>
      <c r="E871" s="45"/>
      <c r="F871" s="26"/>
    </row>
    <row r="872" customFormat="false" ht="13.2" hidden="false" customHeight="false" outlineLevel="0" collapsed="false">
      <c r="A872" s="1"/>
      <c r="B872" s="1"/>
      <c r="C872" s="1"/>
      <c r="D872" s="1"/>
      <c r="E872" s="1"/>
      <c r="F872" s="39"/>
    </row>
    <row r="873" customFormat="false" ht="16.8" hidden="false" customHeight="false" outlineLevel="0" collapsed="false">
      <c r="A873" s="39"/>
      <c r="B873" s="39"/>
      <c r="C873" s="141"/>
      <c r="D873" s="140" t="s">
        <v>396</v>
      </c>
      <c r="E873" s="140"/>
      <c r="F873" s="140"/>
    </row>
    <row r="878" customFormat="false" ht="18.6" hidden="false" customHeight="true" outlineLevel="0" collapsed="false">
      <c r="A878" s="118" t="s">
        <v>495</v>
      </c>
      <c r="B878" s="118"/>
      <c r="C878" s="118"/>
      <c r="D878" s="118"/>
      <c r="E878" s="118"/>
      <c r="F878" s="118"/>
    </row>
    <row r="879" customFormat="false" ht="13.8" hidden="false" customHeight="true" outlineLevel="0" collapsed="false">
      <c r="A879" s="119" t="s">
        <v>2</v>
      </c>
      <c r="B879" s="119"/>
      <c r="C879" s="119"/>
      <c r="D879" s="119"/>
      <c r="E879" s="119"/>
      <c r="F879" s="119"/>
    </row>
    <row r="880" customFormat="false" ht="16.8" hidden="false" customHeight="false" outlineLevel="0" collapsed="false">
      <c r="A880" s="13" t="s">
        <v>3</v>
      </c>
      <c r="B880" s="14"/>
      <c r="C880" s="14"/>
      <c r="D880" s="46"/>
      <c r="E880" s="66" t="s">
        <v>4</v>
      </c>
      <c r="F880" s="66"/>
    </row>
    <row r="881" customFormat="false" ht="33.6" hidden="false" customHeight="false" outlineLevel="0" collapsed="false">
      <c r="A881" s="17" t="s">
        <v>5</v>
      </c>
      <c r="B881" s="17" t="s">
        <v>5</v>
      </c>
      <c r="C881" s="17" t="s">
        <v>496</v>
      </c>
      <c r="D881" s="17" t="s">
        <v>7</v>
      </c>
      <c r="E881" s="17" t="s">
        <v>8</v>
      </c>
      <c r="F881" s="150"/>
    </row>
    <row r="882" customFormat="false" ht="16.8" hidden="false" customHeight="false" outlineLevel="0" collapsed="false">
      <c r="A882" s="19" t="s">
        <v>9</v>
      </c>
      <c r="B882" s="20" t="n">
        <f aca="false">E833</f>
        <v>0</v>
      </c>
      <c r="C882" s="0" t="n">
        <v>25</v>
      </c>
      <c r="D882" s="20" t="n">
        <v>25</v>
      </c>
      <c r="E882" s="47" t="n">
        <f aca="false">B882+C882-D882</f>
        <v>0</v>
      </c>
    </row>
    <row r="883" customFormat="false" ht="33.6" hidden="false" customHeight="false" outlineLevel="0" collapsed="false">
      <c r="A883" s="97" t="s">
        <v>159</v>
      </c>
      <c r="B883" s="20" t="n">
        <f aca="false">E834</f>
        <v>13130</v>
      </c>
      <c r="C883" s="20" t="n">
        <f aca="false">26605+37955+36530</f>
        <v>101090</v>
      </c>
      <c r="D883" s="20" t="n">
        <f aca="false">114220-2110</f>
        <v>112110</v>
      </c>
      <c r="E883" s="47" t="n">
        <f aca="false">B883+C883-D883</f>
        <v>2110</v>
      </c>
    </row>
    <row r="884" customFormat="false" ht="50.4" hidden="false" customHeight="false" outlineLevel="0" collapsed="false">
      <c r="A884" s="97" t="s">
        <v>414</v>
      </c>
      <c r="B884" s="20" t="n">
        <f aca="false">E835</f>
        <v>0</v>
      </c>
      <c r="C884" s="20"/>
      <c r="D884" s="20"/>
      <c r="E884" s="47" t="n">
        <f aca="false">B884+C884-D884</f>
        <v>0</v>
      </c>
    </row>
    <row r="885" customFormat="false" ht="33.6" hidden="false" customHeight="false" outlineLevel="0" collapsed="false">
      <c r="A885" s="97" t="s">
        <v>202</v>
      </c>
      <c r="B885" s="20" t="n">
        <f aca="false">E836</f>
        <v>215</v>
      </c>
      <c r="C885" s="20" t="n">
        <f aca="false">125+5950</f>
        <v>6075</v>
      </c>
      <c r="D885" s="20" t="n">
        <v>6290</v>
      </c>
      <c r="E885" s="47" t="n">
        <f aca="false">B885+C885-D885</f>
        <v>0</v>
      </c>
    </row>
    <row r="886" customFormat="false" ht="16.8" hidden="false" customHeight="false" outlineLevel="0" collapsed="false">
      <c r="A886" s="19" t="s">
        <v>10</v>
      </c>
      <c r="B886" s="20" t="n">
        <f aca="false">E837</f>
        <v>12673</v>
      </c>
      <c r="C886" s="20" t="n">
        <f aca="false">176876-C882</f>
        <v>176851</v>
      </c>
      <c r="D886" s="20" t="n">
        <f aca="false">189524-8790</f>
        <v>180734</v>
      </c>
      <c r="E886" s="47" t="n">
        <f aca="false">B886+C886-D886</f>
        <v>8790</v>
      </c>
    </row>
    <row r="887" customFormat="false" ht="16.8" hidden="false" customHeight="false" outlineLevel="0" collapsed="false">
      <c r="A887" s="21" t="s">
        <v>11</v>
      </c>
      <c r="B887" s="22" t="n">
        <f aca="false">SUM(B882:B886)</f>
        <v>26018</v>
      </c>
      <c r="C887" s="22" t="n">
        <f aca="false">SUM(C883:C886)</f>
        <v>284016</v>
      </c>
      <c r="D887" s="22" t="n">
        <f aca="false">SUM(D882:D886)</f>
        <v>299159</v>
      </c>
      <c r="E887" s="22" t="n">
        <f aca="false">SUM(E882:E886)</f>
        <v>10900</v>
      </c>
    </row>
    <row r="888" customFormat="false" ht="16.8" hidden="false" customHeight="false" outlineLevel="0" collapsed="false">
      <c r="A888" s="13" t="s">
        <v>12</v>
      </c>
      <c r="B888" s="13"/>
      <c r="C888" s="13"/>
      <c r="D888" s="13"/>
      <c r="E888" s="13"/>
      <c r="F888" s="13"/>
    </row>
    <row r="889" customFormat="false" ht="33.6" hidden="false" customHeight="false" outlineLevel="0" collapsed="false">
      <c r="A889" s="25" t="s">
        <v>13</v>
      </c>
      <c r="B889" s="17" t="s">
        <v>494</v>
      </c>
      <c r="C889" s="17" t="s">
        <v>497</v>
      </c>
      <c r="D889" s="120" t="s">
        <v>418</v>
      </c>
      <c r="E889" s="143" t="s">
        <v>419</v>
      </c>
      <c r="F889" s="120" t="s">
        <v>16</v>
      </c>
      <c r="G889" s="99" t="n">
        <f aca="false">D890+5500</f>
        <v>33410</v>
      </c>
      <c r="H889" s="99" t="n">
        <f aca="false">D882+D883</f>
        <v>112135</v>
      </c>
      <c r="I889" s="0" t="n">
        <f aca="false">H889/G889</f>
        <v>3.35633043998803</v>
      </c>
    </row>
    <row r="890" customFormat="false" ht="33.6" hidden="false" customHeight="false" outlineLevel="0" collapsed="false">
      <c r="A890" s="49" t="s">
        <v>49</v>
      </c>
      <c r="B890" s="20"/>
      <c r="C890" s="20" t="n">
        <v>8000</v>
      </c>
      <c r="D890" s="34" t="n">
        <f aca="false">C890+C891+B890+B891</f>
        <v>27910</v>
      </c>
      <c r="E890" s="34" t="n">
        <f aca="false">D887</f>
        <v>299159</v>
      </c>
      <c r="F890" s="122" t="n">
        <f aca="false">E903/D903</f>
        <v>3.3864500792393</v>
      </c>
      <c r="G890" s="0" t="n">
        <f aca="false">E903/D903</f>
        <v>3.3864500792393</v>
      </c>
    </row>
    <row r="891" customFormat="false" ht="16.8" hidden="false" customHeight="false" outlineLevel="0" collapsed="false">
      <c r="A891" s="49" t="s">
        <v>466</v>
      </c>
      <c r="B891" s="20"/>
      <c r="C891" s="20" t="n">
        <v>19910</v>
      </c>
      <c r="D891" s="34"/>
      <c r="E891" s="34"/>
      <c r="F891" s="122"/>
    </row>
    <row r="892" customFormat="false" ht="16.8" hidden="false" customHeight="false" outlineLevel="0" collapsed="false">
      <c r="A892" s="49" t="s">
        <v>432</v>
      </c>
      <c r="B892" s="20"/>
      <c r="C892" s="20"/>
      <c r="D892" s="34" t="n">
        <f aca="false">SUM(B892:C902)</f>
        <v>60430</v>
      </c>
      <c r="E892" s="34"/>
      <c r="F892" s="122"/>
    </row>
    <row r="893" customFormat="false" ht="16.8" hidden="false" customHeight="false" outlineLevel="0" collapsed="false">
      <c r="A893" s="49" t="s">
        <v>403</v>
      </c>
      <c r="B893" s="20"/>
      <c r="C893" s="20" t="n">
        <v>12650</v>
      </c>
      <c r="D893" s="34"/>
      <c r="E893" s="34"/>
      <c r="F893" s="122"/>
    </row>
    <row r="894" customFormat="false" ht="16.8" hidden="false" customHeight="false" outlineLevel="0" collapsed="false">
      <c r="A894" s="49" t="s">
        <v>401</v>
      </c>
      <c r="B894" s="20" t="n">
        <v>4880</v>
      </c>
      <c r="C894" s="20" t="n">
        <v>4920</v>
      </c>
      <c r="D894" s="34"/>
      <c r="E894" s="34"/>
      <c r="F894" s="122"/>
    </row>
    <row r="895" customFormat="false" ht="16.8" hidden="false" customHeight="false" outlineLevel="0" collapsed="false">
      <c r="A895" s="49" t="s">
        <v>433</v>
      </c>
      <c r="B895" s="20"/>
      <c r="C895" s="20" t="n">
        <v>9460</v>
      </c>
      <c r="D895" s="34"/>
      <c r="E895" s="34"/>
      <c r="F895" s="122"/>
    </row>
    <row r="896" customFormat="false" ht="16.8" hidden="false" customHeight="false" outlineLevel="0" collapsed="false">
      <c r="A896" s="49" t="s">
        <v>434</v>
      </c>
      <c r="B896" s="20"/>
      <c r="C896" s="20"/>
      <c r="D896" s="34"/>
      <c r="E896" s="34"/>
      <c r="F896" s="122"/>
    </row>
    <row r="897" customFormat="false" ht="16.8" hidden="false" customHeight="false" outlineLevel="0" collapsed="false">
      <c r="A897" s="49" t="s">
        <v>399</v>
      </c>
      <c r="B897" s="20"/>
      <c r="C897" s="20"/>
      <c r="D897" s="34"/>
      <c r="E897" s="34"/>
      <c r="F897" s="122"/>
    </row>
    <row r="898" customFormat="false" ht="16.8" hidden="false" customHeight="false" outlineLevel="0" collapsed="false">
      <c r="A898" s="49" t="s">
        <v>435</v>
      </c>
      <c r="B898" s="20"/>
      <c r="C898" s="20" t="n">
        <v>2370</v>
      </c>
      <c r="D898" s="34"/>
      <c r="E898" s="34"/>
      <c r="F898" s="122"/>
    </row>
    <row r="899" customFormat="false" ht="16.8" hidden="false" customHeight="false" outlineLevel="0" collapsed="false">
      <c r="A899" s="49" t="s">
        <v>436</v>
      </c>
      <c r="B899" s="20" t="n">
        <v>3900</v>
      </c>
      <c r="C899" s="20" t="n">
        <v>7930</v>
      </c>
      <c r="D899" s="34"/>
      <c r="E899" s="34"/>
      <c r="F899" s="122"/>
    </row>
    <row r="900" customFormat="false" ht="16.8" hidden="false" customHeight="false" outlineLevel="0" collapsed="false">
      <c r="A900" s="49" t="s">
        <v>398</v>
      </c>
      <c r="B900" s="20"/>
      <c r="C900" s="20"/>
      <c r="D900" s="34"/>
      <c r="E900" s="34"/>
      <c r="F900" s="122"/>
    </row>
    <row r="901" customFormat="false" ht="16.8" hidden="false" customHeight="false" outlineLevel="0" collapsed="false">
      <c r="A901" s="49" t="s">
        <v>384</v>
      </c>
      <c r="B901" s="20"/>
      <c r="C901" s="20" t="n">
        <v>3250</v>
      </c>
      <c r="D901" s="34"/>
      <c r="E901" s="34"/>
      <c r="F901" s="122"/>
    </row>
    <row r="902" customFormat="false" ht="16.8" hidden="false" customHeight="false" outlineLevel="0" collapsed="false">
      <c r="A902" s="49" t="s">
        <v>390</v>
      </c>
      <c r="B902" s="20" t="n">
        <v>1150</v>
      </c>
      <c r="C902" s="20" t="n">
        <v>9920</v>
      </c>
      <c r="D902" s="34"/>
      <c r="E902" s="34"/>
      <c r="F902" s="122"/>
    </row>
    <row r="903" customFormat="false" ht="16.8" hidden="false" customHeight="false" outlineLevel="0" collapsed="false">
      <c r="A903" s="30" t="s">
        <v>11</v>
      </c>
      <c r="B903" s="94" t="n">
        <f aca="false">SUM(B890:B902)</f>
        <v>9930</v>
      </c>
      <c r="C903" s="94" t="n">
        <f aca="false">SUM(C890:C902)</f>
        <v>78410</v>
      </c>
      <c r="D903" s="94" t="n">
        <f aca="false">SUM(D890:D902)</f>
        <v>88340</v>
      </c>
      <c r="E903" s="94" t="n">
        <f aca="false">E890+E892</f>
        <v>299159</v>
      </c>
      <c r="F903" s="89" t="n">
        <f aca="false">E903/D903</f>
        <v>3.3864500792393</v>
      </c>
    </row>
    <row r="904" customFormat="false" ht="16.8" hidden="false" customHeight="false" outlineLevel="0" collapsed="false">
      <c r="A904" s="55" t="s">
        <v>476</v>
      </c>
      <c r="B904" s="56"/>
      <c r="C904" s="56"/>
      <c r="D904" s="56"/>
      <c r="E904" s="100"/>
      <c r="F904" s="100"/>
    </row>
    <row r="905" customFormat="false" ht="16.8" hidden="false" customHeight="false" outlineLevel="0" collapsed="false">
      <c r="A905" s="13" t="s">
        <v>20</v>
      </c>
      <c r="B905" s="1"/>
      <c r="C905" s="1"/>
      <c r="D905" s="1"/>
      <c r="E905" s="1"/>
      <c r="F905" s="1"/>
    </row>
    <row r="906" customFormat="false" ht="16.8" hidden="false" customHeight="false" outlineLevel="0" collapsed="false">
      <c r="A906" s="17" t="s">
        <v>13</v>
      </c>
      <c r="B906" s="17" t="s">
        <v>21</v>
      </c>
      <c r="C906" s="18"/>
      <c r="D906" s="18"/>
      <c r="E906" s="18"/>
      <c r="F906" s="39"/>
    </row>
    <row r="907" customFormat="false" ht="20.25" hidden="false" customHeight="true" outlineLevel="0" collapsed="false">
      <c r="A907" s="49" t="s">
        <v>420</v>
      </c>
      <c r="B907" s="20" t="n">
        <v>26270</v>
      </c>
      <c r="C907" s="18"/>
      <c r="D907" s="18"/>
      <c r="E907" s="18"/>
      <c r="F907" s="39"/>
    </row>
    <row r="908" customFormat="false" ht="16.8" hidden="false" customHeight="false" outlineLevel="0" collapsed="false">
      <c r="A908" s="49" t="s">
        <v>466</v>
      </c>
      <c r="B908" s="20" t="n">
        <v>29610</v>
      </c>
      <c r="C908" s="18"/>
      <c r="D908" s="18"/>
      <c r="E908" s="18"/>
      <c r="F908" s="39"/>
    </row>
    <row r="909" customFormat="false" ht="16.8" hidden="false" customHeight="false" outlineLevel="0" collapsed="false">
      <c r="A909" s="49" t="s">
        <v>432</v>
      </c>
      <c r="B909" s="20"/>
      <c r="C909" s="18"/>
      <c r="D909" s="18"/>
      <c r="E909" s="18"/>
      <c r="F909" s="39"/>
    </row>
    <row r="910" customFormat="false" ht="16.8" hidden="false" customHeight="false" outlineLevel="0" collapsed="false">
      <c r="A910" s="49" t="s">
        <v>403</v>
      </c>
      <c r="B910" s="20" t="n">
        <v>14100</v>
      </c>
      <c r="C910" s="18"/>
      <c r="D910" s="18"/>
      <c r="E910" s="18"/>
      <c r="F910" s="39"/>
    </row>
    <row r="911" customFormat="false" ht="16.8" hidden="false" customHeight="false" outlineLevel="0" collapsed="false">
      <c r="A911" s="49" t="s">
        <v>401</v>
      </c>
      <c r="B911" s="20" t="n">
        <v>4920</v>
      </c>
      <c r="C911" s="18"/>
      <c r="D911" s="18"/>
      <c r="E911" s="18"/>
      <c r="F911" s="39"/>
    </row>
    <row r="912" customFormat="false" ht="16.8" hidden="false" customHeight="false" outlineLevel="0" collapsed="false">
      <c r="A912" s="49" t="s">
        <v>433</v>
      </c>
      <c r="B912" s="20" t="n">
        <v>9460</v>
      </c>
      <c r="C912" s="18"/>
      <c r="D912" s="18"/>
      <c r="E912" s="18"/>
      <c r="F912" s="39"/>
    </row>
    <row r="913" customFormat="false" ht="16.8" hidden="false" customHeight="false" outlineLevel="0" collapsed="false">
      <c r="A913" s="49" t="s">
        <v>434</v>
      </c>
      <c r="B913" s="20"/>
      <c r="C913" s="18"/>
      <c r="D913" s="18"/>
      <c r="E913" s="18"/>
      <c r="F913" s="39"/>
    </row>
    <row r="914" customFormat="false" ht="16.8" hidden="false" customHeight="false" outlineLevel="0" collapsed="false">
      <c r="A914" s="49" t="s">
        <v>399</v>
      </c>
      <c r="B914" s="20"/>
      <c r="C914" s="18"/>
      <c r="D914" s="18"/>
      <c r="E914" s="18"/>
      <c r="F914" s="39"/>
    </row>
    <row r="915" customFormat="false" ht="16.8" hidden="false" customHeight="false" outlineLevel="0" collapsed="false">
      <c r="A915" s="49" t="s">
        <v>435</v>
      </c>
      <c r="B915" s="20" t="n">
        <v>5950</v>
      </c>
      <c r="C915" s="18"/>
      <c r="D915" s="18"/>
      <c r="E915" s="18"/>
      <c r="F915" s="39"/>
    </row>
    <row r="916" customFormat="false" ht="16.8" hidden="false" customHeight="false" outlineLevel="0" collapsed="false">
      <c r="A916" s="49" t="s">
        <v>436</v>
      </c>
      <c r="B916" s="20" t="n">
        <v>26080</v>
      </c>
      <c r="C916" s="18"/>
      <c r="D916" s="18"/>
      <c r="E916" s="18"/>
      <c r="F916" s="39"/>
    </row>
    <row r="917" customFormat="false" ht="16.8" hidden="false" customHeight="false" outlineLevel="0" collapsed="false">
      <c r="A917" s="49" t="s">
        <v>398</v>
      </c>
      <c r="B917" s="20" t="n">
        <v>2550</v>
      </c>
      <c r="C917" s="1"/>
      <c r="D917" s="1"/>
      <c r="E917" s="1"/>
      <c r="F917" s="26"/>
    </row>
    <row r="918" customFormat="false" ht="16.8" hidden="false" customHeight="false" outlineLevel="0" collapsed="false">
      <c r="A918" s="49" t="s">
        <v>384</v>
      </c>
      <c r="B918" s="20" t="n">
        <v>3250</v>
      </c>
      <c r="C918" s="1"/>
      <c r="D918" s="1"/>
      <c r="E918" s="1"/>
      <c r="F918" s="26"/>
    </row>
    <row r="919" customFormat="false" ht="16.8" hidden="false" customHeight="false" outlineLevel="0" collapsed="false">
      <c r="A919" s="49" t="s">
        <v>390</v>
      </c>
      <c r="B919" s="20" t="n">
        <v>13920</v>
      </c>
      <c r="C919" s="1"/>
      <c r="D919" s="1"/>
      <c r="E919" s="1"/>
      <c r="F919" s="26"/>
    </row>
    <row r="920" customFormat="false" ht="16.8" hidden="false" customHeight="false" outlineLevel="0" collapsed="false">
      <c r="A920" s="25" t="s">
        <v>11</v>
      </c>
      <c r="B920" s="35" t="n">
        <f aca="false">SUM(B907:B919)</f>
        <v>136110</v>
      </c>
      <c r="C920" s="1"/>
      <c r="D920" s="45"/>
      <c r="E920" s="45"/>
      <c r="F920" s="26"/>
    </row>
    <row r="921" customFormat="false" ht="13.2" hidden="false" customHeight="false" outlineLevel="0" collapsed="false">
      <c r="A921" s="1"/>
      <c r="B921" s="1"/>
      <c r="C921" s="1"/>
      <c r="D921" s="1"/>
      <c r="E921" s="1"/>
      <c r="F921" s="39"/>
    </row>
    <row r="922" customFormat="false" ht="16.8" hidden="false" customHeight="false" outlineLevel="0" collapsed="false">
      <c r="A922" s="39"/>
      <c r="B922" s="39"/>
      <c r="C922" s="141"/>
      <c r="D922" s="140" t="s">
        <v>396</v>
      </c>
      <c r="E922" s="140"/>
      <c r="F922" s="140"/>
    </row>
    <row r="925" customFormat="false" ht="18.6" hidden="false" customHeight="true" outlineLevel="0" collapsed="false">
      <c r="A925" s="118" t="s">
        <v>498</v>
      </c>
      <c r="B925" s="118"/>
      <c r="C925" s="118"/>
      <c r="D925" s="118"/>
      <c r="E925" s="118"/>
      <c r="F925" s="118"/>
    </row>
    <row r="926" customFormat="false" ht="13.8" hidden="false" customHeight="true" outlineLevel="0" collapsed="false">
      <c r="A926" s="119" t="s">
        <v>2</v>
      </c>
      <c r="B926" s="119"/>
      <c r="C926" s="119"/>
      <c r="D926" s="119"/>
      <c r="E926" s="119"/>
      <c r="F926" s="119"/>
    </row>
    <row r="927" customFormat="false" ht="16.8" hidden="false" customHeight="false" outlineLevel="0" collapsed="false">
      <c r="A927" s="13" t="s">
        <v>3</v>
      </c>
      <c r="B927" s="14"/>
      <c r="C927" s="14"/>
      <c r="D927" s="46"/>
      <c r="E927" s="66" t="s">
        <v>4</v>
      </c>
      <c r="F927" s="66"/>
    </row>
    <row r="928" customFormat="false" ht="33.6" hidden="false" customHeight="false" outlineLevel="0" collapsed="false">
      <c r="A928" s="17" t="s">
        <v>5</v>
      </c>
      <c r="B928" s="17" t="s">
        <v>5</v>
      </c>
      <c r="C928" s="17" t="s">
        <v>499</v>
      </c>
      <c r="D928" s="17" t="s">
        <v>7</v>
      </c>
      <c r="E928" s="17" t="s">
        <v>8</v>
      </c>
      <c r="F928" s="150"/>
    </row>
    <row r="929" customFormat="false" ht="16.8" hidden="false" customHeight="false" outlineLevel="0" collapsed="false">
      <c r="A929" s="19" t="s">
        <v>9</v>
      </c>
      <c r="B929" s="20" t="n">
        <f aca="false">E882</f>
        <v>0</v>
      </c>
      <c r="D929" s="20"/>
      <c r="E929" s="47" t="n">
        <f aca="false">B929+C929-D929</f>
        <v>0</v>
      </c>
    </row>
    <row r="930" customFormat="false" ht="33.6" hidden="false" customHeight="false" outlineLevel="0" collapsed="false">
      <c r="A930" s="97" t="s">
        <v>159</v>
      </c>
      <c r="B930" s="20" t="n">
        <f aca="false">E883</f>
        <v>2110</v>
      </c>
      <c r="C930" s="20" t="n">
        <v>17850</v>
      </c>
      <c r="D930" s="20"/>
      <c r="E930" s="47" t="n">
        <f aca="false">B930+C930-D930</f>
        <v>19960</v>
      </c>
    </row>
    <row r="931" customFormat="false" ht="50.4" hidden="false" customHeight="false" outlineLevel="0" collapsed="false">
      <c r="A931" s="97" t="s">
        <v>414</v>
      </c>
      <c r="B931" s="20" t="n">
        <f aca="false">E884</f>
        <v>0</v>
      </c>
      <c r="C931" s="20"/>
      <c r="D931" s="20"/>
      <c r="E931" s="47" t="n">
        <f aca="false">B931+C931-D931</f>
        <v>0</v>
      </c>
    </row>
    <row r="932" customFormat="false" ht="33.6" hidden="false" customHeight="false" outlineLevel="0" collapsed="false">
      <c r="A932" s="97" t="s">
        <v>202</v>
      </c>
      <c r="B932" s="20" t="n">
        <f aca="false">E885</f>
        <v>0</v>
      </c>
      <c r="C932" s="20" t="n">
        <v>190</v>
      </c>
      <c r="D932" s="20"/>
      <c r="E932" s="47" t="n">
        <f aca="false">B932+C932-D932</f>
        <v>190</v>
      </c>
    </row>
    <row r="933" customFormat="false" ht="16.8" hidden="false" customHeight="false" outlineLevel="0" collapsed="false">
      <c r="A933" s="19" t="s">
        <v>10</v>
      </c>
      <c r="B933" s="20" t="n">
        <f aca="false">E886</f>
        <v>8790</v>
      </c>
      <c r="C933" s="20" t="n">
        <v>74588</v>
      </c>
      <c r="D933" s="20"/>
      <c r="E933" s="47" t="n">
        <f aca="false">B933+C933-D933</f>
        <v>83378</v>
      </c>
    </row>
    <row r="934" customFormat="false" ht="16.8" hidden="false" customHeight="false" outlineLevel="0" collapsed="false">
      <c r="A934" s="21" t="s">
        <v>11</v>
      </c>
      <c r="B934" s="22" t="n">
        <f aca="false">SUM(B929:B933)</f>
        <v>10900</v>
      </c>
      <c r="C934" s="22" t="n">
        <f aca="false">SUM(C930:C933)</f>
        <v>92628</v>
      </c>
      <c r="D934" s="22" t="n">
        <f aca="false">SUM(D929:D933)</f>
        <v>0</v>
      </c>
      <c r="E934" s="22" t="n">
        <f aca="false">SUM(E929:E933)</f>
        <v>103528</v>
      </c>
    </row>
    <row r="935" customFormat="false" ht="16.8" hidden="false" customHeight="false" outlineLevel="0" collapsed="false">
      <c r="A935" s="13" t="s">
        <v>12</v>
      </c>
      <c r="B935" s="13"/>
      <c r="C935" s="13"/>
      <c r="D935" s="13"/>
      <c r="E935" s="13"/>
      <c r="F935" s="13"/>
    </row>
    <row r="936" customFormat="false" ht="33.6" hidden="false" customHeight="false" outlineLevel="0" collapsed="false">
      <c r="A936" s="25" t="s">
        <v>13</v>
      </c>
      <c r="B936" s="17" t="s">
        <v>500</v>
      </c>
      <c r="C936" s="120" t="s">
        <v>418</v>
      </c>
      <c r="D936" s="143" t="s">
        <v>419</v>
      </c>
      <c r="E936" s="120" t="s">
        <v>16</v>
      </c>
    </row>
    <row r="937" customFormat="false" ht="33.6" hidden="false" customHeight="false" outlineLevel="0" collapsed="false">
      <c r="A937" s="49" t="s">
        <v>49</v>
      </c>
      <c r="B937" s="20" t="n">
        <v>2200</v>
      </c>
      <c r="C937" s="34" t="n">
        <f aca="false">+B937+B938</f>
        <v>5600</v>
      </c>
      <c r="D937" s="34" t="n">
        <f aca="false">D934</f>
        <v>0</v>
      </c>
      <c r="E937" s="122" t="n">
        <f aca="false">D950/C950</f>
        <v>0</v>
      </c>
    </row>
    <row r="938" customFormat="false" ht="16.8" hidden="false" customHeight="false" outlineLevel="0" collapsed="false">
      <c r="A938" s="49" t="s">
        <v>466</v>
      </c>
      <c r="B938" s="20" t="n">
        <v>3400</v>
      </c>
      <c r="C938" s="34"/>
      <c r="D938" s="34"/>
      <c r="E938" s="122"/>
    </row>
    <row r="939" customFormat="false" ht="16.8" hidden="false" customHeight="false" outlineLevel="0" collapsed="false">
      <c r="A939" s="49" t="s">
        <v>432</v>
      </c>
      <c r="B939" s="20"/>
      <c r="C939" s="34" t="n">
        <f aca="false">SUM(B939:B949)</f>
        <v>15800</v>
      </c>
      <c r="D939" s="34"/>
      <c r="E939" s="122"/>
    </row>
    <row r="940" customFormat="false" ht="16.8" hidden="false" customHeight="false" outlineLevel="0" collapsed="false">
      <c r="A940" s="49" t="s">
        <v>403</v>
      </c>
      <c r="B940" s="20"/>
      <c r="C940" s="34"/>
      <c r="D940" s="34"/>
      <c r="E940" s="122"/>
    </row>
    <row r="941" customFormat="false" ht="16.8" hidden="false" customHeight="false" outlineLevel="0" collapsed="false">
      <c r="A941" s="49" t="s">
        <v>401</v>
      </c>
      <c r="B941" s="20" t="n">
        <v>3000</v>
      </c>
      <c r="C941" s="34"/>
      <c r="D941" s="34"/>
      <c r="E941" s="122"/>
    </row>
    <row r="942" customFormat="false" ht="16.8" hidden="false" customHeight="false" outlineLevel="0" collapsed="false">
      <c r="A942" s="49" t="s">
        <v>433</v>
      </c>
      <c r="B942" s="20"/>
      <c r="C942" s="34"/>
      <c r="D942" s="34"/>
      <c r="E942" s="122"/>
    </row>
    <row r="943" customFormat="false" ht="16.8" hidden="false" customHeight="false" outlineLevel="0" collapsed="false">
      <c r="A943" s="49" t="s">
        <v>434</v>
      </c>
      <c r="B943" s="20"/>
      <c r="C943" s="34"/>
      <c r="D943" s="34"/>
      <c r="E943" s="122"/>
    </row>
    <row r="944" customFormat="false" ht="16.8" hidden="false" customHeight="false" outlineLevel="0" collapsed="false">
      <c r="A944" s="49" t="s">
        <v>399</v>
      </c>
      <c r="B944" s="20"/>
      <c r="C944" s="34"/>
      <c r="D944" s="34"/>
      <c r="E944" s="122"/>
    </row>
    <row r="945" customFormat="false" ht="16.8" hidden="false" customHeight="false" outlineLevel="0" collapsed="false">
      <c r="A945" s="49" t="s">
        <v>435</v>
      </c>
      <c r="B945" s="20"/>
      <c r="C945" s="34"/>
      <c r="D945" s="34"/>
      <c r="E945" s="122"/>
    </row>
    <row r="946" customFormat="false" ht="16.8" hidden="false" customHeight="false" outlineLevel="0" collapsed="false">
      <c r="A946" s="49" t="s">
        <v>436</v>
      </c>
      <c r="B946" s="20" t="n">
        <v>9900</v>
      </c>
      <c r="C946" s="34"/>
      <c r="D946" s="34"/>
      <c r="E946" s="122"/>
    </row>
    <row r="947" customFormat="false" ht="16.8" hidden="false" customHeight="false" outlineLevel="0" collapsed="false">
      <c r="A947" s="49" t="s">
        <v>398</v>
      </c>
      <c r="B947" s="20"/>
      <c r="C947" s="34"/>
      <c r="D947" s="34"/>
      <c r="E947" s="122"/>
    </row>
    <row r="948" customFormat="false" ht="16.8" hidden="false" customHeight="false" outlineLevel="0" collapsed="false">
      <c r="A948" s="49" t="s">
        <v>384</v>
      </c>
      <c r="B948" s="20"/>
      <c r="C948" s="34"/>
      <c r="D948" s="34"/>
      <c r="E948" s="122"/>
    </row>
    <row r="949" customFormat="false" ht="16.8" hidden="false" customHeight="false" outlineLevel="0" collapsed="false">
      <c r="A949" s="49" t="s">
        <v>390</v>
      </c>
      <c r="B949" s="20" t="n">
        <v>2900</v>
      </c>
      <c r="C949" s="34"/>
      <c r="D949" s="34"/>
      <c r="E949" s="122"/>
    </row>
    <row r="950" customFormat="false" ht="16.8" hidden="false" customHeight="false" outlineLevel="0" collapsed="false">
      <c r="A950" s="30" t="s">
        <v>11</v>
      </c>
      <c r="B950" s="94" t="n">
        <f aca="false">SUM(B937:B949)</f>
        <v>21400</v>
      </c>
      <c r="C950" s="94" t="n">
        <f aca="false">SUM(C937:C949)</f>
        <v>21400</v>
      </c>
      <c r="D950" s="94" t="n">
        <f aca="false">D937+D939</f>
        <v>0</v>
      </c>
      <c r="E950" s="89" t="n">
        <f aca="false">D950/C950</f>
        <v>0</v>
      </c>
    </row>
    <row r="951" customFormat="false" ht="16.8" hidden="false" customHeight="false" outlineLevel="0" collapsed="false">
      <c r="A951" s="55" t="s">
        <v>476</v>
      </c>
      <c r="B951" s="56"/>
      <c r="C951" s="56"/>
      <c r="D951" s="56"/>
      <c r="E951" s="100"/>
      <c r="F951" s="100"/>
    </row>
    <row r="952" customFormat="false" ht="16.8" hidden="false" customHeight="false" outlineLevel="0" collapsed="false">
      <c r="A952" s="13" t="s">
        <v>20</v>
      </c>
      <c r="B952" s="1"/>
      <c r="C952" s="1"/>
      <c r="D952" s="1"/>
      <c r="E952" s="1"/>
      <c r="F952" s="1"/>
    </row>
    <row r="953" customFormat="false" ht="16.8" hidden="false" customHeight="false" outlineLevel="0" collapsed="false">
      <c r="A953" s="17" t="s">
        <v>13</v>
      </c>
      <c r="B953" s="17" t="s">
        <v>21</v>
      </c>
      <c r="C953" s="18"/>
      <c r="D953" s="18"/>
      <c r="E953" s="18"/>
      <c r="F953" s="39"/>
    </row>
    <row r="954" customFormat="false" ht="33.6" hidden="false" customHeight="false" outlineLevel="0" collapsed="false">
      <c r="A954" s="49" t="s">
        <v>420</v>
      </c>
      <c r="B954" s="20" t="n">
        <v>28470</v>
      </c>
      <c r="C954" s="18"/>
      <c r="D954" s="18"/>
      <c r="E954" s="18"/>
      <c r="F954" s="39"/>
    </row>
    <row r="955" customFormat="false" ht="16.8" hidden="false" customHeight="false" outlineLevel="0" collapsed="false">
      <c r="A955" s="49" t="s">
        <v>466</v>
      </c>
      <c r="B955" s="20" t="n">
        <v>33010</v>
      </c>
      <c r="C955" s="18"/>
      <c r="D955" s="18"/>
      <c r="E955" s="18"/>
      <c r="F955" s="39"/>
    </row>
    <row r="956" customFormat="false" ht="16.8" hidden="false" customHeight="false" outlineLevel="0" collapsed="false">
      <c r="A956" s="49" t="s">
        <v>432</v>
      </c>
      <c r="B956" s="20"/>
      <c r="C956" s="18"/>
      <c r="D956" s="18"/>
      <c r="E956" s="18"/>
      <c r="F956" s="39"/>
    </row>
    <row r="957" customFormat="false" ht="16.8" hidden="false" customHeight="false" outlineLevel="0" collapsed="false">
      <c r="A957" s="49" t="s">
        <v>403</v>
      </c>
      <c r="B957" s="20" t="n">
        <v>14100</v>
      </c>
      <c r="C957" s="18"/>
      <c r="D957" s="18"/>
      <c r="E957" s="18"/>
      <c r="F957" s="39"/>
    </row>
    <row r="958" customFormat="false" ht="16.8" hidden="false" customHeight="false" outlineLevel="0" collapsed="false">
      <c r="A958" s="49" t="s">
        <v>401</v>
      </c>
      <c r="B958" s="20" t="n">
        <v>7920</v>
      </c>
      <c r="C958" s="18"/>
      <c r="D958" s="18"/>
      <c r="E958" s="18"/>
      <c r="F958" s="39"/>
    </row>
    <row r="959" customFormat="false" ht="16.8" hidden="false" customHeight="false" outlineLevel="0" collapsed="false">
      <c r="A959" s="49" t="s">
        <v>433</v>
      </c>
      <c r="B959" s="20" t="n">
        <v>9460</v>
      </c>
      <c r="C959" s="18"/>
      <c r="D959" s="18"/>
      <c r="E959" s="18"/>
      <c r="F959" s="39"/>
    </row>
    <row r="960" customFormat="false" ht="16.8" hidden="false" customHeight="false" outlineLevel="0" collapsed="false">
      <c r="A960" s="49" t="s">
        <v>434</v>
      </c>
      <c r="B960" s="20"/>
      <c r="C960" s="18"/>
      <c r="D960" s="18"/>
      <c r="E960" s="18"/>
      <c r="F960" s="39"/>
    </row>
    <row r="961" customFormat="false" ht="16.8" hidden="false" customHeight="false" outlineLevel="0" collapsed="false">
      <c r="A961" s="49" t="s">
        <v>399</v>
      </c>
      <c r="B961" s="20"/>
      <c r="C961" s="18"/>
      <c r="D961" s="18"/>
      <c r="E961" s="18"/>
      <c r="F961" s="39"/>
    </row>
    <row r="962" customFormat="false" ht="16.8" hidden="false" customHeight="false" outlineLevel="0" collapsed="false">
      <c r="A962" s="49" t="s">
        <v>435</v>
      </c>
      <c r="B962" s="20" t="n">
        <v>5950</v>
      </c>
      <c r="C962" s="18"/>
      <c r="D962" s="18"/>
      <c r="E962" s="18"/>
      <c r="F962" s="39"/>
    </row>
    <row r="963" customFormat="false" ht="16.8" hidden="false" customHeight="false" outlineLevel="0" collapsed="false">
      <c r="A963" s="49" t="s">
        <v>436</v>
      </c>
      <c r="B963" s="20" t="n">
        <v>35980</v>
      </c>
      <c r="C963" s="18"/>
      <c r="D963" s="18"/>
      <c r="E963" s="18"/>
      <c r="F963" s="39"/>
    </row>
    <row r="964" customFormat="false" ht="16.8" hidden="false" customHeight="false" outlineLevel="0" collapsed="false">
      <c r="A964" s="49" t="s">
        <v>398</v>
      </c>
      <c r="B964" s="20" t="n">
        <v>2550</v>
      </c>
      <c r="C964" s="1"/>
      <c r="D964" s="1"/>
      <c r="E964" s="1"/>
      <c r="F964" s="26"/>
    </row>
    <row r="965" customFormat="false" ht="16.8" hidden="false" customHeight="false" outlineLevel="0" collapsed="false">
      <c r="A965" s="49" t="s">
        <v>384</v>
      </c>
      <c r="B965" s="20" t="n">
        <v>3250</v>
      </c>
      <c r="C965" s="1"/>
      <c r="D965" s="1"/>
      <c r="E965" s="1"/>
      <c r="F965" s="26"/>
    </row>
    <row r="966" customFormat="false" ht="16.8" hidden="false" customHeight="false" outlineLevel="0" collapsed="false">
      <c r="A966" s="49" t="s">
        <v>390</v>
      </c>
      <c r="B966" s="20" t="n">
        <v>16820</v>
      </c>
      <c r="C966" s="1"/>
      <c r="D966" s="1"/>
      <c r="E966" s="1"/>
      <c r="F966" s="26"/>
    </row>
    <row r="967" customFormat="false" ht="16.8" hidden="false" customHeight="false" outlineLevel="0" collapsed="false">
      <c r="A967" s="25" t="s">
        <v>11</v>
      </c>
      <c r="B967" s="35" t="n">
        <f aca="false">SUM(B954:B966)</f>
        <v>157510</v>
      </c>
      <c r="C967" s="1"/>
      <c r="D967" s="45"/>
      <c r="E967" s="45"/>
      <c r="F967" s="26"/>
    </row>
    <row r="968" customFormat="false" ht="13.2" hidden="false" customHeight="false" outlineLevel="0" collapsed="false">
      <c r="A968" s="1"/>
      <c r="B968" s="1"/>
      <c r="C968" s="1"/>
      <c r="D968" s="1"/>
      <c r="E968" s="1"/>
      <c r="F968" s="39"/>
    </row>
    <row r="969" customFormat="false" ht="16.8" hidden="false" customHeight="false" outlineLevel="0" collapsed="false">
      <c r="A969" s="39"/>
      <c r="B969" s="39"/>
      <c r="C969" s="141"/>
      <c r="D969" s="140" t="s">
        <v>396</v>
      </c>
      <c r="E969" s="140"/>
      <c r="F969" s="140"/>
    </row>
    <row r="972" customFormat="false" ht="18.6" hidden="false" customHeight="true" outlineLevel="0" collapsed="false">
      <c r="A972" s="118" t="s">
        <v>501</v>
      </c>
      <c r="B972" s="118"/>
      <c r="C972" s="118"/>
      <c r="D972" s="118"/>
      <c r="E972" s="118"/>
      <c r="F972" s="118"/>
    </row>
    <row r="973" customFormat="false" ht="13.8" hidden="false" customHeight="true" outlineLevel="0" collapsed="false">
      <c r="A973" s="119" t="s">
        <v>2</v>
      </c>
      <c r="B973" s="119"/>
      <c r="C973" s="119"/>
      <c r="D973" s="119"/>
      <c r="E973" s="119"/>
      <c r="F973" s="119"/>
    </row>
    <row r="974" customFormat="false" ht="16.8" hidden="false" customHeight="false" outlineLevel="0" collapsed="false">
      <c r="A974" s="13" t="s">
        <v>3</v>
      </c>
      <c r="B974" s="14"/>
      <c r="C974" s="14"/>
      <c r="D974" s="46"/>
      <c r="E974" s="66" t="s">
        <v>4</v>
      </c>
      <c r="F974" s="66"/>
    </row>
    <row r="975" customFormat="false" ht="33.6" hidden="false" customHeight="false" outlineLevel="0" collapsed="false">
      <c r="A975" s="17" t="s">
        <v>5</v>
      </c>
      <c r="B975" s="17" t="s">
        <v>5</v>
      </c>
      <c r="C975" s="17" t="s">
        <v>502</v>
      </c>
      <c r="D975" s="17" t="s">
        <v>7</v>
      </c>
      <c r="E975" s="17" t="s">
        <v>8</v>
      </c>
      <c r="F975" s="150"/>
    </row>
    <row r="976" customFormat="false" ht="16.8" hidden="false" customHeight="false" outlineLevel="0" collapsed="false">
      <c r="A976" s="19" t="s">
        <v>9</v>
      </c>
      <c r="B976" s="20" t="n">
        <f aca="false">E929</f>
        <v>0</v>
      </c>
      <c r="C976" s="0" t="n">
        <v>50</v>
      </c>
      <c r="D976" s="20"/>
      <c r="E976" s="47" t="n">
        <f aca="false">B976+C976-D976</f>
        <v>50</v>
      </c>
    </row>
    <row r="977" customFormat="false" ht="33.6" hidden="false" customHeight="false" outlineLevel="0" collapsed="false">
      <c r="A977" s="97" t="s">
        <v>159</v>
      </c>
      <c r="B977" s="20" t="n">
        <f aca="false">E930</f>
        <v>19960</v>
      </c>
      <c r="C977" s="20" t="n">
        <v>35975</v>
      </c>
      <c r="D977" s="20"/>
      <c r="E977" s="47" t="n">
        <f aca="false">B977+C977-D977</f>
        <v>55935</v>
      </c>
    </row>
    <row r="978" customFormat="false" ht="50.4" hidden="false" customHeight="false" outlineLevel="0" collapsed="false">
      <c r="A978" s="97" t="s">
        <v>414</v>
      </c>
      <c r="B978" s="20" t="n">
        <f aca="false">E931</f>
        <v>0</v>
      </c>
      <c r="C978" s="20"/>
      <c r="D978" s="20"/>
      <c r="E978" s="47" t="n">
        <f aca="false">B978+C978-D978</f>
        <v>0</v>
      </c>
    </row>
    <row r="979" customFormat="false" ht="33.6" hidden="false" customHeight="false" outlineLevel="0" collapsed="false">
      <c r="A979" s="97" t="s">
        <v>202</v>
      </c>
      <c r="B979" s="20" t="n">
        <f aca="false">E932</f>
        <v>190</v>
      </c>
      <c r="C979" s="20"/>
      <c r="D979" s="20"/>
      <c r="E979" s="47" t="n">
        <f aca="false">B979+C979-D979</f>
        <v>190</v>
      </c>
    </row>
    <row r="980" customFormat="false" ht="16.8" hidden="false" customHeight="false" outlineLevel="0" collapsed="false">
      <c r="A980" s="19" t="s">
        <v>10</v>
      </c>
      <c r="B980" s="20" t="n">
        <f aca="false">E933</f>
        <v>83378</v>
      </c>
      <c r="C980" s="20" t="n">
        <f aca="false">41004-C976</f>
        <v>40954</v>
      </c>
      <c r="D980" s="20"/>
      <c r="E980" s="47" t="n">
        <f aca="false">B980+C980-D980</f>
        <v>124332</v>
      </c>
    </row>
    <row r="981" customFormat="false" ht="16.8" hidden="false" customHeight="false" outlineLevel="0" collapsed="false">
      <c r="A981" s="21" t="s">
        <v>11</v>
      </c>
      <c r="B981" s="22" t="n">
        <f aca="false">SUM(B976:B980)</f>
        <v>103528</v>
      </c>
      <c r="C981" s="22" t="n">
        <f aca="false">SUM(C977:C980)</f>
        <v>76929</v>
      </c>
      <c r="D981" s="22" t="n">
        <f aca="false">SUM(D976:D980)</f>
        <v>0</v>
      </c>
      <c r="E981" s="22" t="n">
        <f aca="false">SUM(E976:E980)</f>
        <v>180507</v>
      </c>
    </row>
    <row r="982" customFormat="false" ht="16.8" hidden="false" customHeight="false" outlineLevel="0" collapsed="false">
      <c r="A982" s="13" t="s">
        <v>12</v>
      </c>
      <c r="B982" s="13"/>
      <c r="C982" s="13"/>
      <c r="D982" s="13"/>
      <c r="E982" s="13"/>
      <c r="F982" s="13"/>
    </row>
    <row r="983" customFormat="false" ht="33.6" hidden="false" customHeight="false" outlineLevel="0" collapsed="false">
      <c r="A983" s="25" t="s">
        <v>13</v>
      </c>
      <c r="B983" s="17" t="s">
        <v>500</v>
      </c>
      <c r="C983" s="17" t="s">
        <v>503</v>
      </c>
      <c r="D983" s="120" t="s">
        <v>418</v>
      </c>
      <c r="E983" s="143" t="s">
        <v>419</v>
      </c>
      <c r="F983" s="120" t="s">
        <v>16</v>
      </c>
    </row>
    <row r="984" customFormat="false" ht="33.6" hidden="false" customHeight="false" outlineLevel="0" collapsed="false">
      <c r="A984" s="49" t="s">
        <v>49</v>
      </c>
      <c r="B984" s="20" t="n">
        <v>2200</v>
      </c>
      <c r="C984" s="20" t="n">
        <v>5250</v>
      </c>
      <c r="D984" s="144" t="n">
        <f aca="false">+C984+C985+B984+B985</f>
        <v>17250</v>
      </c>
      <c r="E984" s="144"/>
      <c r="F984" s="145" t="n">
        <f aca="false">E997/D997</f>
        <v>0</v>
      </c>
    </row>
    <row r="985" customFormat="false" ht="16.8" hidden="false" customHeight="false" outlineLevel="0" collapsed="false">
      <c r="A985" s="49" t="s">
        <v>466</v>
      </c>
      <c r="B985" s="20" t="n">
        <v>3400</v>
      </c>
      <c r="C985" s="20" t="n">
        <v>6400</v>
      </c>
      <c r="D985" s="146"/>
      <c r="E985" s="156"/>
      <c r="F985" s="153"/>
    </row>
    <row r="986" customFormat="false" ht="16.8" hidden="false" customHeight="false" outlineLevel="0" collapsed="false">
      <c r="A986" s="49" t="s">
        <v>432</v>
      </c>
      <c r="B986" s="20"/>
      <c r="C986" s="20"/>
      <c r="D986" s="34" t="n">
        <f aca="false">SUM(B986:C996)</f>
        <v>34850</v>
      </c>
      <c r="E986" s="156"/>
      <c r="F986" s="153"/>
    </row>
    <row r="987" customFormat="false" ht="16.8" hidden="false" customHeight="false" outlineLevel="0" collapsed="false">
      <c r="A987" s="49" t="s">
        <v>403</v>
      </c>
      <c r="B987" s="20"/>
      <c r="C987" s="20"/>
      <c r="D987" s="34"/>
      <c r="E987" s="156"/>
      <c r="F987" s="153"/>
    </row>
    <row r="988" customFormat="false" ht="16.8" hidden="false" customHeight="false" outlineLevel="0" collapsed="false">
      <c r="A988" s="49" t="s">
        <v>401</v>
      </c>
      <c r="B988" s="20" t="n">
        <v>3000</v>
      </c>
      <c r="C988" s="20"/>
      <c r="D988" s="34"/>
      <c r="E988" s="156"/>
      <c r="F988" s="153"/>
    </row>
    <row r="989" customFormat="false" ht="16.8" hidden="false" customHeight="false" outlineLevel="0" collapsed="false">
      <c r="A989" s="49" t="s">
        <v>433</v>
      </c>
      <c r="B989" s="20"/>
      <c r="C989" s="20" t="n">
        <v>9200</v>
      </c>
      <c r="D989" s="34"/>
      <c r="E989" s="156"/>
      <c r="F989" s="153"/>
    </row>
    <row r="990" customFormat="false" ht="16.8" hidden="false" customHeight="false" outlineLevel="0" collapsed="false">
      <c r="A990" s="49" t="s">
        <v>434</v>
      </c>
      <c r="B990" s="20"/>
      <c r="C990" s="20"/>
      <c r="D990" s="34"/>
      <c r="E990" s="156"/>
      <c r="F990" s="153"/>
    </row>
    <row r="991" customFormat="false" ht="16.8" hidden="false" customHeight="false" outlineLevel="0" collapsed="false">
      <c r="A991" s="49" t="s">
        <v>399</v>
      </c>
      <c r="B991" s="20"/>
      <c r="C991" s="20"/>
      <c r="D991" s="34"/>
      <c r="E991" s="156"/>
      <c r="F991" s="153"/>
    </row>
    <row r="992" customFormat="false" ht="16.8" hidden="false" customHeight="false" outlineLevel="0" collapsed="false">
      <c r="A992" s="49" t="s">
        <v>435</v>
      </c>
      <c r="B992" s="20"/>
      <c r="C992" s="20"/>
      <c r="D992" s="34"/>
      <c r="E992" s="156"/>
      <c r="F992" s="153"/>
    </row>
    <row r="993" customFormat="false" ht="16.8" hidden="false" customHeight="false" outlineLevel="0" collapsed="false">
      <c r="A993" s="49" t="s">
        <v>436</v>
      </c>
      <c r="B993" s="20" t="n">
        <v>9900</v>
      </c>
      <c r="C993" s="20" t="n">
        <v>7350</v>
      </c>
      <c r="D993" s="34"/>
      <c r="E993" s="156"/>
      <c r="F993" s="153"/>
    </row>
    <row r="994" customFormat="false" ht="16.8" hidden="false" customHeight="false" outlineLevel="0" collapsed="false">
      <c r="A994" s="49" t="s">
        <v>398</v>
      </c>
      <c r="B994" s="20"/>
      <c r="C994" s="20"/>
      <c r="D994" s="34"/>
      <c r="E994" s="156"/>
      <c r="F994" s="153"/>
    </row>
    <row r="995" customFormat="false" ht="16.8" hidden="false" customHeight="false" outlineLevel="0" collapsed="false">
      <c r="A995" s="49" t="s">
        <v>384</v>
      </c>
      <c r="B995" s="20"/>
      <c r="C995" s="20"/>
      <c r="D995" s="34"/>
      <c r="E995" s="156"/>
      <c r="F995" s="153"/>
    </row>
    <row r="996" customFormat="false" ht="16.8" hidden="false" customHeight="false" outlineLevel="0" collapsed="false">
      <c r="A996" s="49" t="s">
        <v>390</v>
      </c>
      <c r="B996" s="20" t="n">
        <v>2900</v>
      </c>
      <c r="C996" s="20" t="n">
        <v>2500</v>
      </c>
      <c r="D996" s="34"/>
      <c r="E996" s="146"/>
      <c r="F996" s="147"/>
    </row>
    <row r="997" customFormat="false" ht="16.8" hidden="false" customHeight="false" outlineLevel="0" collapsed="false">
      <c r="A997" s="30" t="s">
        <v>11</v>
      </c>
      <c r="B997" s="94" t="n">
        <f aca="false">SUM(B984:B996)</f>
        <v>21400</v>
      </c>
      <c r="C997" s="94" t="n">
        <f aca="false">SUM(C984:C996)</f>
        <v>30700</v>
      </c>
      <c r="D997" s="94" t="n">
        <f aca="false">SUM(D984:D996)</f>
        <v>52100</v>
      </c>
      <c r="E997" s="94" t="n">
        <f aca="false">E984+E986</f>
        <v>0</v>
      </c>
      <c r="F997" s="89" t="n">
        <f aca="false">E997/D997</f>
        <v>0</v>
      </c>
    </row>
    <row r="998" customFormat="false" ht="16.8" hidden="false" customHeight="false" outlineLevel="0" collapsed="false">
      <c r="A998" s="55" t="s">
        <v>476</v>
      </c>
      <c r="B998" s="56"/>
      <c r="C998" s="56"/>
      <c r="D998" s="56"/>
      <c r="E998" s="100"/>
      <c r="F998" s="100"/>
    </row>
    <row r="999" customFormat="false" ht="16.8" hidden="false" customHeight="false" outlineLevel="0" collapsed="false">
      <c r="A999" s="13" t="s">
        <v>20</v>
      </c>
      <c r="B999" s="1"/>
      <c r="C999" s="1"/>
      <c r="D999" s="1"/>
      <c r="E999" s="1"/>
      <c r="F999" s="1"/>
    </row>
    <row r="1000" customFormat="false" ht="16.8" hidden="false" customHeight="false" outlineLevel="0" collapsed="false">
      <c r="A1000" s="17" t="s">
        <v>13</v>
      </c>
      <c r="B1000" s="17" t="s">
        <v>21</v>
      </c>
      <c r="C1000" s="18"/>
      <c r="D1000" s="18"/>
      <c r="E1000" s="18"/>
      <c r="F1000" s="39"/>
    </row>
    <row r="1001" customFormat="false" ht="33.6" hidden="false" customHeight="false" outlineLevel="0" collapsed="false">
      <c r="A1001" s="49" t="s">
        <v>420</v>
      </c>
      <c r="B1001" s="20" t="n">
        <v>33720</v>
      </c>
      <c r="C1001" s="18"/>
      <c r="D1001" s="18"/>
      <c r="E1001" s="18"/>
      <c r="F1001" s="39"/>
    </row>
    <row r="1002" customFormat="false" ht="16.8" hidden="false" customHeight="false" outlineLevel="0" collapsed="false">
      <c r="A1002" s="49" t="s">
        <v>466</v>
      </c>
      <c r="B1002" s="20" t="n">
        <v>39410</v>
      </c>
      <c r="C1002" s="18"/>
      <c r="D1002" s="18"/>
      <c r="E1002" s="18"/>
      <c r="F1002" s="39"/>
    </row>
    <row r="1003" customFormat="false" ht="16.8" hidden="false" customHeight="false" outlineLevel="0" collapsed="false">
      <c r="A1003" s="49" t="s">
        <v>432</v>
      </c>
      <c r="B1003" s="20"/>
      <c r="C1003" s="18"/>
      <c r="D1003" s="18"/>
      <c r="E1003" s="18"/>
      <c r="F1003" s="39"/>
    </row>
    <row r="1004" customFormat="false" ht="16.8" hidden="false" customHeight="false" outlineLevel="0" collapsed="false">
      <c r="A1004" s="49" t="s">
        <v>403</v>
      </c>
      <c r="B1004" s="20" t="n">
        <v>14100</v>
      </c>
      <c r="C1004" s="18"/>
      <c r="D1004" s="18"/>
      <c r="E1004" s="18"/>
      <c r="F1004" s="39"/>
    </row>
    <row r="1005" customFormat="false" ht="16.8" hidden="false" customHeight="false" outlineLevel="0" collapsed="false">
      <c r="A1005" s="49" t="s">
        <v>401</v>
      </c>
      <c r="B1005" s="20" t="n">
        <v>7920</v>
      </c>
      <c r="C1005" s="18"/>
      <c r="D1005" s="18"/>
      <c r="E1005" s="18"/>
      <c r="F1005" s="39"/>
    </row>
    <row r="1006" customFormat="false" ht="16.8" hidden="false" customHeight="false" outlineLevel="0" collapsed="false">
      <c r="A1006" s="49" t="s">
        <v>433</v>
      </c>
      <c r="B1006" s="20" t="n">
        <v>17060</v>
      </c>
      <c r="C1006" s="18"/>
      <c r="D1006" s="18"/>
      <c r="E1006" s="18"/>
      <c r="F1006" s="39"/>
    </row>
    <row r="1007" customFormat="false" ht="16.8" hidden="false" customHeight="false" outlineLevel="0" collapsed="false">
      <c r="A1007" s="49" t="s">
        <v>434</v>
      </c>
      <c r="B1007" s="20"/>
      <c r="C1007" s="18"/>
      <c r="D1007" s="18"/>
      <c r="E1007" s="18"/>
      <c r="F1007" s="39"/>
    </row>
    <row r="1008" customFormat="false" ht="16.8" hidden="false" customHeight="false" outlineLevel="0" collapsed="false">
      <c r="A1008" s="49" t="s">
        <v>399</v>
      </c>
      <c r="B1008" s="20"/>
      <c r="C1008" s="18"/>
      <c r="D1008" s="18"/>
      <c r="E1008" s="18"/>
      <c r="F1008" s="39"/>
    </row>
    <row r="1009" customFormat="false" ht="16.8" hidden="false" customHeight="false" outlineLevel="0" collapsed="false">
      <c r="A1009" s="49" t="s">
        <v>435</v>
      </c>
      <c r="B1009" s="20" t="n">
        <v>5950</v>
      </c>
      <c r="C1009" s="18"/>
      <c r="D1009" s="18"/>
      <c r="E1009" s="18"/>
      <c r="F1009" s="39"/>
    </row>
    <row r="1010" customFormat="false" ht="16.8" hidden="false" customHeight="false" outlineLevel="0" collapsed="false">
      <c r="A1010" s="49" t="s">
        <v>436</v>
      </c>
      <c r="B1010" s="20" t="n">
        <v>44930</v>
      </c>
      <c r="C1010" s="18"/>
      <c r="D1010" s="18"/>
      <c r="E1010" s="18"/>
      <c r="F1010" s="39"/>
    </row>
    <row r="1011" customFormat="false" ht="16.8" hidden="false" customHeight="false" outlineLevel="0" collapsed="false">
      <c r="A1011" s="49" t="s">
        <v>398</v>
      </c>
      <c r="B1011" s="20" t="n">
        <v>2550</v>
      </c>
      <c r="C1011" s="1"/>
      <c r="D1011" s="1"/>
      <c r="E1011" s="1"/>
      <c r="F1011" s="26"/>
    </row>
    <row r="1012" customFormat="false" ht="16.8" hidden="false" customHeight="false" outlineLevel="0" collapsed="false">
      <c r="A1012" s="49" t="s">
        <v>384</v>
      </c>
      <c r="B1012" s="20" t="n">
        <v>3250</v>
      </c>
      <c r="C1012" s="1"/>
      <c r="D1012" s="1"/>
      <c r="E1012" s="1"/>
      <c r="F1012" s="26"/>
    </row>
    <row r="1013" customFormat="false" ht="16.8" hidden="false" customHeight="false" outlineLevel="0" collapsed="false">
      <c r="A1013" s="49" t="s">
        <v>390</v>
      </c>
      <c r="B1013" s="20" t="n">
        <v>19320</v>
      </c>
      <c r="C1013" s="1"/>
      <c r="D1013" s="1"/>
      <c r="E1013" s="1"/>
      <c r="F1013" s="26"/>
    </row>
    <row r="1014" customFormat="false" ht="16.8" hidden="false" customHeight="false" outlineLevel="0" collapsed="false">
      <c r="A1014" s="25" t="s">
        <v>11</v>
      </c>
      <c r="B1014" s="35" t="n">
        <f aca="false">SUM(B1001:B1013)</f>
        <v>188210</v>
      </c>
      <c r="C1014" s="1"/>
      <c r="D1014" s="45"/>
      <c r="E1014" s="45"/>
      <c r="F1014" s="26"/>
    </row>
    <row r="1015" customFormat="false" ht="13.2" hidden="false" customHeight="false" outlineLevel="0" collapsed="false">
      <c r="A1015" s="1"/>
      <c r="B1015" s="1"/>
      <c r="C1015" s="1"/>
      <c r="D1015" s="1"/>
      <c r="E1015" s="1"/>
      <c r="F1015" s="39"/>
    </row>
    <row r="1016" customFormat="false" ht="16.8" hidden="false" customHeight="false" outlineLevel="0" collapsed="false">
      <c r="A1016" s="39"/>
      <c r="B1016" s="39"/>
      <c r="C1016" s="141"/>
      <c r="D1016" s="140" t="s">
        <v>396</v>
      </c>
      <c r="E1016" s="140"/>
      <c r="F1016" s="140"/>
    </row>
    <row r="1018" customFormat="false" ht="18.6" hidden="false" customHeight="true" outlineLevel="0" collapsed="false">
      <c r="A1018" s="118" t="s">
        <v>504</v>
      </c>
      <c r="B1018" s="118"/>
      <c r="C1018" s="118"/>
      <c r="D1018" s="118"/>
      <c r="E1018" s="118"/>
      <c r="F1018" s="118"/>
    </row>
    <row r="1019" customFormat="false" ht="13.8" hidden="false" customHeight="true" outlineLevel="0" collapsed="false">
      <c r="A1019" s="119" t="s">
        <v>2</v>
      </c>
      <c r="B1019" s="119"/>
      <c r="C1019" s="119"/>
      <c r="D1019" s="119"/>
      <c r="E1019" s="119"/>
      <c r="F1019" s="119"/>
    </row>
    <row r="1020" customFormat="false" ht="16.8" hidden="false" customHeight="false" outlineLevel="0" collapsed="false">
      <c r="A1020" s="13" t="s">
        <v>3</v>
      </c>
      <c r="B1020" s="14"/>
      <c r="C1020" s="14"/>
      <c r="D1020" s="46"/>
      <c r="E1020" s="66" t="s">
        <v>4</v>
      </c>
      <c r="F1020" s="66"/>
    </row>
    <row r="1021" customFormat="false" ht="33.6" hidden="false" customHeight="false" outlineLevel="0" collapsed="false">
      <c r="A1021" s="17" t="s">
        <v>5</v>
      </c>
      <c r="B1021" s="17" t="s">
        <v>5</v>
      </c>
      <c r="C1021" s="17" t="s">
        <v>505</v>
      </c>
      <c r="D1021" s="17" t="s">
        <v>7</v>
      </c>
      <c r="E1021" s="17" t="s">
        <v>8</v>
      </c>
      <c r="F1021" s="150"/>
    </row>
    <row r="1022" customFormat="false" ht="16.8" hidden="false" customHeight="false" outlineLevel="0" collapsed="false">
      <c r="A1022" s="19" t="s">
        <v>9</v>
      </c>
      <c r="B1022" s="20" t="n">
        <f aca="false">E976</f>
        <v>50</v>
      </c>
      <c r="C1022" s="0" t="n">
        <v>100</v>
      </c>
      <c r="D1022" s="20"/>
      <c r="E1022" s="47" t="n">
        <f aca="false">B1022+C1022-D1022</f>
        <v>150</v>
      </c>
    </row>
    <row r="1023" customFormat="false" ht="33.6" hidden="false" customHeight="false" outlineLevel="0" collapsed="false">
      <c r="A1023" s="97" t="s">
        <v>159</v>
      </c>
      <c r="B1023" s="20" t="n">
        <f aca="false">E977</f>
        <v>55935</v>
      </c>
      <c r="C1023" s="20" t="n">
        <v>45885</v>
      </c>
      <c r="D1023" s="20"/>
      <c r="E1023" s="47" t="n">
        <f aca="false">B1023+C1023-D1023</f>
        <v>101820</v>
      </c>
    </row>
    <row r="1024" customFormat="false" ht="50.4" hidden="false" customHeight="false" outlineLevel="0" collapsed="false">
      <c r="A1024" s="97" t="s">
        <v>414</v>
      </c>
      <c r="B1024" s="20" t="n">
        <f aca="false">E978</f>
        <v>0</v>
      </c>
      <c r="C1024" s="20"/>
      <c r="D1024" s="20"/>
      <c r="E1024" s="47" t="n">
        <f aca="false">B1024+C1024-D1024</f>
        <v>0</v>
      </c>
    </row>
    <row r="1025" customFormat="false" ht="33.6" hidden="false" customHeight="false" outlineLevel="0" collapsed="false">
      <c r="A1025" s="97" t="s">
        <v>202</v>
      </c>
      <c r="B1025" s="20" t="n">
        <f aca="false">E979</f>
        <v>190</v>
      </c>
      <c r="C1025" s="20" t="n">
        <f aca="false">1250+3995</f>
        <v>5245</v>
      </c>
      <c r="D1025" s="20"/>
      <c r="E1025" s="47" t="n">
        <f aca="false">B1025+C1025-D1025</f>
        <v>5435</v>
      </c>
    </row>
    <row r="1026" customFormat="false" ht="16.8" hidden="false" customHeight="false" outlineLevel="0" collapsed="false">
      <c r="A1026" s="19" t="s">
        <v>10</v>
      </c>
      <c r="B1026" s="20" t="n">
        <f aca="false">E980</f>
        <v>124332</v>
      </c>
      <c r="C1026" s="20" t="n">
        <f aca="false">49208-C1022</f>
        <v>49108</v>
      </c>
      <c r="D1026" s="20"/>
      <c r="E1026" s="47" t="n">
        <f aca="false">B1026+C1026-D1026</f>
        <v>173440</v>
      </c>
    </row>
    <row r="1027" customFormat="false" ht="16.8" hidden="false" customHeight="false" outlineLevel="0" collapsed="false">
      <c r="A1027" s="21" t="s">
        <v>11</v>
      </c>
      <c r="B1027" s="22" t="n">
        <f aca="false">SUM(B1022:B1026)</f>
        <v>180507</v>
      </c>
      <c r="C1027" s="22" t="n">
        <f aca="false">SUM(C1023:C1026)</f>
        <v>100238</v>
      </c>
      <c r="D1027" s="22" t="n">
        <f aca="false">SUM(D1022:D1026)</f>
        <v>0</v>
      </c>
      <c r="E1027" s="22" t="n">
        <f aca="false">SUM(E1022:E1026)</f>
        <v>280845</v>
      </c>
    </row>
    <row r="1028" customFormat="false" ht="16.8" hidden="false" customHeight="false" outlineLevel="0" collapsed="false">
      <c r="A1028" s="13" t="s">
        <v>12</v>
      </c>
      <c r="B1028" s="13"/>
      <c r="C1028" s="13"/>
      <c r="D1028" s="13"/>
      <c r="E1028" s="13"/>
      <c r="F1028" s="13"/>
    </row>
    <row r="1029" customFormat="false" ht="50.4" hidden="false" customHeight="false" outlineLevel="0" collapsed="false">
      <c r="A1029" s="25" t="s">
        <v>13</v>
      </c>
      <c r="B1029" s="17" t="s">
        <v>506</v>
      </c>
      <c r="C1029" s="17" t="s">
        <v>507</v>
      </c>
      <c r="D1029" s="120" t="s">
        <v>418</v>
      </c>
      <c r="E1029" s="143" t="s">
        <v>419</v>
      </c>
      <c r="F1029" s="120" t="s">
        <v>16</v>
      </c>
    </row>
    <row r="1030" customFormat="false" ht="33.6" hidden="false" customHeight="false" outlineLevel="0" collapsed="false">
      <c r="A1030" s="49" t="s">
        <v>49</v>
      </c>
      <c r="B1030" s="20" t="n">
        <f aca="false">B984+C984</f>
        <v>7450</v>
      </c>
      <c r="C1030" s="20" t="n">
        <v>6300</v>
      </c>
      <c r="D1030" s="34" t="n">
        <f aca="false">+C1030+C1031+B1030+B1031</f>
        <v>31200</v>
      </c>
      <c r="E1030" s="34" t="n">
        <f aca="false">D1022+D1023</f>
        <v>0</v>
      </c>
      <c r="F1030" s="122" t="n">
        <f aca="false">E1030/D1030</f>
        <v>0</v>
      </c>
    </row>
    <row r="1031" customFormat="false" ht="16.8" hidden="false" customHeight="false" outlineLevel="0" collapsed="false">
      <c r="A1031" s="49" t="s">
        <v>466</v>
      </c>
      <c r="B1031" s="20" t="n">
        <f aca="false">B985+C985</f>
        <v>9800</v>
      </c>
      <c r="C1031" s="20" t="n">
        <v>7650</v>
      </c>
      <c r="D1031" s="34"/>
      <c r="E1031" s="34"/>
      <c r="F1031" s="122"/>
    </row>
    <row r="1032" customFormat="false" ht="16.8" hidden="false" customHeight="false" outlineLevel="0" collapsed="false">
      <c r="A1032" s="49" t="s">
        <v>432</v>
      </c>
      <c r="B1032" s="20" t="n">
        <f aca="false">B986+C986</f>
        <v>0</v>
      </c>
      <c r="C1032" s="20"/>
      <c r="D1032" s="34" t="n">
        <f aca="false">SUM(B1032:C1042)</f>
        <v>48650</v>
      </c>
      <c r="E1032" s="146" t="n">
        <f aca="false">D1025+D1026</f>
        <v>0</v>
      </c>
      <c r="F1032" s="147" t="n">
        <f aca="false">E1032/D1032</f>
        <v>0</v>
      </c>
    </row>
    <row r="1033" customFormat="false" ht="16.8" hidden="false" customHeight="false" outlineLevel="0" collapsed="false">
      <c r="A1033" s="49" t="s">
        <v>403</v>
      </c>
      <c r="B1033" s="20" t="n">
        <f aca="false">B987+C987</f>
        <v>0</v>
      </c>
      <c r="C1033" s="20"/>
      <c r="D1033" s="34"/>
      <c r="E1033" s="34"/>
      <c r="F1033" s="147"/>
    </row>
    <row r="1034" customFormat="false" ht="16.8" hidden="false" customHeight="false" outlineLevel="0" collapsed="false">
      <c r="A1034" s="49" t="s">
        <v>401</v>
      </c>
      <c r="B1034" s="20" t="n">
        <f aca="false">B988+C988</f>
        <v>3000</v>
      </c>
      <c r="C1034" s="20"/>
      <c r="D1034" s="34"/>
      <c r="E1034" s="34"/>
      <c r="F1034" s="147"/>
    </row>
    <row r="1035" customFormat="false" ht="16.8" hidden="false" customHeight="false" outlineLevel="0" collapsed="false">
      <c r="A1035" s="49" t="s">
        <v>433</v>
      </c>
      <c r="B1035" s="20" t="n">
        <f aca="false">B989+C989</f>
        <v>9200</v>
      </c>
      <c r="C1035" s="20" t="n">
        <v>4750</v>
      </c>
      <c r="D1035" s="34"/>
      <c r="E1035" s="34"/>
      <c r="F1035" s="147"/>
    </row>
    <row r="1036" customFormat="false" ht="16.8" hidden="false" customHeight="false" outlineLevel="0" collapsed="false">
      <c r="A1036" s="49" t="s">
        <v>434</v>
      </c>
      <c r="B1036" s="20" t="n">
        <f aca="false">B990+C990</f>
        <v>0</v>
      </c>
      <c r="C1036" s="20"/>
      <c r="D1036" s="34"/>
      <c r="E1036" s="34"/>
      <c r="F1036" s="147"/>
    </row>
    <row r="1037" customFormat="false" ht="16.8" hidden="false" customHeight="false" outlineLevel="0" collapsed="false">
      <c r="A1037" s="49" t="s">
        <v>399</v>
      </c>
      <c r="B1037" s="20" t="n">
        <f aca="false">B991+C991</f>
        <v>0</v>
      </c>
      <c r="C1037" s="20"/>
      <c r="D1037" s="34"/>
      <c r="E1037" s="34"/>
      <c r="F1037" s="147"/>
    </row>
    <row r="1038" customFormat="false" ht="16.8" hidden="false" customHeight="false" outlineLevel="0" collapsed="false">
      <c r="A1038" s="49" t="s">
        <v>435</v>
      </c>
      <c r="B1038" s="20" t="n">
        <f aca="false">B992+C992</f>
        <v>0</v>
      </c>
      <c r="C1038" s="20" t="n">
        <v>5400</v>
      </c>
      <c r="D1038" s="34"/>
      <c r="E1038" s="34"/>
      <c r="F1038" s="147"/>
    </row>
    <row r="1039" customFormat="false" ht="16.8" hidden="false" customHeight="false" outlineLevel="0" collapsed="false">
      <c r="A1039" s="49" t="s">
        <v>436</v>
      </c>
      <c r="B1039" s="20" t="n">
        <f aca="false">B993+C993</f>
        <v>17250</v>
      </c>
      <c r="C1039" s="20" t="n">
        <v>3150</v>
      </c>
      <c r="D1039" s="34"/>
      <c r="E1039" s="34"/>
      <c r="F1039" s="147"/>
    </row>
    <row r="1040" customFormat="false" ht="16.8" hidden="false" customHeight="false" outlineLevel="0" collapsed="false">
      <c r="A1040" s="49" t="s">
        <v>398</v>
      </c>
      <c r="B1040" s="20" t="n">
        <f aca="false">B994+C994</f>
        <v>0</v>
      </c>
      <c r="C1040" s="20"/>
      <c r="D1040" s="34"/>
      <c r="E1040" s="34"/>
      <c r="F1040" s="147"/>
    </row>
    <row r="1041" customFormat="false" ht="16.8" hidden="false" customHeight="false" outlineLevel="0" collapsed="false">
      <c r="A1041" s="49" t="s">
        <v>384</v>
      </c>
      <c r="B1041" s="20" t="n">
        <f aca="false">B995+C995</f>
        <v>0</v>
      </c>
      <c r="C1041" s="20"/>
      <c r="D1041" s="34"/>
      <c r="E1041" s="34"/>
      <c r="F1041" s="147"/>
    </row>
    <row r="1042" customFormat="false" ht="16.8" hidden="false" customHeight="false" outlineLevel="0" collapsed="false">
      <c r="A1042" s="49" t="s">
        <v>390</v>
      </c>
      <c r="B1042" s="20" t="n">
        <f aca="false">B996+C996</f>
        <v>5400</v>
      </c>
      <c r="C1042" s="20" t="n">
        <v>500</v>
      </c>
      <c r="D1042" s="34"/>
      <c r="E1042" s="34"/>
      <c r="F1042" s="147"/>
    </row>
    <row r="1043" customFormat="false" ht="16.8" hidden="false" customHeight="false" outlineLevel="0" collapsed="false">
      <c r="A1043" s="30" t="s">
        <v>11</v>
      </c>
      <c r="B1043" s="94" t="n">
        <f aca="false">SUM(B1030:B1042)</f>
        <v>52100</v>
      </c>
      <c r="C1043" s="94" t="n">
        <f aca="false">SUM(C1030:C1042)</f>
        <v>27750</v>
      </c>
      <c r="D1043" s="94" t="n">
        <f aca="false">SUM(D1030:D1042)</f>
        <v>79850</v>
      </c>
      <c r="E1043" s="94" t="n">
        <f aca="false">E1030+E1032</f>
        <v>0</v>
      </c>
      <c r="F1043" s="89" t="n">
        <f aca="false">E1043/D1043</f>
        <v>0</v>
      </c>
    </row>
    <row r="1044" customFormat="false" ht="16.8" hidden="false" customHeight="false" outlineLevel="0" collapsed="false">
      <c r="A1044" s="55" t="s">
        <v>476</v>
      </c>
      <c r="B1044" s="56"/>
      <c r="C1044" s="56"/>
      <c r="D1044" s="56"/>
      <c r="E1044" s="100"/>
      <c r="F1044" s="100"/>
    </row>
    <row r="1045" customFormat="false" ht="16.8" hidden="false" customHeight="false" outlineLevel="0" collapsed="false">
      <c r="A1045" s="13" t="s">
        <v>20</v>
      </c>
      <c r="B1045" s="1"/>
      <c r="C1045" s="1"/>
      <c r="D1045" s="1"/>
      <c r="E1045" s="1"/>
      <c r="F1045" s="1"/>
    </row>
    <row r="1046" customFormat="false" ht="16.8" hidden="false" customHeight="false" outlineLevel="0" collapsed="false">
      <c r="A1046" s="17" t="s">
        <v>13</v>
      </c>
      <c r="B1046" s="17" t="s">
        <v>21</v>
      </c>
      <c r="C1046" s="18"/>
      <c r="D1046" s="18"/>
      <c r="E1046" s="18"/>
      <c r="F1046" s="39"/>
    </row>
    <row r="1047" customFormat="false" ht="18" hidden="false" customHeight="true" outlineLevel="0" collapsed="false">
      <c r="A1047" s="49" t="s">
        <v>420</v>
      </c>
      <c r="B1047" s="20" t="n">
        <v>40020</v>
      </c>
      <c r="C1047" s="18"/>
      <c r="D1047" s="18"/>
      <c r="E1047" s="18"/>
      <c r="F1047" s="39"/>
    </row>
    <row r="1048" customFormat="false" ht="16.8" hidden="false" customHeight="false" outlineLevel="0" collapsed="false">
      <c r="A1048" s="49" t="s">
        <v>466</v>
      </c>
      <c r="B1048" s="20" t="n">
        <v>47060</v>
      </c>
      <c r="C1048" s="18"/>
      <c r="D1048" s="18"/>
      <c r="E1048" s="18"/>
      <c r="F1048" s="39"/>
    </row>
    <row r="1049" customFormat="false" ht="16.8" hidden="false" customHeight="false" outlineLevel="0" collapsed="false">
      <c r="A1049" s="49" t="s">
        <v>432</v>
      </c>
      <c r="B1049" s="20"/>
      <c r="C1049" s="18"/>
      <c r="D1049" s="18"/>
      <c r="E1049" s="18"/>
      <c r="F1049" s="39"/>
    </row>
    <row r="1050" customFormat="false" ht="16.8" hidden="false" customHeight="false" outlineLevel="0" collapsed="false">
      <c r="A1050" s="49" t="s">
        <v>403</v>
      </c>
      <c r="B1050" s="20" t="n">
        <v>13600</v>
      </c>
      <c r="C1050" s="18"/>
      <c r="D1050" s="18"/>
      <c r="E1050" s="18"/>
      <c r="F1050" s="39"/>
    </row>
    <row r="1051" customFormat="false" ht="16.8" hidden="false" customHeight="false" outlineLevel="0" collapsed="false">
      <c r="A1051" s="49" t="s">
        <v>401</v>
      </c>
      <c r="B1051" s="20"/>
      <c r="C1051" s="18"/>
      <c r="D1051" s="18"/>
      <c r="E1051" s="18"/>
      <c r="F1051" s="39"/>
    </row>
    <row r="1052" customFormat="false" ht="16.8" hidden="false" customHeight="false" outlineLevel="0" collapsed="false">
      <c r="A1052" s="49" t="s">
        <v>433</v>
      </c>
      <c r="B1052" s="20" t="n">
        <v>4750</v>
      </c>
      <c r="C1052" s="18"/>
      <c r="D1052" s="18"/>
      <c r="E1052" s="18"/>
      <c r="F1052" s="39"/>
    </row>
    <row r="1053" customFormat="false" ht="16.8" hidden="false" customHeight="false" outlineLevel="0" collapsed="false">
      <c r="A1053" s="49" t="s">
        <v>434</v>
      </c>
      <c r="B1053" s="20"/>
      <c r="C1053" s="18"/>
      <c r="D1053" s="18"/>
      <c r="E1053" s="18"/>
      <c r="F1053" s="39"/>
    </row>
    <row r="1054" customFormat="false" ht="16.8" hidden="false" customHeight="false" outlineLevel="0" collapsed="false">
      <c r="A1054" s="49" t="s">
        <v>399</v>
      </c>
      <c r="B1054" s="20"/>
      <c r="C1054" s="18"/>
      <c r="D1054" s="18"/>
      <c r="E1054" s="18"/>
      <c r="F1054" s="39"/>
    </row>
    <row r="1055" customFormat="false" ht="16.8" hidden="false" customHeight="false" outlineLevel="0" collapsed="false">
      <c r="A1055" s="49" t="s">
        <v>435</v>
      </c>
      <c r="B1055" s="20" t="n">
        <v>80830</v>
      </c>
      <c r="C1055" s="18"/>
      <c r="D1055" s="18"/>
      <c r="E1055" s="18"/>
      <c r="F1055" s="39"/>
    </row>
    <row r="1056" customFormat="false" ht="16.8" hidden="false" customHeight="false" outlineLevel="0" collapsed="false">
      <c r="A1056" s="49" t="s">
        <v>436</v>
      </c>
      <c r="B1056" s="20" t="n">
        <v>8230</v>
      </c>
      <c r="C1056" s="18"/>
      <c r="D1056" s="18"/>
      <c r="E1056" s="18"/>
      <c r="F1056" s="39"/>
    </row>
    <row r="1057" customFormat="false" ht="16.8" hidden="false" customHeight="false" outlineLevel="0" collapsed="false">
      <c r="A1057" s="49" t="s">
        <v>398</v>
      </c>
      <c r="B1057" s="20"/>
      <c r="C1057" s="1"/>
      <c r="D1057" s="1"/>
      <c r="E1057" s="1"/>
      <c r="F1057" s="26"/>
    </row>
    <row r="1058" customFormat="false" ht="16.8" hidden="false" customHeight="false" outlineLevel="0" collapsed="false">
      <c r="A1058" s="49" t="s">
        <v>384</v>
      </c>
      <c r="B1058" s="20" t="n">
        <v>1650</v>
      </c>
      <c r="C1058" s="1"/>
      <c r="D1058" s="1"/>
      <c r="E1058" s="1"/>
      <c r="F1058" s="26"/>
    </row>
    <row r="1059" customFormat="false" ht="16.8" hidden="false" customHeight="false" outlineLevel="0" collapsed="false">
      <c r="A1059" s="49" t="s">
        <v>390</v>
      </c>
      <c r="B1059" s="20" t="n">
        <v>19820</v>
      </c>
      <c r="C1059" s="1"/>
      <c r="D1059" s="1"/>
      <c r="E1059" s="1"/>
      <c r="F1059" s="26"/>
    </row>
    <row r="1060" customFormat="false" ht="16.8" hidden="false" customHeight="false" outlineLevel="0" collapsed="false">
      <c r="A1060" s="25" t="s">
        <v>11</v>
      </c>
      <c r="B1060" s="35" t="n">
        <f aca="false">SUM(B1047:B1059)</f>
        <v>215960</v>
      </c>
      <c r="C1060" s="1"/>
      <c r="D1060" s="45"/>
      <c r="E1060" s="45"/>
      <c r="F1060" s="26"/>
    </row>
    <row r="1061" customFormat="false" ht="13.2" hidden="false" customHeight="false" outlineLevel="0" collapsed="false">
      <c r="A1061" s="1"/>
      <c r="B1061" s="1"/>
      <c r="C1061" s="1"/>
      <c r="D1061" s="1"/>
      <c r="E1061" s="1"/>
      <c r="F1061" s="39"/>
    </row>
    <row r="1062" customFormat="false" ht="16.8" hidden="false" customHeight="false" outlineLevel="0" collapsed="false">
      <c r="A1062" s="39"/>
      <c r="B1062" s="39"/>
      <c r="C1062" s="141"/>
      <c r="D1062" s="140" t="s">
        <v>396</v>
      </c>
      <c r="E1062" s="140"/>
      <c r="F1062" s="140"/>
    </row>
    <row r="1064" customFormat="false" ht="18.6" hidden="false" customHeight="true" outlineLevel="0" collapsed="false">
      <c r="A1064" s="118" t="s">
        <v>508</v>
      </c>
      <c r="B1064" s="118"/>
      <c r="C1064" s="118"/>
      <c r="D1064" s="118"/>
      <c r="E1064" s="118"/>
      <c r="F1064" s="118"/>
    </row>
    <row r="1065" customFormat="false" ht="13.8" hidden="false" customHeight="true" outlineLevel="0" collapsed="false">
      <c r="A1065" s="119" t="s">
        <v>2</v>
      </c>
      <c r="B1065" s="119"/>
      <c r="C1065" s="119"/>
      <c r="D1065" s="119"/>
      <c r="E1065" s="119"/>
      <c r="F1065" s="119"/>
    </row>
    <row r="1066" customFormat="false" ht="16.8" hidden="false" customHeight="false" outlineLevel="0" collapsed="false">
      <c r="A1066" s="13" t="s">
        <v>3</v>
      </c>
      <c r="B1066" s="14"/>
      <c r="C1066" s="14"/>
      <c r="D1066" s="46"/>
      <c r="E1066" s="66" t="s">
        <v>4</v>
      </c>
      <c r="F1066" s="66"/>
    </row>
    <row r="1067" customFormat="false" ht="33.6" hidden="false" customHeight="false" outlineLevel="0" collapsed="false">
      <c r="A1067" s="17" t="s">
        <v>5</v>
      </c>
      <c r="B1067" s="17" t="s">
        <v>5</v>
      </c>
      <c r="C1067" s="17" t="s">
        <v>509</v>
      </c>
      <c r="D1067" s="17" t="s">
        <v>7</v>
      </c>
      <c r="E1067" s="17" t="s">
        <v>8</v>
      </c>
      <c r="F1067" s="150"/>
    </row>
    <row r="1068" customFormat="false" ht="16.8" hidden="false" customHeight="false" outlineLevel="0" collapsed="false">
      <c r="A1068" s="19" t="s">
        <v>9</v>
      </c>
      <c r="B1068" s="20" t="n">
        <f aca="false">E1022</f>
        <v>150</v>
      </c>
      <c r="C1068" s="0" t="n">
        <v>225</v>
      </c>
      <c r="D1068" s="20"/>
      <c r="E1068" s="47" t="n">
        <f aca="false">B1068+C1068-D1068</f>
        <v>375</v>
      </c>
    </row>
    <row r="1069" customFormat="false" ht="33.6" hidden="false" customHeight="false" outlineLevel="0" collapsed="false">
      <c r="A1069" s="97" t="s">
        <v>159</v>
      </c>
      <c r="B1069" s="20" t="n">
        <f aca="false">E1023</f>
        <v>101820</v>
      </c>
      <c r="C1069" s="20" t="n">
        <v>42410</v>
      </c>
      <c r="D1069" s="20"/>
      <c r="E1069" s="47" t="n">
        <f aca="false">B1069+C1069-D1069</f>
        <v>144230</v>
      </c>
    </row>
    <row r="1070" customFormat="false" ht="50.4" hidden="false" customHeight="false" outlineLevel="0" collapsed="false">
      <c r="A1070" s="97" t="s">
        <v>414</v>
      </c>
      <c r="B1070" s="20" t="n">
        <f aca="false">E1024</f>
        <v>0</v>
      </c>
      <c r="C1070" s="20"/>
      <c r="D1070" s="20"/>
      <c r="E1070" s="47" t="n">
        <f aca="false">B1070+C1070-D1070</f>
        <v>0</v>
      </c>
    </row>
    <row r="1071" customFormat="false" ht="33.6" hidden="false" customHeight="false" outlineLevel="0" collapsed="false">
      <c r="A1071" s="97" t="s">
        <v>202</v>
      </c>
      <c r="B1071" s="20" t="n">
        <f aca="false">E1025</f>
        <v>5435</v>
      </c>
      <c r="C1071" s="20" t="n">
        <v>570</v>
      </c>
      <c r="D1071" s="20"/>
      <c r="E1071" s="47" t="n">
        <f aca="false">B1071+C1071-D1071</f>
        <v>6005</v>
      </c>
    </row>
    <row r="1072" customFormat="false" ht="16.8" hidden="false" customHeight="false" outlineLevel="0" collapsed="false">
      <c r="A1072" s="19" t="s">
        <v>10</v>
      </c>
      <c r="B1072" s="20" t="n">
        <f aca="false">E1026</f>
        <v>173440</v>
      </c>
      <c r="C1072" s="20" t="n">
        <f aca="false">101269-C1068</f>
        <v>101044</v>
      </c>
      <c r="D1072" s="20"/>
      <c r="E1072" s="47" t="n">
        <f aca="false">B1072+C1072-D1072</f>
        <v>274484</v>
      </c>
    </row>
    <row r="1073" customFormat="false" ht="16.8" hidden="false" customHeight="false" outlineLevel="0" collapsed="false">
      <c r="A1073" s="21" t="s">
        <v>11</v>
      </c>
      <c r="B1073" s="22" t="n">
        <f aca="false">SUM(B1068:B1072)</f>
        <v>280845</v>
      </c>
      <c r="C1073" s="22" t="n">
        <f aca="false">SUM(C1069:C1072)</f>
        <v>144024</v>
      </c>
      <c r="D1073" s="22" t="n">
        <f aca="false">SUM(D1068:D1072)</f>
        <v>0</v>
      </c>
      <c r="E1073" s="22" t="n">
        <f aca="false">SUM(E1068:E1072)</f>
        <v>425094</v>
      </c>
    </row>
    <row r="1074" customFormat="false" ht="16.8" hidden="false" customHeight="false" outlineLevel="0" collapsed="false">
      <c r="A1074" s="13" t="s">
        <v>12</v>
      </c>
      <c r="B1074" s="13"/>
      <c r="C1074" s="13"/>
      <c r="D1074" s="13"/>
      <c r="E1074" s="13"/>
      <c r="F1074" s="13"/>
    </row>
    <row r="1075" customFormat="false" ht="50.4" hidden="false" customHeight="false" outlineLevel="0" collapsed="false">
      <c r="A1075" s="25" t="s">
        <v>13</v>
      </c>
      <c r="B1075" s="17" t="s">
        <v>510</v>
      </c>
      <c r="C1075" s="17" t="s">
        <v>511</v>
      </c>
      <c r="D1075" s="120" t="s">
        <v>418</v>
      </c>
      <c r="E1075" s="143" t="s">
        <v>419</v>
      </c>
      <c r="F1075" s="120" t="s">
        <v>16</v>
      </c>
    </row>
    <row r="1076" customFormat="false" ht="33.6" hidden="false" customHeight="false" outlineLevel="0" collapsed="false">
      <c r="A1076" s="49" t="s">
        <v>49</v>
      </c>
      <c r="B1076" s="20" t="n">
        <f aca="false">B1030+C1030</f>
        <v>13750</v>
      </c>
      <c r="C1076" s="20" t="n">
        <v>5100</v>
      </c>
      <c r="D1076" s="34" t="n">
        <f aca="false">+C1076+C1077+B1076+B1077</f>
        <v>44300</v>
      </c>
      <c r="E1076" s="34" t="n">
        <f aca="false">D1068+D1069</f>
        <v>0</v>
      </c>
      <c r="F1076" s="122" t="n">
        <f aca="false">E1076/D1076</f>
        <v>0</v>
      </c>
    </row>
    <row r="1077" customFormat="false" ht="16.8" hidden="false" customHeight="false" outlineLevel="0" collapsed="false">
      <c r="A1077" s="49" t="s">
        <v>466</v>
      </c>
      <c r="B1077" s="20" t="n">
        <f aca="false">B1031+C1031</f>
        <v>17450</v>
      </c>
      <c r="C1077" s="20" t="n">
        <v>8000</v>
      </c>
      <c r="D1077" s="34"/>
      <c r="E1077" s="34"/>
      <c r="F1077" s="122"/>
    </row>
    <row r="1078" customFormat="false" ht="16.8" hidden="false" customHeight="false" outlineLevel="0" collapsed="false">
      <c r="A1078" s="49" t="s">
        <v>432</v>
      </c>
      <c r="B1078" s="20" t="n">
        <f aca="false">B1032+C1032</f>
        <v>0</v>
      </c>
      <c r="C1078" s="20"/>
      <c r="D1078" s="34" t="n">
        <f aca="false">SUM(B1078:C1088)</f>
        <v>70750</v>
      </c>
      <c r="E1078" s="146" t="n">
        <f aca="false">D1071+D1072</f>
        <v>0</v>
      </c>
      <c r="F1078" s="147" t="n">
        <f aca="false">E1078/D1078</f>
        <v>0</v>
      </c>
    </row>
    <row r="1079" customFormat="false" ht="16.8" hidden="false" customHeight="false" outlineLevel="0" collapsed="false">
      <c r="A1079" s="49" t="s">
        <v>403</v>
      </c>
      <c r="B1079" s="20" t="n">
        <f aca="false">B1033+C1033</f>
        <v>0</v>
      </c>
      <c r="C1079" s="20"/>
      <c r="D1079" s="34"/>
      <c r="E1079" s="34"/>
      <c r="F1079" s="147"/>
    </row>
    <row r="1080" customFormat="false" ht="16.8" hidden="false" customHeight="false" outlineLevel="0" collapsed="false">
      <c r="A1080" s="49" t="s">
        <v>401</v>
      </c>
      <c r="B1080" s="20" t="n">
        <f aca="false">B1034+C1034</f>
        <v>3000</v>
      </c>
      <c r="C1080" s="20"/>
      <c r="D1080" s="34"/>
      <c r="E1080" s="34"/>
      <c r="F1080" s="147"/>
    </row>
    <row r="1081" customFormat="false" ht="16.8" hidden="false" customHeight="false" outlineLevel="0" collapsed="false">
      <c r="A1081" s="49" t="s">
        <v>433</v>
      </c>
      <c r="B1081" s="20" t="n">
        <f aca="false">B1035+C1035</f>
        <v>13950</v>
      </c>
      <c r="C1081" s="20" t="n">
        <v>5000</v>
      </c>
      <c r="D1081" s="34"/>
      <c r="E1081" s="34"/>
      <c r="F1081" s="147"/>
    </row>
    <row r="1082" customFormat="false" ht="16.8" hidden="false" customHeight="false" outlineLevel="0" collapsed="false">
      <c r="A1082" s="49" t="s">
        <v>434</v>
      </c>
      <c r="B1082" s="20" t="n">
        <f aca="false">B1036+C1036</f>
        <v>0</v>
      </c>
      <c r="C1082" s="20"/>
      <c r="D1082" s="34"/>
      <c r="E1082" s="34"/>
      <c r="F1082" s="147"/>
    </row>
    <row r="1083" customFormat="false" ht="16.8" hidden="false" customHeight="false" outlineLevel="0" collapsed="false">
      <c r="A1083" s="49" t="s">
        <v>399</v>
      </c>
      <c r="B1083" s="20" t="n">
        <f aca="false">B1037+C1037</f>
        <v>0</v>
      </c>
      <c r="C1083" s="20"/>
      <c r="D1083" s="34"/>
      <c r="E1083" s="34"/>
      <c r="F1083" s="147"/>
    </row>
    <row r="1084" customFormat="false" ht="16.8" hidden="false" customHeight="false" outlineLevel="0" collapsed="false">
      <c r="A1084" s="49" t="s">
        <v>435</v>
      </c>
      <c r="B1084" s="20" t="n">
        <f aca="false">B1038+C1038</f>
        <v>5400</v>
      </c>
      <c r="C1084" s="20"/>
      <c r="D1084" s="34"/>
      <c r="E1084" s="34"/>
      <c r="F1084" s="147"/>
    </row>
    <row r="1085" customFormat="false" ht="16.8" hidden="false" customHeight="false" outlineLevel="0" collapsed="false">
      <c r="A1085" s="49" t="s">
        <v>436</v>
      </c>
      <c r="B1085" s="20" t="n">
        <f aca="false">B1039+C1039</f>
        <v>20400</v>
      </c>
      <c r="C1085" s="20" t="n">
        <v>15900</v>
      </c>
      <c r="D1085" s="34"/>
      <c r="E1085" s="34"/>
      <c r="F1085" s="147"/>
    </row>
    <row r="1086" customFormat="false" ht="16.8" hidden="false" customHeight="false" outlineLevel="0" collapsed="false">
      <c r="A1086" s="49" t="s">
        <v>398</v>
      </c>
      <c r="B1086" s="20" t="n">
        <f aca="false">B1040+C1040</f>
        <v>0</v>
      </c>
      <c r="C1086" s="20"/>
      <c r="D1086" s="34"/>
      <c r="E1086" s="34"/>
      <c r="F1086" s="147"/>
    </row>
    <row r="1087" customFormat="false" ht="16.8" hidden="false" customHeight="false" outlineLevel="0" collapsed="false">
      <c r="A1087" s="49" t="s">
        <v>384</v>
      </c>
      <c r="B1087" s="20" t="n">
        <f aca="false">B1041+C1041</f>
        <v>0</v>
      </c>
      <c r="C1087" s="20"/>
      <c r="D1087" s="34"/>
      <c r="E1087" s="34"/>
      <c r="F1087" s="147"/>
    </row>
    <row r="1088" customFormat="false" ht="16.8" hidden="false" customHeight="false" outlineLevel="0" collapsed="false">
      <c r="A1088" s="49" t="s">
        <v>390</v>
      </c>
      <c r="B1088" s="20" t="n">
        <f aca="false">B1042+C1042</f>
        <v>5900</v>
      </c>
      <c r="C1088" s="20" t="n">
        <v>1200</v>
      </c>
      <c r="D1088" s="34"/>
      <c r="E1088" s="34"/>
      <c r="F1088" s="147"/>
    </row>
    <row r="1089" customFormat="false" ht="16.8" hidden="false" customHeight="false" outlineLevel="0" collapsed="false">
      <c r="A1089" s="30" t="s">
        <v>11</v>
      </c>
      <c r="B1089" s="94" t="n">
        <f aca="false">SUM(B1076:B1088)</f>
        <v>79850</v>
      </c>
      <c r="C1089" s="94" t="n">
        <f aca="false">SUM(C1076:C1088)</f>
        <v>35200</v>
      </c>
      <c r="D1089" s="94" t="n">
        <f aca="false">SUM(D1076:D1088)</f>
        <v>115050</v>
      </c>
      <c r="E1089" s="94" t="n">
        <f aca="false">E1076+E1078</f>
        <v>0</v>
      </c>
      <c r="F1089" s="89" t="n">
        <f aca="false">E1089/D1089</f>
        <v>0</v>
      </c>
    </row>
    <row r="1090" customFormat="false" ht="16.8" hidden="false" customHeight="false" outlineLevel="0" collapsed="false">
      <c r="A1090" s="55" t="s">
        <v>476</v>
      </c>
      <c r="B1090" s="56"/>
      <c r="C1090" s="56"/>
      <c r="D1090" s="56"/>
      <c r="E1090" s="100"/>
      <c r="F1090" s="100"/>
    </row>
    <row r="1091" customFormat="false" ht="16.8" hidden="false" customHeight="false" outlineLevel="0" collapsed="false">
      <c r="A1091" s="13" t="s">
        <v>20</v>
      </c>
      <c r="B1091" s="1"/>
      <c r="C1091" s="1"/>
      <c r="D1091" s="1"/>
      <c r="E1091" s="1"/>
      <c r="F1091" s="1"/>
    </row>
    <row r="1092" customFormat="false" ht="16.8" hidden="false" customHeight="false" outlineLevel="0" collapsed="false">
      <c r="A1092" s="17" t="s">
        <v>13</v>
      </c>
      <c r="B1092" s="17" t="s">
        <v>21</v>
      </c>
      <c r="C1092" s="18"/>
      <c r="D1092" s="18"/>
      <c r="E1092" s="18"/>
      <c r="F1092" s="39"/>
    </row>
    <row r="1093" customFormat="false" ht="33.6" hidden="false" customHeight="false" outlineLevel="0" collapsed="false">
      <c r="A1093" s="49" t="s">
        <v>420</v>
      </c>
      <c r="B1093" s="20" t="n">
        <v>45120</v>
      </c>
      <c r="C1093" s="18"/>
      <c r="D1093" s="18"/>
      <c r="E1093" s="18"/>
      <c r="F1093" s="39"/>
    </row>
    <row r="1094" customFormat="false" ht="16.8" hidden="false" customHeight="false" outlineLevel="0" collapsed="false">
      <c r="A1094" s="49" t="s">
        <v>466</v>
      </c>
      <c r="B1094" s="20" t="n">
        <v>55060</v>
      </c>
      <c r="C1094" s="18"/>
      <c r="D1094" s="18"/>
      <c r="E1094" s="18"/>
      <c r="F1094" s="39"/>
    </row>
    <row r="1095" customFormat="false" ht="16.8" hidden="false" customHeight="false" outlineLevel="0" collapsed="false">
      <c r="A1095" s="49" t="s">
        <v>432</v>
      </c>
      <c r="B1095" s="20"/>
      <c r="C1095" s="18"/>
      <c r="D1095" s="18"/>
      <c r="E1095" s="18"/>
      <c r="F1095" s="39"/>
    </row>
    <row r="1096" customFormat="false" ht="16.8" hidden="false" customHeight="false" outlineLevel="0" collapsed="false">
      <c r="A1096" s="49" t="s">
        <v>403</v>
      </c>
      <c r="B1096" s="20" t="n">
        <v>13600</v>
      </c>
      <c r="C1096" s="18"/>
      <c r="D1096" s="18"/>
      <c r="E1096" s="18"/>
      <c r="F1096" s="39"/>
    </row>
    <row r="1097" customFormat="false" ht="16.8" hidden="false" customHeight="false" outlineLevel="0" collapsed="false">
      <c r="A1097" s="49" t="s">
        <v>401</v>
      </c>
      <c r="B1097" s="20"/>
      <c r="C1097" s="18"/>
      <c r="D1097" s="18"/>
      <c r="E1097" s="18"/>
      <c r="F1097" s="39"/>
    </row>
    <row r="1098" customFormat="false" ht="16.8" hidden="false" customHeight="false" outlineLevel="0" collapsed="false">
      <c r="A1098" s="49" t="s">
        <v>433</v>
      </c>
      <c r="B1098" s="20" t="n">
        <v>9750</v>
      </c>
      <c r="C1098" s="18"/>
      <c r="D1098" s="18"/>
      <c r="E1098" s="18"/>
      <c r="F1098" s="39"/>
    </row>
    <row r="1099" customFormat="false" ht="16.8" hidden="false" customHeight="false" outlineLevel="0" collapsed="false">
      <c r="A1099" s="49" t="s">
        <v>434</v>
      </c>
      <c r="B1099" s="20"/>
      <c r="C1099" s="18"/>
      <c r="D1099" s="18"/>
      <c r="E1099" s="18"/>
      <c r="F1099" s="39"/>
    </row>
    <row r="1100" customFormat="false" ht="16.8" hidden="false" customHeight="false" outlineLevel="0" collapsed="false">
      <c r="A1100" s="49" t="s">
        <v>399</v>
      </c>
      <c r="B1100" s="20"/>
      <c r="C1100" s="18"/>
      <c r="D1100" s="18"/>
      <c r="E1100" s="18"/>
      <c r="F1100" s="39"/>
    </row>
    <row r="1101" customFormat="false" ht="16.8" hidden="false" customHeight="false" outlineLevel="0" collapsed="false">
      <c r="A1101" s="49" t="s">
        <v>435</v>
      </c>
      <c r="B1101" s="20" t="n">
        <v>80830</v>
      </c>
      <c r="C1101" s="18"/>
      <c r="D1101" s="18"/>
      <c r="E1101" s="18"/>
      <c r="F1101" s="39"/>
    </row>
    <row r="1102" customFormat="false" ht="16.8" hidden="false" customHeight="false" outlineLevel="0" collapsed="false">
      <c r="A1102" s="49" t="s">
        <v>436</v>
      </c>
      <c r="B1102" s="20" t="n">
        <v>24130</v>
      </c>
      <c r="C1102" s="18"/>
      <c r="D1102" s="18"/>
      <c r="E1102" s="18"/>
      <c r="F1102" s="39"/>
    </row>
    <row r="1103" customFormat="false" ht="16.8" hidden="false" customHeight="false" outlineLevel="0" collapsed="false">
      <c r="A1103" s="49" t="s">
        <v>398</v>
      </c>
      <c r="B1103" s="20"/>
      <c r="C1103" s="1"/>
      <c r="D1103" s="1"/>
      <c r="E1103" s="1"/>
      <c r="F1103" s="26"/>
    </row>
    <row r="1104" customFormat="false" ht="16.8" hidden="false" customHeight="false" outlineLevel="0" collapsed="false">
      <c r="A1104" s="49" t="s">
        <v>384</v>
      </c>
      <c r="B1104" s="20" t="n">
        <v>1650</v>
      </c>
      <c r="C1104" s="1"/>
      <c r="D1104" s="1"/>
      <c r="E1104" s="1"/>
      <c r="F1104" s="26"/>
    </row>
    <row r="1105" customFormat="false" ht="16.8" hidden="false" customHeight="false" outlineLevel="0" collapsed="false">
      <c r="A1105" s="49" t="s">
        <v>390</v>
      </c>
      <c r="B1105" s="20" t="n">
        <v>21020</v>
      </c>
      <c r="C1105" s="1"/>
      <c r="D1105" s="1"/>
      <c r="E1105" s="1"/>
      <c r="F1105" s="26"/>
    </row>
    <row r="1106" customFormat="false" ht="16.8" hidden="false" customHeight="false" outlineLevel="0" collapsed="false">
      <c r="A1106" s="25" t="s">
        <v>11</v>
      </c>
      <c r="B1106" s="35" t="n">
        <f aca="false">SUM(B1093:B1105)</f>
        <v>251160</v>
      </c>
      <c r="C1106" s="1"/>
      <c r="D1106" s="45"/>
      <c r="E1106" s="45"/>
      <c r="F1106" s="26"/>
    </row>
    <row r="1107" customFormat="false" ht="13.2" hidden="false" customHeight="false" outlineLevel="0" collapsed="false">
      <c r="A1107" s="1"/>
      <c r="B1107" s="1"/>
      <c r="C1107" s="1"/>
      <c r="D1107" s="1"/>
      <c r="E1107" s="1"/>
      <c r="F1107" s="39"/>
    </row>
    <row r="1108" customFormat="false" ht="16.8" hidden="false" customHeight="false" outlineLevel="0" collapsed="false">
      <c r="A1108" s="39"/>
      <c r="B1108" s="39"/>
      <c r="C1108" s="141"/>
      <c r="D1108" s="140" t="s">
        <v>396</v>
      </c>
      <c r="E1108" s="140"/>
      <c r="F1108" s="140"/>
    </row>
    <row r="1112" customFormat="false" ht="18.6" hidden="false" customHeight="true" outlineLevel="0" collapsed="false">
      <c r="A1112" s="118" t="s">
        <v>512</v>
      </c>
      <c r="B1112" s="118"/>
      <c r="C1112" s="118"/>
      <c r="D1112" s="118"/>
      <c r="E1112" s="118"/>
      <c r="F1112" s="118"/>
    </row>
    <row r="1113" customFormat="false" ht="13.8" hidden="false" customHeight="true" outlineLevel="0" collapsed="false">
      <c r="A1113" s="119" t="s">
        <v>2</v>
      </c>
      <c r="B1113" s="119"/>
      <c r="C1113" s="119"/>
      <c r="D1113" s="119"/>
      <c r="E1113" s="119"/>
      <c r="F1113" s="119"/>
    </row>
    <row r="1114" customFormat="false" ht="16.8" hidden="false" customHeight="false" outlineLevel="0" collapsed="false">
      <c r="A1114" s="13" t="s">
        <v>3</v>
      </c>
      <c r="B1114" s="14"/>
      <c r="C1114" s="14"/>
      <c r="D1114" s="46"/>
      <c r="E1114" s="66" t="s">
        <v>4</v>
      </c>
      <c r="F1114" s="66"/>
    </row>
    <row r="1115" customFormat="false" ht="33.6" hidden="false" customHeight="false" outlineLevel="0" collapsed="false">
      <c r="A1115" s="17" t="s">
        <v>5</v>
      </c>
      <c r="B1115" s="17" t="s">
        <v>5</v>
      </c>
      <c r="C1115" s="17" t="s">
        <v>513</v>
      </c>
      <c r="D1115" s="17" t="s">
        <v>7</v>
      </c>
      <c r="E1115" s="17" t="s">
        <v>8</v>
      </c>
      <c r="F1115" s="150"/>
    </row>
    <row r="1116" customFormat="false" ht="16.8" hidden="false" customHeight="false" outlineLevel="0" collapsed="false">
      <c r="A1116" s="19" t="s">
        <v>9</v>
      </c>
      <c r="B1116" s="20" t="n">
        <f aca="false">E1068</f>
        <v>375</v>
      </c>
      <c r="C1116" s="0" t="n">
        <v>535</v>
      </c>
      <c r="D1116" s="20" t="n">
        <v>910</v>
      </c>
      <c r="E1116" s="47" t="n">
        <f aca="false">B1116+C1116-D1116</f>
        <v>0</v>
      </c>
    </row>
    <row r="1117" customFormat="false" ht="33.6" hidden="false" customHeight="false" outlineLevel="0" collapsed="false">
      <c r="A1117" s="97" t="s">
        <v>159</v>
      </c>
      <c r="B1117" s="20" t="n">
        <f aca="false">E1069</f>
        <v>144230</v>
      </c>
      <c r="C1117" s="20" t="n">
        <f aca="false">28465+33680</f>
        <v>62145</v>
      </c>
      <c r="D1117" s="20" t="n">
        <f aca="false">206375-5080</f>
        <v>201295</v>
      </c>
      <c r="E1117" s="47" t="n">
        <f aca="false">B1117+C1117-D1117</f>
        <v>5080</v>
      </c>
    </row>
    <row r="1118" customFormat="false" ht="50.4" hidden="false" customHeight="false" outlineLevel="0" collapsed="false">
      <c r="A1118" s="97" t="s">
        <v>414</v>
      </c>
      <c r="B1118" s="20" t="n">
        <f aca="false">E1070</f>
        <v>0</v>
      </c>
      <c r="C1118" s="20"/>
      <c r="D1118" s="20"/>
      <c r="E1118" s="47" t="n">
        <f aca="false">B1118+C1118-D1118</f>
        <v>0</v>
      </c>
    </row>
    <row r="1119" customFormat="false" ht="33.6" hidden="false" customHeight="false" outlineLevel="0" collapsed="false">
      <c r="A1119" s="97" t="s">
        <v>202</v>
      </c>
      <c r="B1119" s="20" t="n">
        <f aca="false">E1071</f>
        <v>6005</v>
      </c>
      <c r="C1119" s="20" t="n">
        <v>400</v>
      </c>
      <c r="D1119" s="20" t="n">
        <v>6405</v>
      </c>
      <c r="E1119" s="47" t="n">
        <f aca="false">B1119+C1119-D1119</f>
        <v>0</v>
      </c>
    </row>
    <row r="1120" customFormat="false" ht="16.8" hidden="false" customHeight="false" outlineLevel="0" collapsed="false">
      <c r="A1120" s="19" t="s">
        <v>10</v>
      </c>
      <c r="B1120" s="20" t="n">
        <f aca="false">E1072</f>
        <v>274484</v>
      </c>
      <c r="C1120" s="20" t="n">
        <f aca="false">81622-C1116</f>
        <v>81087</v>
      </c>
      <c r="D1120" s="20" t="n">
        <f aca="false">355571-11000</f>
        <v>344571</v>
      </c>
      <c r="E1120" s="47" t="n">
        <f aca="false">B1120+C1120-D1120</f>
        <v>11000</v>
      </c>
    </row>
    <row r="1121" customFormat="false" ht="16.8" hidden="false" customHeight="false" outlineLevel="0" collapsed="false">
      <c r="A1121" s="21" t="s">
        <v>11</v>
      </c>
      <c r="B1121" s="22" t="n">
        <f aca="false">SUM(B1116:B1120)</f>
        <v>425094</v>
      </c>
      <c r="C1121" s="22" t="n">
        <f aca="false">SUM(C1117:C1120)</f>
        <v>143632</v>
      </c>
      <c r="D1121" s="22" t="n">
        <f aca="false">SUM(D1116:D1120)</f>
        <v>553181</v>
      </c>
      <c r="E1121" s="22" t="n">
        <f aca="false">SUM(E1116:E1120)</f>
        <v>16080</v>
      </c>
    </row>
    <row r="1122" customFormat="false" ht="16.8" hidden="false" customHeight="false" outlineLevel="0" collapsed="false">
      <c r="A1122" s="13" t="s">
        <v>12</v>
      </c>
      <c r="B1122" s="13"/>
      <c r="C1122" s="13"/>
      <c r="D1122" s="13"/>
      <c r="E1122" s="13"/>
      <c r="F1122" s="13"/>
    </row>
    <row r="1123" customFormat="false" ht="50.4" hidden="false" customHeight="false" outlineLevel="0" collapsed="false">
      <c r="A1123" s="25" t="s">
        <v>13</v>
      </c>
      <c r="B1123" s="17" t="s">
        <v>514</v>
      </c>
      <c r="C1123" s="17" t="s">
        <v>515</v>
      </c>
      <c r="D1123" s="120" t="s">
        <v>418</v>
      </c>
      <c r="E1123" s="143" t="s">
        <v>419</v>
      </c>
      <c r="F1123" s="120" t="s">
        <v>16</v>
      </c>
    </row>
    <row r="1124" customFormat="false" ht="33.6" hidden="false" customHeight="false" outlineLevel="0" collapsed="false">
      <c r="A1124" s="49" t="s">
        <v>49</v>
      </c>
      <c r="B1124" s="20" t="n">
        <v>17900</v>
      </c>
      <c r="C1124" s="20" t="n">
        <f aca="false">4650+4250</f>
        <v>8900</v>
      </c>
      <c r="D1124" s="34" t="n">
        <f aca="false">+C1124+C1125+B1124+B1125</f>
        <v>63660</v>
      </c>
      <c r="E1124" s="34" t="n">
        <f aca="false">D1116+D1117</f>
        <v>202205</v>
      </c>
      <c r="F1124" s="122" t="n">
        <f aca="false">E1124/D1124</f>
        <v>3.1763273641219</v>
      </c>
    </row>
    <row r="1125" customFormat="false" ht="16.8" hidden="false" customHeight="false" outlineLevel="0" collapsed="false">
      <c r="A1125" s="49" t="s">
        <v>466</v>
      </c>
      <c r="B1125" s="20" t="n">
        <f aca="false">B1077+C1077</f>
        <v>25450</v>
      </c>
      <c r="C1125" s="20" t="n">
        <f aca="false">5800+5610</f>
        <v>11410</v>
      </c>
      <c r="D1125" s="34"/>
      <c r="E1125" s="34"/>
      <c r="F1125" s="122"/>
    </row>
    <row r="1126" customFormat="false" ht="16.8" hidden="false" customHeight="false" outlineLevel="0" collapsed="false">
      <c r="A1126" s="49" t="s">
        <v>432</v>
      </c>
      <c r="B1126" s="20" t="n">
        <f aca="false">B1078+C1078</f>
        <v>0</v>
      </c>
      <c r="C1126" s="20"/>
      <c r="D1126" s="34" t="n">
        <f aca="false">SUM(B1126:C1136)</f>
        <v>98190</v>
      </c>
      <c r="E1126" s="146" t="n">
        <f aca="false">D1119+D1120</f>
        <v>350976</v>
      </c>
      <c r="F1126" s="147" t="n">
        <f aca="false">E1126/D1126</f>
        <v>3.57445768408188</v>
      </c>
    </row>
    <row r="1127" customFormat="false" ht="16.8" hidden="false" customHeight="false" outlineLevel="0" collapsed="false">
      <c r="A1127" s="49" t="s">
        <v>403</v>
      </c>
      <c r="B1127" s="20" t="n">
        <f aca="false">B1079+C1079</f>
        <v>0</v>
      </c>
      <c r="C1127" s="20"/>
      <c r="D1127" s="34"/>
      <c r="E1127" s="34"/>
      <c r="F1127" s="147"/>
    </row>
    <row r="1128" customFormat="false" ht="16.8" hidden="false" customHeight="false" outlineLevel="0" collapsed="false">
      <c r="A1128" s="49" t="s">
        <v>401</v>
      </c>
      <c r="B1128" s="20" t="n">
        <f aca="false">B1080+C1080</f>
        <v>3000</v>
      </c>
      <c r="C1128" s="20"/>
      <c r="D1128" s="34"/>
      <c r="E1128" s="34"/>
      <c r="F1128" s="147"/>
    </row>
    <row r="1129" customFormat="false" ht="16.8" hidden="false" customHeight="false" outlineLevel="0" collapsed="false">
      <c r="A1129" s="49" t="s">
        <v>433</v>
      </c>
      <c r="B1129" s="20" t="n">
        <v>13950</v>
      </c>
      <c r="C1129" s="20" t="n">
        <v>1950</v>
      </c>
      <c r="D1129" s="34"/>
      <c r="E1129" s="34"/>
      <c r="F1129" s="147"/>
    </row>
    <row r="1130" customFormat="false" ht="16.8" hidden="false" customHeight="false" outlineLevel="0" collapsed="false">
      <c r="A1130" s="49" t="s">
        <v>434</v>
      </c>
      <c r="B1130" s="20" t="n">
        <v>5000</v>
      </c>
      <c r="C1130" s="20"/>
      <c r="D1130" s="34"/>
      <c r="E1130" s="34"/>
      <c r="F1130" s="147"/>
    </row>
    <row r="1131" customFormat="false" ht="16.8" hidden="false" customHeight="false" outlineLevel="0" collapsed="false">
      <c r="A1131" s="49" t="s">
        <v>399</v>
      </c>
      <c r="B1131" s="20" t="n">
        <v>7200</v>
      </c>
      <c r="C1131" s="20" t="n">
        <v>18850</v>
      </c>
      <c r="D1131" s="34"/>
      <c r="E1131" s="34"/>
      <c r="F1131" s="147"/>
    </row>
    <row r="1132" customFormat="false" ht="16.8" hidden="false" customHeight="false" outlineLevel="0" collapsed="false">
      <c r="A1132" s="49" t="s">
        <v>435</v>
      </c>
      <c r="B1132" s="20" t="n">
        <f aca="false">B1084+C1084</f>
        <v>5400</v>
      </c>
      <c r="C1132" s="20" t="n">
        <v>3200</v>
      </c>
      <c r="D1132" s="34"/>
      <c r="E1132" s="34"/>
      <c r="F1132" s="147"/>
    </row>
    <row r="1133" customFormat="false" ht="16.8" hidden="false" customHeight="false" outlineLevel="0" collapsed="false">
      <c r="A1133" s="49" t="s">
        <v>436</v>
      </c>
      <c r="B1133" s="20" t="n">
        <v>29100</v>
      </c>
      <c r="C1133" s="20" t="n">
        <v>2240</v>
      </c>
      <c r="D1133" s="34"/>
      <c r="E1133" s="34"/>
      <c r="F1133" s="147"/>
    </row>
    <row r="1134" customFormat="false" ht="16.8" hidden="false" customHeight="false" outlineLevel="0" collapsed="false">
      <c r="A1134" s="49" t="s">
        <v>398</v>
      </c>
      <c r="B1134" s="20" t="n">
        <f aca="false">B1086+C1086</f>
        <v>0</v>
      </c>
      <c r="C1134" s="20"/>
      <c r="D1134" s="34"/>
      <c r="E1134" s="34"/>
      <c r="F1134" s="147"/>
    </row>
    <row r="1135" customFormat="false" ht="16.8" hidden="false" customHeight="false" outlineLevel="0" collapsed="false">
      <c r="A1135" s="49" t="s">
        <v>384</v>
      </c>
      <c r="B1135" s="20" t="n">
        <f aca="false">B1087+C1087</f>
        <v>0</v>
      </c>
      <c r="C1135" s="20"/>
      <c r="D1135" s="34"/>
      <c r="E1135" s="34"/>
      <c r="F1135" s="147"/>
    </row>
    <row r="1136" customFormat="false" ht="16.8" hidden="false" customHeight="false" outlineLevel="0" collapsed="false">
      <c r="A1136" s="49" t="s">
        <v>390</v>
      </c>
      <c r="B1136" s="20" t="n">
        <f aca="false">B1088+C1088</f>
        <v>7100</v>
      </c>
      <c r="C1136" s="20" t="n">
        <v>1200</v>
      </c>
      <c r="D1136" s="34"/>
      <c r="E1136" s="34"/>
      <c r="F1136" s="147"/>
    </row>
    <row r="1137" customFormat="false" ht="16.8" hidden="false" customHeight="false" outlineLevel="0" collapsed="false">
      <c r="A1137" s="30" t="s">
        <v>11</v>
      </c>
      <c r="B1137" s="94" t="n">
        <f aca="false">SUM(B1124:B1136)</f>
        <v>114100</v>
      </c>
      <c r="C1137" s="94" t="n">
        <f aca="false">SUM(C1124:C1136)</f>
        <v>47750</v>
      </c>
      <c r="D1137" s="94" t="n">
        <f aca="false">SUM(D1124:D1136)</f>
        <v>161850</v>
      </c>
      <c r="E1137" s="94" t="n">
        <f aca="false">E1124+E1126</f>
        <v>553181</v>
      </c>
      <c r="F1137" s="89" t="n">
        <f aca="false">E1137/D1137</f>
        <v>3.41786221810318</v>
      </c>
    </row>
    <row r="1138" customFormat="false" ht="16.8" hidden="false" customHeight="false" outlineLevel="0" collapsed="false">
      <c r="A1138" s="55" t="s">
        <v>476</v>
      </c>
      <c r="B1138" s="56"/>
      <c r="C1138" s="56"/>
      <c r="D1138" s="56"/>
      <c r="E1138" s="100"/>
      <c r="F1138" s="100"/>
    </row>
    <row r="1139" customFormat="false" ht="16.8" hidden="false" customHeight="false" outlineLevel="0" collapsed="false">
      <c r="A1139" s="13" t="s">
        <v>20</v>
      </c>
      <c r="B1139" s="1"/>
      <c r="C1139" s="1"/>
      <c r="D1139" s="1"/>
      <c r="E1139" s="1"/>
      <c r="F1139" s="1"/>
    </row>
    <row r="1140" customFormat="false" ht="16.8" hidden="false" customHeight="false" outlineLevel="0" collapsed="false">
      <c r="A1140" s="17" t="s">
        <v>13</v>
      </c>
      <c r="B1140" s="17" t="s">
        <v>21</v>
      </c>
      <c r="C1140" s="18"/>
      <c r="D1140" s="18"/>
      <c r="E1140" s="18"/>
      <c r="F1140" s="39"/>
    </row>
    <row r="1141" customFormat="false" ht="18.75" hidden="false" customHeight="true" outlineLevel="0" collapsed="false">
      <c r="A1141" s="49" t="s">
        <v>420</v>
      </c>
      <c r="B1141" s="20" t="n">
        <v>53070</v>
      </c>
      <c r="C1141" s="18"/>
      <c r="D1141" s="18"/>
      <c r="E1141" s="18"/>
      <c r="F1141" s="39"/>
    </row>
    <row r="1142" customFormat="false" ht="16.8" hidden="false" customHeight="false" outlineLevel="0" collapsed="false">
      <c r="A1142" s="49" t="s">
        <v>466</v>
      </c>
      <c r="B1142" s="20" t="n">
        <v>62920</v>
      </c>
      <c r="C1142" s="18"/>
      <c r="D1142" s="18"/>
      <c r="E1142" s="18"/>
      <c r="F1142" s="39"/>
    </row>
    <row r="1143" customFormat="false" ht="16.8" hidden="false" customHeight="false" outlineLevel="0" collapsed="false">
      <c r="A1143" s="49" t="s">
        <v>432</v>
      </c>
      <c r="B1143" s="20"/>
      <c r="C1143" s="18"/>
      <c r="D1143" s="18"/>
      <c r="E1143" s="18"/>
      <c r="F1143" s="39"/>
    </row>
    <row r="1144" customFormat="false" ht="16.8" hidden="false" customHeight="false" outlineLevel="0" collapsed="false">
      <c r="A1144" s="49" t="s">
        <v>403</v>
      </c>
      <c r="B1144" s="20"/>
      <c r="C1144" s="18"/>
      <c r="D1144" s="18"/>
      <c r="E1144" s="18"/>
      <c r="F1144" s="39"/>
    </row>
    <row r="1145" customFormat="false" ht="16.8" hidden="false" customHeight="false" outlineLevel="0" collapsed="false">
      <c r="A1145" s="49" t="s">
        <v>401</v>
      </c>
      <c r="B1145" s="20"/>
      <c r="C1145" s="18"/>
      <c r="D1145" s="18"/>
      <c r="E1145" s="18"/>
      <c r="F1145" s="39"/>
    </row>
    <row r="1146" customFormat="false" ht="16.8" hidden="false" customHeight="false" outlineLevel="0" collapsed="false">
      <c r="A1146" s="49" t="s">
        <v>433</v>
      </c>
      <c r="B1146" s="20" t="n">
        <v>1950</v>
      </c>
      <c r="C1146" s="18"/>
      <c r="D1146" s="18"/>
      <c r="E1146" s="18"/>
      <c r="F1146" s="39"/>
    </row>
    <row r="1147" customFormat="false" ht="16.8" hidden="false" customHeight="false" outlineLevel="0" collapsed="false">
      <c r="A1147" s="49" t="s">
        <v>434</v>
      </c>
      <c r="B1147" s="20" t="n">
        <v>5000</v>
      </c>
      <c r="C1147" s="18"/>
      <c r="D1147" s="18"/>
      <c r="E1147" s="18"/>
      <c r="F1147" s="39"/>
    </row>
    <row r="1148" customFormat="false" ht="16.8" hidden="false" customHeight="false" outlineLevel="0" collapsed="false">
      <c r="A1148" s="49" t="s">
        <v>399</v>
      </c>
      <c r="B1148" s="20"/>
      <c r="C1148" s="18"/>
      <c r="D1148" s="18"/>
      <c r="E1148" s="18"/>
      <c r="F1148" s="39"/>
    </row>
    <row r="1149" customFormat="false" ht="16.8" hidden="false" customHeight="false" outlineLevel="0" collapsed="false">
      <c r="A1149" s="49" t="s">
        <v>435</v>
      </c>
      <c r="B1149" s="20" t="n">
        <v>45180</v>
      </c>
      <c r="C1149" s="18"/>
      <c r="D1149" s="18"/>
      <c r="E1149" s="18"/>
      <c r="F1149" s="39"/>
    </row>
    <row r="1150" customFormat="false" ht="16.8" hidden="false" customHeight="false" outlineLevel="0" collapsed="false">
      <c r="A1150" s="49" t="s">
        <v>436</v>
      </c>
      <c r="B1150" s="20" t="n">
        <v>3057</v>
      </c>
      <c r="C1150" s="18"/>
      <c r="D1150" s="18"/>
      <c r="E1150" s="18"/>
      <c r="F1150" s="39"/>
    </row>
    <row r="1151" customFormat="false" ht="16.8" hidden="false" customHeight="false" outlineLevel="0" collapsed="false">
      <c r="A1151" s="49" t="s">
        <v>398</v>
      </c>
      <c r="B1151" s="20"/>
      <c r="C1151" s="1"/>
      <c r="D1151" s="1"/>
      <c r="E1151" s="1"/>
      <c r="F1151" s="26"/>
    </row>
    <row r="1152" customFormat="false" ht="16.8" hidden="false" customHeight="false" outlineLevel="0" collapsed="false">
      <c r="A1152" s="49" t="s">
        <v>384</v>
      </c>
      <c r="B1152" s="20"/>
      <c r="C1152" s="1"/>
      <c r="D1152" s="1"/>
      <c r="E1152" s="1"/>
      <c r="F1152" s="26"/>
    </row>
    <row r="1153" customFormat="false" ht="16.8" hidden="false" customHeight="false" outlineLevel="0" collapsed="false">
      <c r="A1153" s="49" t="s">
        <v>390</v>
      </c>
      <c r="B1153" s="20" t="n">
        <v>6870</v>
      </c>
      <c r="C1153" s="1"/>
      <c r="D1153" s="1"/>
      <c r="E1153" s="1"/>
      <c r="F1153" s="26"/>
    </row>
    <row r="1154" customFormat="false" ht="16.8" hidden="false" customHeight="false" outlineLevel="0" collapsed="false">
      <c r="A1154" s="25" t="s">
        <v>11</v>
      </c>
      <c r="B1154" s="35" t="n">
        <f aca="false">SUM(B1141:B1153)</f>
        <v>178047</v>
      </c>
      <c r="C1154" s="1"/>
      <c r="D1154" s="45"/>
      <c r="E1154" s="45"/>
      <c r="F1154" s="26"/>
    </row>
    <row r="1155" customFormat="false" ht="13.2" hidden="false" customHeight="false" outlineLevel="0" collapsed="false">
      <c r="A1155" s="1"/>
      <c r="B1155" s="1"/>
      <c r="C1155" s="1"/>
      <c r="D1155" s="1"/>
      <c r="E1155" s="1"/>
      <c r="F1155" s="39"/>
    </row>
    <row r="1156" customFormat="false" ht="16.8" hidden="false" customHeight="false" outlineLevel="0" collapsed="false">
      <c r="A1156" s="39"/>
      <c r="B1156" s="39"/>
      <c r="C1156" s="141"/>
      <c r="D1156" s="140" t="s">
        <v>396</v>
      </c>
      <c r="E1156" s="140"/>
      <c r="F1156" s="140"/>
    </row>
    <row r="1160" customFormat="false" ht="18.6" hidden="false" customHeight="true" outlineLevel="0" collapsed="false">
      <c r="A1160" s="118" t="s">
        <v>516</v>
      </c>
      <c r="B1160" s="118"/>
      <c r="C1160" s="118"/>
      <c r="D1160" s="118"/>
      <c r="E1160" s="118"/>
      <c r="F1160" s="118"/>
    </row>
    <row r="1161" customFormat="false" ht="13.8" hidden="false" customHeight="true" outlineLevel="0" collapsed="false">
      <c r="A1161" s="119" t="s">
        <v>2</v>
      </c>
      <c r="B1161" s="119"/>
      <c r="C1161" s="119"/>
      <c r="D1161" s="119"/>
      <c r="E1161" s="119"/>
      <c r="F1161" s="119"/>
    </row>
    <row r="1162" customFormat="false" ht="27" hidden="false" customHeight="true" outlineLevel="0" collapsed="false">
      <c r="A1162" s="13" t="s">
        <v>3</v>
      </c>
      <c r="B1162" s="14"/>
      <c r="C1162" s="14"/>
      <c r="D1162" s="46"/>
      <c r="E1162" s="66" t="s">
        <v>4</v>
      </c>
      <c r="F1162" s="66"/>
    </row>
    <row r="1163" customFormat="false" ht="33.6" hidden="false" customHeight="false" outlineLevel="0" collapsed="false">
      <c r="A1163" s="17" t="s">
        <v>5</v>
      </c>
      <c r="B1163" s="17" t="s">
        <v>5</v>
      </c>
      <c r="C1163" s="17" t="s">
        <v>517</v>
      </c>
      <c r="D1163" s="17" t="s">
        <v>7</v>
      </c>
      <c r="E1163" s="17" t="s">
        <v>8</v>
      </c>
      <c r="F1163" s="150"/>
    </row>
    <row r="1164" customFormat="false" ht="16.8" hidden="false" customHeight="false" outlineLevel="0" collapsed="false">
      <c r="A1164" s="19" t="s">
        <v>9</v>
      </c>
      <c r="B1164" s="20" t="n">
        <v>1155</v>
      </c>
      <c r="C1164" s="0" t="n">
        <v>2538</v>
      </c>
      <c r="D1164" s="20" t="n">
        <v>2538</v>
      </c>
      <c r="E1164" s="47" t="n">
        <f aca="false">B1164+C1164-D1164</f>
        <v>1155</v>
      </c>
      <c r="F1164" s="99" t="n">
        <f aca="false">E1116</f>
        <v>0</v>
      </c>
    </row>
    <row r="1165" customFormat="false" ht="33.6" hidden="false" customHeight="false" outlineLevel="0" collapsed="false">
      <c r="A1165" s="97" t="s">
        <v>159</v>
      </c>
      <c r="B1165" s="20" t="e">
        <f aca="false">t3.19!#REF!</f>
        <v>#VALUE!</v>
      </c>
      <c r="C1165" s="20" t="n">
        <v>1061245</v>
      </c>
      <c r="D1165" s="20" t="n">
        <f aca="false">1065710-5080</f>
        <v>1060630</v>
      </c>
      <c r="E1165" s="47" t="e">
        <f aca="false">B1165+C1165-D1165</f>
        <v>#VALUE!</v>
      </c>
      <c r="F1165" s="99" t="n">
        <f aca="false">E1117</f>
        <v>5080</v>
      </c>
    </row>
    <row r="1166" customFormat="false" ht="50.4" hidden="false" customHeight="false" outlineLevel="0" collapsed="false">
      <c r="A1166" s="97" t="s">
        <v>414</v>
      </c>
      <c r="B1166" s="20" t="e">
        <f aca="false">t3.19!#REF!</f>
        <v>#VALUE!</v>
      </c>
      <c r="C1166" s="20"/>
      <c r="D1166" s="20"/>
      <c r="E1166" s="47" t="e">
        <f aca="false">B1166+C1166-D1166</f>
        <v>#VALUE!</v>
      </c>
      <c r="F1166" s="99" t="n">
        <f aca="false">E1118</f>
        <v>0</v>
      </c>
    </row>
    <row r="1167" customFormat="false" ht="33.6" hidden="false" customHeight="false" outlineLevel="0" collapsed="false">
      <c r="A1167" s="97" t="s">
        <v>202</v>
      </c>
      <c r="B1167" s="20" t="e">
        <f aca="false">t3.19!#REF!</f>
        <v>#VALUE!</v>
      </c>
      <c r="C1167" s="20" t="n">
        <v>50640</v>
      </c>
      <c r="D1167" s="20" t="n">
        <v>50640</v>
      </c>
      <c r="E1167" s="47" t="e">
        <f aca="false">B1167+C1167-D1167</f>
        <v>#VALUE!</v>
      </c>
      <c r="F1167" s="99" t="n">
        <f aca="false">E1119</f>
        <v>0</v>
      </c>
    </row>
    <row r="1168" customFormat="false" ht="16.8" hidden="false" customHeight="false" outlineLevel="0" collapsed="false">
      <c r="A1168" s="19" t="s">
        <v>10</v>
      </c>
      <c r="B1168" s="20" t="e">
        <f aca="false">t3.19!#REF!</f>
        <v>#VALUE!</v>
      </c>
      <c r="C1168" s="20" t="n">
        <f aca="false">1945771-C1164</f>
        <v>1943233</v>
      </c>
      <c r="D1168" s="20" t="n">
        <f aca="false">1947333-11000</f>
        <v>1936333</v>
      </c>
      <c r="E1168" s="47" t="e">
        <f aca="false">B1168+C1168-D1168</f>
        <v>#VALUE!</v>
      </c>
      <c r="F1168" s="99" t="n">
        <f aca="false">E1120</f>
        <v>11000</v>
      </c>
    </row>
    <row r="1169" customFormat="false" ht="16.8" hidden="false" customHeight="false" outlineLevel="0" collapsed="false">
      <c r="A1169" s="21" t="s">
        <v>11</v>
      </c>
      <c r="B1169" s="22" t="e">
        <f aca="false">SUM(B1164:B1168)</f>
        <v>#VALUE!</v>
      </c>
      <c r="C1169" s="22" t="n">
        <f aca="false">SUM(C1165:C1168)</f>
        <v>3055118</v>
      </c>
      <c r="D1169" s="22" t="n">
        <f aca="false">SUM(D1164:D1168)</f>
        <v>3050141</v>
      </c>
      <c r="E1169" s="22" t="e">
        <f aca="false">SUM(E1164:E1168)</f>
        <v>#VALUE!</v>
      </c>
    </row>
    <row r="1170" customFormat="false" ht="16.8" hidden="false" customHeight="false" outlineLevel="0" collapsed="false">
      <c r="A1170" s="13" t="s">
        <v>12</v>
      </c>
      <c r="B1170" s="13"/>
      <c r="C1170" s="13"/>
      <c r="D1170" s="13"/>
      <c r="E1170" s="13"/>
      <c r="F1170" s="13"/>
    </row>
    <row r="1171" customFormat="false" ht="33.6" hidden="false" customHeight="false" outlineLevel="0" collapsed="false">
      <c r="A1171" s="25" t="s">
        <v>13</v>
      </c>
      <c r="B1171" s="17" t="s">
        <v>518</v>
      </c>
      <c r="C1171" s="120" t="s">
        <v>418</v>
      </c>
      <c r="D1171" s="143" t="s">
        <v>419</v>
      </c>
      <c r="E1171" s="120" t="s">
        <v>16</v>
      </c>
    </row>
    <row r="1172" customFormat="false" ht="17.25" hidden="false" customHeight="true" outlineLevel="0" collapsed="false">
      <c r="A1172" s="49" t="s">
        <v>49</v>
      </c>
      <c r="B1172" s="20" t="n">
        <v>207430</v>
      </c>
      <c r="C1172" s="34" t="n">
        <f aca="false">B1172+B1173</f>
        <v>348950</v>
      </c>
      <c r="D1172" s="34" t="n">
        <f aca="false">D1164+D1165</f>
        <v>1063168</v>
      </c>
      <c r="E1172" s="122" t="n">
        <f aca="false">D1172/C1172</f>
        <v>3.0467631465826</v>
      </c>
    </row>
    <row r="1173" customFormat="false" ht="16.8" hidden="false" customHeight="false" outlineLevel="0" collapsed="false">
      <c r="A1173" s="49" t="s">
        <v>466</v>
      </c>
      <c r="B1173" s="20" t="n">
        <v>141520</v>
      </c>
      <c r="C1173" s="34"/>
      <c r="D1173" s="34"/>
      <c r="E1173" s="122"/>
    </row>
    <row r="1174" customFormat="false" ht="16.8" hidden="false" customHeight="false" outlineLevel="0" collapsed="false">
      <c r="A1174" s="49" t="s">
        <v>403</v>
      </c>
      <c r="B1174" s="20" t="n">
        <v>29050</v>
      </c>
      <c r="C1174" s="146" t="n">
        <f aca="false">SUM(B1174:B1183)</f>
        <v>572153</v>
      </c>
      <c r="D1174" s="146" t="n">
        <f aca="false">D1168+D1167</f>
        <v>1986973</v>
      </c>
      <c r="E1174" s="147" t="n">
        <f aca="false">D1174/C1174</f>
        <v>3.47280010766351</v>
      </c>
    </row>
    <row r="1175" customFormat="false" ht="16.8" hidden="false" customHeight="false" outlineLevel="0" collapsed="false">
      <c r="A1175" s="49" t="s">
        <v>401</v>
      </c>
      <c r="B1175" s="20" t="n">
        <v>51590</v>
      </c>
      <c r="C1175" s="146"/>
      <c r="D1175" s="146"/>
      <c r="E1175" s="147"/>
    </row>
    <row r="1176" customFormat="false" ht="16.8" hidden="false" customHeight="false" outlineLevel="0" collapsed="false">
      <c r="A1176" s="49" t="s">
        <v>433</v>
      </c>
      <c r="B1176" s="20" t="n">
        <v>89590</v>
      </c>
      <c r="C1176" s="146"/>
      <c r="D1176" s="146"/>
      <c r="E1176" s="147"/>
    </row>
    <row r="1177" customFormat="false" ht="16.8" hidden="false" customHeight="false" outlineLevel="0" collapsed="false">
      <c r="A1177" s="49" t="s">
        <v>434</v>
      </c>
      <c r="B1177" s="20" t="n">
        <v>57170</v>
      </c>
      <c r="C1177" s="146"/>
      <c r="D1177" s="146"/>
      <c r="E1177" s="147"/>
    </row>
    <row r="1178" customFormat="false" ht="16.8" hidden="false" customHeight="false" outlineLevel="0" collapsed="false">
      <c r="A1178" s="49" t="s">
        <v>399</v>
      </c>
      <c r="B1178" s="20" t="n">
        <v>39350</v>
      </c>
      <c r="C1178" s="146"/>
      <c r="D1178" s="146"/>
      <c r="E1178" s="147"/>
    </row>
    <row r="1179" customFormat="false" ht="16.8" hidden="false" customHeight="false" outlineLevel="0" collapsed="false">
      <c r="A1179" s="49" t="s">
        <v>435</v>
      </c>
      <c r="B1179" s="20" t="n">
        <v>95650</v>
      </c>
      <c r="C1179" s="146"/>
      <c r="D1179" s="146"/>
      <c r="E1179" s="147"/>
    </row>
    <row r="1180" customFormat="false" ht="16.8" hidden="false" customHeight="false" outlineLevel="0" collapsed="false">
      <c r="A1180" s="49" t="s">
        <v>436</v>
      </c>
      <c r="B1180" s="20" t="n">
        <v>146653</v>
      </c>
      <c r="C1180" s="146"/>
      <c r="D1180" s="146"/>
      <c r="E1180" s="147"/>
    </row>
    <row r="1181" customFormat="false" ht="16.8" hidden="false" customHeight="false" outlineLevel="0" collapsed="false">
      <c r="A1181" s="49" t="s">
        <v>398</v>
      </c>
      <c r="B1181" s="20" t="n">
        <v>16900</v>
      </c>
      <c r="C1181" s="146"/>
      <c r="D1181" s="146"/>
      <c r="E1181" s="147"/>
    </row>
    <row r="1182" customFormat="false" ht="16.8" hidden="false" customHeight="false" outlineLevel="0" collapsed="false">
      <c r="A1182" s="49" t="s">
        <v>384</v>
      </c>
      <c r="B1182" s="20" t="n">
        <v>3250</v>
      </c>
      <c r="C1182" s="146"/>
      <c r="D1182" s="146"/>
      <c r="E1182" s="147"/>
    </row>
    <row r="1183" customFormat="false" ht="16.8" hidden="false" customHeight="false" outlineLevel="0" collapsed="false">
      <c r="A1183" s="49" t="s">
        <v>390</v>
      </c>
      <c r="B1183" s="20" t="n">
        <v>42950</v>
      </c>
      <c r="C1183" s="146"/>
      <c r="D1183" s="146"/>
      <c r="E1183" s="147"/>
    </row>
    <row r="1184" customFormat="false" ht="16.8" hidden="false" customHeight="false" outlineLevel="0" collapsed="false">
      <c r="A1184" s="30" t="s">
        <v>11</v>
      </c>
      <c r="B1184" s="94" t="n">
        <f aca="false">SUM(B1172:B1183)</f>
        <v>921103</v>
      </c>
      <c r="C1184" s="94" t="n">
        <f aca="false">SUM(C1172:C1183)</f>
        <v>921103</v>
      </c>
      <c r="D1184" s="94" t="n">
        <f aca="false">D1172+D1174</f>
        <v>3050141</v>
      </c>
      <c r="E1184" s="89" t="n">
        <f aca="false">D1184/C1184</f>
        <v>3.31140057083735</v>
      </c>
    </row>
    <row r="1185" customFormat="false" ht="16.8" hidden="false" customHeight="false" outlineLevel="0" collapsed="false">
      <c r="A1185" s="55" t="s">
        <v>476</v>
      </c>
      <c r="B1185" s="56"/>
      <c r="C1185" s="56"/>
      <c r="D1185" s="56"/>
      <c r="E1185" s="100"/>
      <c r="F1185" s="100"/>
    </row>
    <row r="1186" customFormat="false" ht="16.8" hidden="false" customHeight="false" outlineLevel="0" collapsed="false">
      <c r="A1186" s="13" t="s">
        <v>20</v>
      </c>
      <c r="B1186" s="1"/>
      <c r="C1186" s="1"/>
      <c r="D1186" s="1"/>
      <c r="E1186" s="1"/>
      <c r="F1186" s="1"/>
    </row>
    <row r="1187" customFormat="false" ht="16.8" hidden="false" customHeight="false" outlineLevel="0" collapsed="false">
      <c r="A1187" s="17" t="s">
        <v>13</v>
      </c>
      <c r="B1187" s="17" t="s">
        <v>21</v>
      </c>
      <c r="C1187" s="18"/>
      <c r="D1187" s="18"/>
      <c r="E1187" s="18"/>
      <c r="F1187" s="39"/>
    </row>
    <row r="1188" customFormat="false" ht="15" hidden="false" customHeight="true" outlineLevel="0" collapsed="false">
      <c r="A1188" s="49" t="s">
        <v>420</v>
      </c>
      <c r="B1188" s="20" t="n">
        <v>53050</v>
      </c>
      <c r="C1188" s="18"/>
      <c r="D1188" s="18"/>
      <c r="E1188" s="18"/>
      <c r="F1188" s="39"/>
    </row>
    <row r="1189" customFormat="false" ht="15" hidden="false" customHeight="true" outlineLevel="0" collapsed="false">
      <c r="A1189" s="49" t="s">
        <v>466</v>
      </c>
      <c r="B1189" s="20" t="n">
        <v>60520</v>
      </c>
      <c r="C1189" s="18"/>
      <c r="D1189" s="18"/>
      <c r="E1189" s="18"/>
      <c r="F1189" s="39"/>
    </row>
    <row r="1190" customFormat="false" ht="15" hidden="false" customHeight="true" outlineLevel="0" collapsed="false">
      <c r="A1190" s="49" t="s">
        <v>432</v>
      </c>
      <c r="B1190" s="20"/>
      <c r="C1190" s="18"/>
      <c r="D1190" s="18"/>
      <c r="E1190" s="18"/>
      <c r="F1190" s="39"/>
    </row>
    <row r="1191" customFormat="false" ht="15" hidden="false" customHeight="true" outlineLevel="0" collapsed="false">
      <c r="A1191" s="49" t="s">
        <v>403</v>
      </c>
      <c r="B1191" s="20"/>
      <c r="C1191" s="18"/>
      <c r="D1191" s="18"/>
      <c r="E1191" s="18"/>
      <c r="F1191" s="39"/>
    </row>
    <row r="1192" customFormat="false" ht="15" hidden="false" customHeight="true" outlineLevel="0" collapsed="false">
      <c r="A1192" s="49" t="s">
        <v>401</v>
      </c>
      <c r="B1192" s="20"/>
      <c r="C1192" s="18"/>
      <c r="D1192" s="18"/>
      <c r="E1192" s="18"/>
      <c r="F1192" s="39"/>
    </row>
    <row r="1193" customFormat="false" ht="15" hidden="false" customHeight="true" outlineLevel="0" collapsed="false">
      <c r="A1193" s="49" t="s">
        <v>433</v>
      </c>
      <c r="B1193" s="20" t="n">
        <v>1950</v>
      </c>
      <c r="C1193" s="18"/>
      <c r="D1193" s="18"/>
      <c r="E1193" s="18"/>
      <c r="F1193" s="39"/>
    </row>
    <row r="1194" customFormat="false" ht="15" hidden="false" customHeight="true" outlineLevel="0" collapsed="false">
      <c r="A1194" s="49" t="s">
        <v>434</v>
      </c>
      <c r="B1194" s="20" t="n">
        <v>5000</v>
      </c>
      <c r="C1194" s="18"/>
      <c r="D1194" s="18"/>
      <c r="E1194" s="18"/>
      <c r="F1194" s="39"/>
    </row>
    <row r="1195" customFormat="false" ht="15" hidden="false" customHeight="true" outlineLevel="0" collapsed="false">
      <c r="A1195" s="49" t="s">
        <v>399</v>
      </c>
      <c r="B1195" s="20"/>
      <c r="C1195" s="18"/>
      <c r="D1195" s="18"/>
      <c r="E1195" s="18"/>
      <c r="F1195" s="39"/>
    </row>
    <row r="1196" customFormat="false" ht="15" hidden="false" customHeight="true" outlineLevel="0" collapsed="false">
      <c r="A1196" s="49" t="s">
        <v>435</v>
      </c>
      <c r="B1196" s="20" t="n">
        <v>45180</v>
      </c>
      <c r="C1196" s="18"/>
      <c r="D1196" s="18"/>
      <c r="E1196" s="18"/>
      <c r="F1196" s="39"/>
    </row>
    <row r="1197" customFormat="false" ht="15" hidden="false" customHeight="true" outlineLevel="0" collapsed="false">
      <c r="A1197" s="49" t="s">
        <v>436</v>
      </c>
      <c r="B1197" s="20" t="n">
        <v>3050</v>
      </c>
      <c r="C1197" s="18"/>
      <c r="D1197" s="18"/>
      <c r="E1197" s="18"/>
      <c r="F1197" s="39"/>
    </row>
    <row r="1198" customFormat="false" ht="15" hidden="false" customHeight="true" outlineLevel="0" collapsed="false">
      <c r="A1198" s="49" t="s">
        <v>398</v>
      </c>
      <c r="B1198" s="20"/>
      <c r="C1198" s="1"/>
      <c r="D1198" s="1"/>
      <c r="E1198" s="1"/>
      <c r="F1198" s="26"/>
    </row>
    <row r="1199" customFormat="false" ht="15" hidden="false" customHeight="true" outlineLevel="0" collapsed="false">
      <c r="A1199" s="49" t="s">
        <v>384</v>
      </c>
      <c r="B1199" s="20"/>
      <c r="C1199" s="1"/>
      <c r="D1199" s="1"/>
      <c r="E1199" s="1"/>
      <c r="F1199" s="26"/>
    </row>
    <row r="1200" customFormat="false" ht="15" hidden="false" customHeight="true" outlineLevel="0" collapsed="false">
      <c r="A1200" s="49" t="s">
        <v>390</v>
      </c>
      <c r="B1200" s="20" t="n">
        <v>6900</v>
      </c>
      <c r="C1200" s="1"/>
      <c r="D1200" s="1"/>
      <c r="E1200" s="1"/>
      <c r="F1200" s="26"/>
    </row>
    <row r="1201" customFormat="false" ht="16.8" hidden="false" customHeight="false" outlineLevel="0" collapsed="false">
      <c r="A1201" s="25" t="s">
        <v>11</v>
      </c>
      <c r="B1201" s="35" t="n">
        <f aca="false">SUM(B1188:B1200)</f>
        <v>175650</v>
      </c>
      <c r="C1201" s="1"/>
      <c r="D1201" s="45"/>
      <c r="E1201" s="45"/>
      <c r="F1201" s="26"/>
    </row>
    <row r="1202" customFormat="false" ht="13.2" hidden="false" customHeight="false" outlineLevel="0" collapsed="false">
      <c r="A1202" s="1"/>
      <c r="B1202" s="1"/>
      <c r="C1202" s="1"/>
      <c r="D1202" s="1"/>
      <c r="E1202" s="1"/>
      <c r="F1202" s="39"/>
    </row>
    <row r="1203" customFormat="false" ht="16.8" hidden="false" customHeight="false" outlineLevel="0" collapsed="false">
      <c r="A1203" s="39"/>
      <c r="B1203" s="39"/>
      <c r="C1203" s="141"/>
      <c r="D1203" s="140" t="s">
        <v>396</v>
      </c>
      <c r="E1203" s="140"/>
      <c r="F1203" s="140"/>
    </row>
  </sheetData>
  <mergeCells count="193">
    <mergeCell ref="A1:G1"/>
    <mergeCell ref="A2:G2"/>
    <mergeCell ref="A11:G11"/>
    <mergeCell ref="C27:D27"/>
    <mergeCell ref="E27:G27"/>
    <mergeCell ref="F28:G28"/>
    <mergeCell ref="E32:G32"/>
    <mergeCell ref="A35:F35"/>
    <mergeCell ref="A36:F36"/>
    <mergeCell ref="D48:D49"/>
    <mergeCell ref="E48:E49"/>
    <mergeCell ref="F48:F49"/>
    <mergeCell ref="D59:F59"/>
    <mergeCell ref="D64:F64"/>
    <mergeCell ref="A68:F68"/>
    <mergeCell ref="A69:F69"/>
    <mergeCell ref="D81:D91"/>
    <mergeCell ref="E81:E91"/>
    <mergeCell ref="F81:F91"/>
    <mergeCell ref="D110:F110"/>
    <mergeCell ref="D115:F115"/>
    <mergeCell ref="A118:F118"/>
    <mergeCell ref="A119:F119"/>
    <mergeCell ref="D131:D141"/>
    <mergeCell ref="E131:E141"/>
    <mergeCell ref="F131:F141"/>
    <mergeCell ref="D160:F160"/>
    <mergeCell ref="D165:F165"/>
    <mergeCell ref="A169:F169"/>
    <mergeCell ref="A170:F170"/>
    <mergeCell ref="C182:C192"/>
    <mergeCell ref="D182:D192"/>
    <mergeCell ref="E182:E192"/>
    <mergeCell ref="D211:F211"/>
    <mergeCell ref="D216:F216"/>
    <mergeCell ref="A220:F220"/>
    <mergeCell ref="A221:F221"/>
    <mergeCell ref="A230:E230"/>
    <mergeCell ref="D234:D244"/>
    <mergeCell ref="E234:E244"/>
    <mergeCell ref="D263:F263"/>
    <mergeCell ref="D268:F268"/>
    <mergeCell ref="A271:F271"/>
    <mergeCell ref="A272:F272"/>
    <mergeCell ref="A281:E281"/>
    <mergeCell ref="D285:D295"/>
    <mergeCell ref="E285:E295"/>
    <mergeCell ref="D314:F314"/>
    <mergeCell ref="D319:F319"/>
    <mergeCell ref="A323:F323"/>
    <mergeCell ref="A324:F324"/>
    <mergeCell ref="A333:E333"/>
    <mergeCell ref="D337:D347"/>
    <mergeCell ref="E337:E347"/>
    <mergeCell ref="F337:F347"/>
    <mergeCell ref="D366:F366"/>
    <mergeCell ref="D371:F371"/>
    <mergeCell ref="A374:F374"/>
    <mergeCell ref="A375:F375"/>
    <mergeCell ref="A384:E384"/>
    <mergeCell ref="C388:C398"/>
    <mergeCell ref="D388:D398"/>
    <mergeCell ref="E388:E398"/>
    <mergeCell ref="D417:F417"/>
    <mergeCell ref="D422:F422"/>
    <mergeCell ref="A426:F426"/>
    <mergeCell ref="A427:F427"/>
    <mergeCell ref="A436:E436"/>
    <mergeCell ref="D440:D450"/>
    <mergeCell ref="E440:E450"/>
    <mergeCell ref="D469:F469"/>
    <mergeCell ref="D474:F474"/>
    <mergeCell ref="A478:F478"/>
    <mergeCell ref="A479:F479"/>
    <mergeCell ref="A488:E488"/>
    <mergeCell ref="D493:D503"/>
    <mergeCell ref="E493:E503"/>
    <mergeCell ref="D523:F523"/>
    <mergeCell ref="D528:F528"/>
    <mergeCell ref="A532:F532"/>
    <mergeCell ref="A533:F533"/>
    <mergeCell ref="A542:E542"/>
    <mergeCell ref="D545:D546"/>
    <mergeCell ref="E545:E546"/>
    <mergeCell ref="D547:D557"/>
    <mergeCell ref="E547:E557"/>
    <mergeCell ref="F547:F557"/>
    <mergeCell ref="D577:F577"/>
    <mergeCell ref="A582:F582"/>
    <mergeCell ref="A583:F583"/>
    <mergeCell ref="A592:E592"/>
    <mergeCell ref="D595:D596"/>
    <mergeCell ref="E595:E596"/>
    <mergeCell ref="D597:D607"/>
    <mergeCell ref="E597:E607"/>
    <mergeCell ref="F597:F607"/>
    <mergeCell ref="D627:F627"/>
    <mergeCell ref="A634:F634"/>
    <mergeCell ref="A635:F635"/>
    <mergeCell ref="D646:D647"/>
    <mergeCell ref="E646:E647"/>
    <mergeCell ref="F646:F647"/>
    <mergeCell ref="D648:D658"/>
    <mergeCell ref="E648:E658"/>
    <mergeCell ref="F648:F658"/>
    <mergeCell ref="D678:F678"/>
    <mergeCell ref="A683:F683"/>
    <mergeCell ref="A684:F684"/>
    <mergeCell ref="A693:E693"/>
    <mergeCell ref="D696:D697"/>
    <mergeCell ref="E696:E697"/>
    <mergeCell ref="F696:F697"/>
    <mergeCell ref="D698:D708"/>
    <mergeCell ref="E698:E708"/>
    <mergeCell ref="F698:F708"/>
    <mergeCell ref="D728:F728"/>
    <mergeCell ref="A731:F731"/>
    <mergeCell ref="A732:F732"/>
    <mergeCell ref="D743:D744"/>
    <mergeCell ref="E743:E744"/>
    <mergeCell ref="F743:F744"/>
    <mergeCell ref="D745:D755"/>
    <mergeCell ref="E745:E755"/>
    <mergeCell ref="F745:F754"/>
    <mergeCell ref="D775:F775"/>
    <mergeCell ref="A780:F780"/>
    <mergeCell ref="A781:F781"/>
    <mergeCell ref="C792:C793"/>
    <mergeCell ref="D792:D804"/>
    <mergeCell ref="E792:E804"/>
    <mergeCell ref="C794:C804"/>
    <mergeCell ref="D824:F824"/>
    <mergeCell ref="A829:F829"/>
    <mergeCell ref="A830:F830"/>
    <mergeCell ref="C841:C842"/>
    <mergeCell ref="D841:D853"/>
    <mergeCell ref="E841:E853"/>
    <mergeCell ref="C843:C853"/>
    <mergeCell ref="D873:F873"/>
    <mergeCell ref="A878:F878"/>
    <mergeCell ref="A879:F879"/>
    <mergeCell ref="D890:D891"/>
    <mergeCell ref="E890:E902"/>
    <mergeCell ref="F890:F902"/>
    <mergeCell ref="D892:D902"/>
    <mergeCell ref="D922:F922"/>
    <mergeCell ref="A925:F925"/>
    <mergeCell ref="A926:F926"/>
    <mergeCell ref="C937:C938"/>
    <mergeCell ref="D937:D949"/>
    <mergeCell ref="E937:E949"/>
    <mergeCell ref="C939:C949"/>
    <mergeCell ref="D969:F969"/>
    <mergeCell ref="A972:F972"/>
    <mergeCell ref="A973:F973"/>
    <mergeCell ref="D986:D996"/>
    <mergeCell ref="D1016:F1016"/>
    <mergeCell ref="A1018:F1018"/>
    <mergeCell ref="A1019:F1019"/>
    <mergeCell ref="D1030:D1031"/>
    <mergeCell ref="E1030:E1031"/>
    <mergeCell ref="F1030:F1031"/>
    <mergeCell ref="D1032:D1042"/>
    <mergeCell ref="E1032:E1042"/>
    <mergeCell ref="F1032:F1042"/>
    <mergeCell ref="D1062:F1062"/>
    <mergeCell ref="A1064:F1064"/>
    <mergeCell ref="A1065:F1065"/>
    <mergeCell ref="D1076:D1077"/>
    <mergeCell ref="E1076:E1077"/>
    <mergeCell ref="F1076:F1077"/>
    <mergeCell ref="D1078:D1088"/>
    <mergeCell ref="E1078:E1088"/>
    <mergeCell ref="F1078:F1088"/>
    <mergeCell ref="D1108:F1108"/>
    <mergeCell ref="A1112:F1112"/>
    <mergeCell ref="A1113:F1113"/>
    <mergeCell ref="D1124:D1125"/>
    <mergeCell ref="E1124:E1125"/>
    <mergeCell ref="F1124:F1125"/>
    <mergeCell ref="D1126:D1136"/>
    <mergeCell ref="E1126:E1136"/>
    <mergeCell ref="F1126:F1136"/>
    <mergeCell ref="D1156:F1156"/>
    <mergeCell ref="A1160:F1160"/>
    <mergeCell ref="A1161:F1161"/>
    <mergeCell ref="C1172:C1173"/>
    <mergeCell ref="D1172:D1173"/>
    <mergeCell ref="E1172:E1173"/>
    <mergeCell ref="C1174:C1183"/>
    <mergeCell ref="D1174:D1183"/>
    <mergeCell ref="E1174:E1183"/>
    <mergeCell ref="D1203:F1203"/>
  </mergeCells>
  <printOptions headings="false" gridLines="false" gridLinesSet="true" horizontalCentered="false" verticalCentered="false"/>
  <pageMargins left="0.2" right="0.2" top="0.159722222222222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32"/>
  <sheetViews>
    <sheetView windowProtection="false"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F173" activeCellId="0" sqref="F173"/>
    </sheetView>
  </sheetViews>
  <sheetFormatPr defaultRowHeight="13.2"/>
  <cols>
    <col collapsed="false" hidden="false" max="1" min="1" style="0" width="23.8928571428571"/>
    <col collapsed="false" hidden="false" max="5" min="2" style="0" width="16.1989795918367"/>
    <col collapsed="false" hidden="false" max="6" min="6" style="0" width="12.1479591836735"/>
    <col collapsed="false" hidden="false" max="1025" min="7" style="0" width="8.50510204081633"/>
  </cols>
  <sheetData>
    <row r="1" customFormat="false" ht="18.6" hidden="false" customHeight="true" outlineLevel="0" collapsed="false">
      <c r="A1" s="118" t="s">
        <v>519</v>
      </c>
      <c r="B1" s="118"/>
      <c r="C1" s="118"/>
      <c r="D1" s="118"/>
      <c r="E1" s="118"/>
      <c r="F1" s="118"/>
    </row>
    <row r="2" customFormat="false" ht="13.8" hidden="false" customHeight="true" outlineLevel="0" collapsed="false">
      <c r="A2" s="119" t="s">
        <v>2</v>
      </c>
      <c r="B2" s="119"/>
      <c r="C2" s="119"/>
      <c r="D2" s="119"/>
      <c r="E2" s="119"/>
      <c r="F2" s="119"/>
    </row>
    <row r="3" customFormat="false" ht="16.8" hidden="false" customHeight="false" outlineLevel="0" collapsed="false">
      <c r="A3" s="13" t="s">
        <v>3</v>
      </c>
      <c r="B3" s="14"/>
      <c r="C3" s="14"/>
      <c r="D3" s="46"/>
      <c r="E3" s="66" t="s">
        <v>4</v>
      </c>
      <c r="F3" s="66"/>
    </row>
    <row r="4" customFormat="false" ht="33.6" hidden="false" customHeight="false" outlineLevel="0" collapsed="false">
      <c r="A4" s="17" t="s">
        <v>5</v>
      </c>
      <c r="B4" s="17" t="s">
        <v>5</v>
      </c>
      <c r="C4" s="17" t="s">
        <v>520</v>
      </c>
      <c r="D4" s="17" t="s">
        <v>7</v>
      </c>
      <c r="E4" s="17" t="s">
        <v>8</v>
      </c>
      <c r="F4" s="150"/>
    </row>
    <row r="5" customFormat="false" ht="16.8" hidden="false" customHeight="false" outlineLevel="0" collapsed="false">
      <c r="A5" s="19" t="s">
        <v>9</v>
      </c>
      <c r="B5" s="20" t="n">
        <f aca="false">T9!E1116</f>
        <v>0</v>
      </c>
      <c r="D5" s="20"/>
      <c r="E5" s="47" t="n">
        <f aca="false">B5+C5-D5</f>
        <v>0</v>
      </c>
    </row>
    <row r="6" customFormat="false" ht="33.75" hidden="false" customHeight="true" outlineLevel="0" collapsed="false">
      <c r="A6" s="97" t="s">
        <v>159</v>
      </c>
      <c r="B6" s="20" t="n">
        <v>6360</v>
      </c>
      <c r="C6" s="20" t="n">
        <v>42700</v>
      </c>
      <c r="D6" s="20"/>
      <c r="E6" s="47" t="n">
        <f aca="false">B6+C6-D6</f>
        <v>49060</v>
      </c>
    </row>
    <row r="7" customFormat="false" ht="37.5" hidden="false" customHeight="true" outlineLevel="0" collapsed="false">
      <c r="A7" s="97" t="s">
        <v>414</v>
      </c>
      <c r="B7" s="20" t="n">
        <f aca="false">T9!E1118</f>
        <v>0</v>
      </c>
      <c r="C7" s="20"/>
      <c r="D7" s="20"/>
      <c r="E7" s="47" t="n">
        <f aca="false">B7+C7-D7</f>
        <v>0</v>
      </c>
    </row>
    <row r="8" customFormat="false" ht="37.5" hidden="false" customHeight="true" outlineLevel="0" collapsed="false">
      <c r="A8" s="97" t="s">
        <v>202</v>
      </c>
      <c r="B8" s="20" t="n">
        <f aca="false">T9!E1119</f>
        <v>0</v>
      </c>
      <c r="C8" s="20" t="n">
        <v>110</v>
      </c>
      <c r="D8" s="20"/>
      <c r="E8" s="47" t="n">
        <f aca="false">B8+C8-D8</f>
        <v>110</v>
      </c>
    </row>
    <row r="9" customFormat="false" ht="16.8" hidden="false" customHeight="false" outlineLevel="0" collapsed="false">
      <c r="A9" s="19" t="s">
        <v>10</v>
      </c>
      <c r="B9" s="20" t="n">
        <f aca="false">T9!E1120</f>
        <v>11000</v>
      </c>
      <c r="C9" s="20" t="n">
        <v>7204</v>
      </c>
      <c r="D9" s="20"/>
      <c r="E9" s="47" t="n">
        <f aca="false">B9+C9-D9</f>
        <v>18204</v>
      </c>
    </row>
    <row r="10" customFormat="false" ht="16.8" hidden="false" customHeight="false" outlineLevel="0" collapsed="false">
      <c r="A10" s="21" t="s">
        <v>11</v>
      </c>
      <c r="B10" s="22" t="n">
        <f aca="false">SUM(B5:B9)</f>
        <v>17360</v>
      </c>
      <c r="C10" s="22" t="n">
        <f aca="false">SUM(C6:C9)</f>
        <v>50014</v>
      </c>
      <c r="D10" s="22" t="n">
        <f aca="false">SUM(D5:D9)</f>
        <v>0</v>
      </c>
      <c r="E10" s="22" t="n">
        <f aca="false">SUM(E5:E9)</f>
        <v>67374</v>
      </c>
    </row>
    <row r="11" customFormat="false" ht="16.8" hidden="false" customHeight="false" outlineLevel="0" collapsed="false">
      <c r="A11" s="13" t="s">
        <v>12</v>
      </c>
      <c r="B11" s="13"/>
      <c r="C11" s="13"/>
      <c r="D11" s="13"/>
      <c r="E11" s="13"/>
      <c r="F11" s="13"/>
    </row>
    <row r="12" customFormat="false" ht="33.6" hidden="false" customHeight="false" outlineLevel="0" collapsed="false">
      <c r="A12" s="25" t="s">
        <v>13</v>
      </c>
      <c r="B12" s="17" t="s">
        <v>521</v>
      </c>
      <c r="C12" s="120" t="s">
        <v>418</v>
      </c>
      <c r="D12" s="143" t="s">
        <v>419</v>
      </c>
      <c r="E12" s="120" t="s">
        <v>16</v>
      </c>
    </row>
    <row r="13" customFormat="false" ht="33.6" hidden="false" customHeight="false" outlineLevel="0" collapsed="false">
      <c r="A13" s="49" t="s">
        <v>49</v>
      </c>
      <c r="B13" s="20" t="n">
        <v>6650</v>
      </c>
      <c r="C13" s="34" t="n">
        <f aca="false">B13+B14</f>
        <v>14850</v>
      </c>
      <c r="D13" s="34" t="n">
        <f aca="false">D5+D6</f>
        <v>0</v>
      </c>
      <c r="E13" s="122" t="n">
        <f aca="false">D13/C13</f>
        <v>0</v>
      </c>
    </row>
    <row r="14" customFormat="false" ht="16.8" hidden="false" customHeight="false" outlineLevel="0" collapsed="false">
      <c r="A14" s="49" t="s">
        <v>466</v>
      </c>
      <c r="B14" s="20" t="n">
        <v>8200</v>
      </c>
      <c r="C14" s="34"/>
      <c r="D14" s="34"/>
      <c r="E14" s="122"/>
    </row>
    <row r="15" customFormat="false" ht="16.8" hidden="false" customHeight="false" outlineLevel="0" collapsed="false">
      <c r="A15" s="49" t="s">
        <v>432</v>
      </c>
      <c r="B15" s="20"/>
      <c r="C15" s="34" t="n">
        <f aca="false">SUM(B15:B25)</f>
        <v>5750</v>
      </c>
      <c r="D15" s="146" t="n">
        <f aca="false">D8+D9</f>
        <v>0</v>
      </c>
      <c r="E15" s="147" t="n">
        <f aca="false">D15/C15</f>
        <v>0</v>
      </c>
    </row>
    <row r="16" customFormat="false" ht="16.8" hidden="false" customHeight="false" outlineLevel="0" collapsed="false">
      <c r="A16" s="49" t="s">
        <v>403</v>
      </c>
      <c r="B16" s="20"/>
      <c r="C16" s="34"/>
      <c r="D16" s="34"/>
      <c r="E16" s="147"/>
    </row>
    <row r="17" customFormat="false" ht="16.8" hidden="false" customHeight="false" outlineLevel="0" collapsed="false">
      <c r="A17" s="49" t="s">
        <v>401</v>
      </c>
      <c r="B17" s="20"/>
      <c r="C17" s="34"/>
      <c r="D17" s="34"/>
      <c r="E17" s="147"/>
    </row>
    <row r="18" customFormat="false" ht="16.8" hidden="false" customHeight="false" outlineLevel="0" collapsed="false">
      <c r="A18" s="49" t="s">
        <v>433</v>
      </c>
      <c r="B18" s="20"/>
      <c r="C18" s="34"/>
      <c r="D18" s="34"/>
      <c r="E18" s="147"/>
    </row>
    <row r="19" customFormat="false" ht="16.8" hidden="false" customHeight="false" outlineLevel="0" collapsed="false">
      <c r="A19" s="49" t="s">
        <v>434</v>
      </c>
      <c r="B19" s="20"/>
      <c r="C19" s="34"/>
      <c r="D19" s="34"/>
      <c r="E19" s="147"/>
    </row>
    <row r="20" customFormat="false" ht="16.8" hidden="false" customHeight="false" outlineLevel="0" collapsed="false">
      <c r="A20" s="49" t="s">
        <v>399</v>
      </c>
      <c r="B20" s="20" t="n">
        <v>3950</v>
      </c>
      <c r="C20" s="34"/>
      <c r="D20" s="34"/>
      <c r="E20" s="147"/>
    </row>
    <row r="21" customFormat="false" ht="16.8" hidden="false" customHeight="false" outlineLevel="0" collapsed="false">
      <c r="A21" s="49" t="s">
        <v>435</v>
      </c>
      <c r="B21" s="20"/>
      <c r="C21" s="34"/>
      <c r="D21" s="34"/>
      <c r="E21" s="147"/>
    </row>
    <row r="22" customFormat="false" ht="16.8" hidden="false" customHeight="false" outlineLevel="0" collapsed="false">
      <c r="A22" s="49" t="s">
        <v>436</v>
      </c>
      <c r="B22" s="20" t="n">
        <v>1800</v>
      </c>
      <c r="C22" s="34"/>
      <c r="D22" s="34"/>
      <c r="E22" s="147"/>
    </row>
    <row r="23" customFormat="false" ht="16.8" hidden="false" customHeight="false" outlineLevel="0" collapsed="false">
      <c r="A23" s="49" t="s">
        <v>398</v>
      </c>
      <c r="B23" s="20"/>
      <c r="C23" s="34"/>
      <c r="D23" s="34"/>
      <c r="E23" s="147"/>
    </row>
    <row r="24" customFormat="false" ht="16.8" hidden="false" customHeight="false" outlineLevel="0" collapsed="false">
      <c r="A24" s="49" t="s">
        <v>384</v>
      </c>
      <c r="B24" s="20"/>
      <c r="C24" s="34"/>
      <c r="D24" s="34"/>
      <c r="E24" s="147"/>
    </row>
    <row r="25" customFormat="false" ht="16.8" hidden="false" customHeight="false" outlineLevel="0" collapsed="false">
      <c r="A25" s="49" t="s">
        <v>390</v>
      </c>
      <c r="B25" s="20"/>
      <c r="C25" s="34"/>
      <c r="D25" s="34"/>
      <c r="E25" s="147"/>
    </row>
    <row r="26" customFormat="false" ht="16.8" hidden="false" customHeight="false" outlineLevel="0" collapsed="false">
      <c r="A26" s="30" t="s">
        <v>11</v>
      </c>
      <c r="B26" s="94" t="n">
        <f aca="false">SUM(B13:B25)</f>
        <v>20600</v>
      </c>
      <c r="C26" s="94" t="n">
        <f aca="false">SUM(C13:C25)</f>
        <v>20600</v>
      </c>
      <c r="D26" s="94" t="n">
        <f aca="false">D13+D15</f>
        <v>0</v>
      </c>
      <c r="E26" s="89" t="n">
        <f aca="false">D26/C26</f>
        <v>0</v>
      </c>
    </row>
    <row r="27" customFormat="false" ht="16.8" hidden="false" customHeight="false" outlineLevel="0" collapsed="false">
      <c r="A27" s="55" t="s">
        <v>476</v>
      </c>
      <c r="B27" s="56"/>
      <c r="C27" s="56"/>
      <c r="D27" s="56"/>
      <c r="E27" s="100"/>
      <c r="F27" s="100"/>
    </row>
    <row r="28" customFormat="false" ht="16.8" hidden="false" customHeight="false" outlineLevel="0" collapsed="false">
      <c r="A28" s="13" t="s">
        <v>20</v>
      </c>
      <c r="B28" s="1"/>
      <c r="C28" s="1"/>
      <c r="D28" s="1"/>
      <c r="E28" s="1"/>
      <c r="F28" s="1"/>
    </row>
    <row r="29" customFormat="false" ht="16.8" hidden="false" customHeight="false" outlineLevel="0" collapsed="false">
      <c r="A29" s="17" t="s">
        <v>13</v>
      </c>
      <c r="B29" s="17" t="s">
        <v>21</v>
      </c>
      <c r="C29" s="18"/>
      <c r="D29" s="18"/>
      <c r="E29" s="18"/>
      <c r="F29" s="39"/>
    </row>
    <row r="30" customFormat="false" ht="20.25" hidden="false" customHeight="true" outlineLevel="0" collapsed="false">
      <c r="A30" s="49" t="s">
        <v>420</v>
      </c>
      <c r="B30" s="20" t="n">
        <v>59700</v>
      </c>
      <c r="C30" s="18"/>
      <c r="D30" s="18"/>
      <c r="E30" s="18"/>
      <c r="F30" s="39"/>
    </row>
    <row r="31" customFormat="false" ht="16.8" hidden="false" customHeight="false" outlineLevel="0" collapsed="false">
      <c r="A31" s="49" t="s">
        <v>466</v>
      </c>
      <c r="B31" s="20" t="n">
        <v>68720</v>
      </c>
      <c r="C31" s="18"/>
      <c r="D31" s="18"/>
      <c r="E31" s="18"/>
      <c r="F31" s="39"/>
    </row>
    <row r="32" customFormat="false" ht="16.8" hidden="false" customHeight="false" outlineLevel="0" collapsed="false">
      <c r="A32" s="49" t="s">
        <v>432</v>
      </c>
      <c r="B32" s="20"/>
      <c r="C32" s="18"/>
      <c r="D32" s="18"/>
      <c r="E32" s="18"/>
      <c r="F32" s="39"/>
    </row>
    <row r="33" customFormat="false" ht="16.8" hidden="false" customHeight="false" outlineLevel="0" collapsed="false">
      <c r="A33" s="49" t="s">
        <v>403</v>
      </c>
      <c r="B33" s="20"/>
      <c r="C33" s="18"/>
      <c r="D33" s="18"/>
      <c r="E33" s="18"/>
      <c r="F33" s="39"/>
    </row>
    <row r="34" customFormat="false" ht="16.8" hidden="false" customHeight="false" outlineLevel="0" collapsed="false">
      <c r="A34" s="49" t="s">
        <v>401</v>
      </c>
      <c r="B34" s="20"/>
      <c r="C34" s="18"/>
      <c r="D34" s="18"/>
      <c r="E34" s="18"/>
      <c r="F34" s="39"/>
    </row>
    <row r="35" customFormat="false" ht="16.8" hidden="false" customHeight="false" outlineLevel="0" collapsed="false">
      <c r="A35" s="49" t="s">
        <v>433</v>
      </c>
      <c r="B35" s="20" t="n">
        <v>1950</v>
      </c>
      <c r="C35" s="18"/>
      <c r="D35" s="18"/>
      <c r="E35" s="18"/>
      <c r="F35" s="39"/>
    </row>
    <row r="36" customFormat="false" ht="16.8" hidden="false" customHeight="false" outlineLevel="0" collapsed="false">
      <c r="A36" s="49" t="s">
        <v>434</v>
      </c>
      <c r="B36" s="20" t="n">
        <v>5000</v>
      </c>
      <c r="C36" s="18"/>
      <c r="D36" s="18"/>
      <c r="E36" s="18"/>
      <c r="F36" s="39"/>
    </row>
    <row r="37" customFormat="false" ht="16.8" hidden="false" customHeight="false" outlineLevel="0" collapsed="false">
      <c r="A37" s="49" t="s">
        <v>399</v>
      </c>
      <c r="B37" s="20" t="n">
        <v>3950</v>
      </c>
      <c r="C37" s="18"/>
      <c r="D37" s="18"/>
      <c r="E37" s="18"/>
      <c r="F37" s="39"/>
    </row>
    <row r="38" customFormat="false" ht="16.8" hidden="false" customHeight="false" outlineLevel="0" collapsed="false">
      <c r="A38" s="49" t="s">
        <v>435</v>
      </c>
      <c r="B38" s="20" t="n">
        <v>45180</v>
      </c>
      <c r="C38" s="18"/>
      <c r="D38" s="18"/>
      <c r="E38" s="18"/>
      <c r="F38" s="39"/>
    </row>
    <row r="39" customFormat="false" ht="16.8" hidden="false" customHeight="false" outlineLevel="0" collapsed="false">
      <c r="A39" s="49" t="s">
        <v>436</v>
      </c>
      <c r="B39" s="20" t="n">
        <v>4850</v>
      </c>
      <c r="C39" s="18"/>
      <c r="D39" s="18"/>
      <c r="E39" s="18"/>
      <c r="F39" s="39"/>
    </row>
    <row r="40" customFormat="false" ht="16.8" hidden="false" customHeight="false" outlineLevel="0" collapsed="false">
      <c r="A40" s="49" t="s">
        <v>398</v>
      </c>
      <c r="B40" s="20"/>
      <c r="C40" s="1"/>
      <c r="D40" s="1"/>
      <c r="E40" s="1"/>
      <c r="F40" s="26"/>
    </row>
    <row r="41" customFormat="false" ht="16.8" hidden="false" customHeight="false" outlineLevel="0" collapsed="false">
      <c r="A41" s="49" t="s">
        <v>384</v>
      </c>
      <c r="B41" s="20"/>
      <c r="C41" s="1"/>
      <c r="D41" s="1"/>
      <c r="E41" s="1"/>
      <c r="F41" s="26"/>
    </row>
    <row r="42" customFormat="false" ht="16.8" hidden="false" customHeight="false" outlineLevel="0" collapsed="false">
      <c r="A42" s="49" t="s">
        <v>390</v>
      </c>
      <c r="B42" s="20" t="n">
        <v>6900</v>
      </c>
      <c r="C42" s="1"/>
      <c r="D42" s="1"/>
      <c r="E42" s="1"/>
      <c r="F42" s="26"/>
    </row>
    <row r="43" customFormat="false" ht="16.8" hidden="false" customHeight="false" outlineLevel="0" collapsed="false">
      <c r="A43" s="25" t="s">
        <v>11</v>
      </c>
      <c r="B43" s="35" t="n">
        <f aca="false">SUM(B30:B42)</f>
        <v>196250</v>
      </c>
      <c r="C43" s="1"/>
      <c r="D43" s="45"/>
      <c r="E43" s="45"/>
      <c r="F43" s="26"/>
    </row>
    <row r="44" customFormat="false" ht="13.2" hidden="false" customHeight="false" outlineLevel="0" collapsed="false">
      <c r="A44" s="1"/>
      <c r="B44" s="1"/>
      <c r="C44" s="1"/>
      <c r="D44" s="1"/>
      <c r="E44" s="1"/>
      <c r="F44" s="39"/>
    </row>
    <row r="45" customFormat="false" ht="16.8" hidden="false" customHeight="false" outlineLevel="0" collapsed="false">
      <c r="A45" s="39"/>
      <c r="B45" s="39"/>
      <c r="C45" s="141"/>
      <c r="D45" s="140" t="s">
        <v>396</v>
      </c>
      <c r="E45" s="140"/>
      <c r="F45" s="140"/>
    </row>
    <row r="51" customFormat="false" ht="18.6" hidden="false" customHeight="true" outlineLevel="0" collapsed="false">
      <c r="A51" s="118" t="s">
        <v>522</v>
      </c>
      <c r="B51" s="118"/>
      <c r="C51" s="118"/>
      <c r="D51" s="118"/>
      <c r="E51" s="118"/>
      <c r="F51" s="118"/>
    </row>
    <row r="52" customFormat="false" ht="13.8" hidden="false" customHeight="true" outlineLevel="0" collapsed="false">
      <c r="A52" s="119" t="s">
        <v>2</v>
      </c>
      <c r="B52" s="119"/>
      <c r="C52" s="119"/>
      <c r="D52" s="119"/>
      <c r="E52" s="119"/>
      <c r="F52" s="119"/>
    </row>
    <row r="53" customFormat="false" ht="16.8" hidden="false" customHeight="false" outlineLevel="0" collapsed="false">
      <c r="A53" s="13" t="s">
        <v>3</v>
      </c>
      <c r="B53" s="14"/>
      <c r="C53" s="14"/>
      <c r="D53" s="46"/>
      <c r="E53" s="66" t="s">
        <v>4</v>
      </c>
      <c r="F53" s="66"/>
    </row>
    <row r="54" customFormat="false" ht="33.6" hidden="false" customHeight="false" outlineLevel="0" collapsed="false">
      <c r="A54" s="17" t="s">
        <v>5</v>
      </c>
      <c r="B54" s="17" t="s">
        <v>5</v>
      </c>
      <c r="C54" s="17" t="s">
        <v>523</v>
      </c>
      <c r="D54" s="17" t="s">
        <v>7</v>
      </c>
      <c r="E54" s="17" t="s">
        <v>8</v>
      </c>
      <c r="F54" s="150"/>
    </row>
    <row r="55" customFormat="false" ht="16.8" hidden="false" customHeight="false" outlineLevel="0" collapsed="false">
      <c r="A55" s="19" t="s">
        <v>9</v>
      </c>
      <c r="B55" s="20" t="n">
        <f aca="false">E5</f>
        <v>0</v>
      </c>
      <c r="C55" s="0" t="n">
        <v>305</v>
      </c>
      <c r="D55" s="20"/>
      <c r="E55" s="47" t="n">
        <f aca="false">B55+C55-D55</f>
        <v>305</v>
      </c>
    </row>
    <row r="56" customFormat="false" ht="33.6" hidden="false" customHeight="false" outlineLevel="0" collapsed="false">
      <c r="A56" s="97" t="s">
        <v>159</v>
      </c>
      <c r="B56" s="20" t="n">
        <f aca="false">E6</f>
        <v>49060</v>
      </c>
      <c r="C56" s="20" t="n">
        <v>30390</v>
      </c>
      <c r="D56" s="20"/>
      <c r="E56" s="47" t="n">
        <f aca="false">B56+C56-D56</f>
        <v>79450</v>
      </c>
    </row>
    <row r="57" customFormat="false" ht="33.6" hidden="false" customHeight="false" outlineLevel="0" collapsed="false">
      <c r="A57" s="97" t="s">
        <v>414</v>
      </c>
      <c r="B57" s="20" t="n">
        <f aca="false">E7</f>
        <v>0</v>
      </c>
      <c r="C57" s="20"/>
      <c r="D57" s="20"/>
      <c r="E57" s="47" t="n">
        <f aca="false">B57+C57-D57</f>
        <v>0</v>
      </c>
    </row>
    <row r="58" customFormat="false" ht="33.6" hidden="false" customHeight="false" outlineLevel="0" collapsed="false">
      <c r="A58" s="97" t="s">
        <v>202</v>
      </c>
      <c r="B58" s="20" t="n">
        <f aca="false">E8</f>
        <v>110</v>
      </c>
      <c r="C58" s="20" t="n">
        <v>195</v>
      </c>
      <c r="D58" s="20"/>
      <c r="E58" s="47" t="n">
        <f aca="false">B58+C58-D58</f>
        <v>305</v>
      </c>
    </row>
    <row r="59" customFormat="false" ht="16.8" hidden="false" customHeight="false" outlineLevel="0" collapsed="false">
      <c r="A59" s="19" t="s">
        <v>10</v>
      </c>
      <c r="B59" s="20" t="n">
        <f aca="false">E9</f>
        <v>18204</v>
      </c>
      <c r="C59" s="20" t="n">
        <f aca="false">21538-C55</f>
        <v>21233</v>
      </c>
      <c r="D59" s="20"/>
      <c r="E59" s="47" t="n">
        <f aca="false">B59+C59-D59</f>
        <v>39437</v>
      </c>
    </row>
    <row r="60" customFormat="false" ht="16.8" hidden="false" customHeight="false" outlineLevel="0" collapsed="false">
      <c r="A60" s="21" t="s">
        <v>11</v>
      </c>
      <c r="B60" s="22" t="n">
        <f aca="false">SUM(B55:B59)</f>
        <v>67374</v>
      </c>
      <c r="C60" s="22" t="n">
        <f aca="false">SUM(C56:C59)</f>
        <v>51818</v>
      </c>
      <c r="D60" s="22" t="n">
        <f aca="false">SUM(D55:D59)</f>
        <v>0</v>
      </c>
      <c r="E60" s="22" t="n">
        <f aca="false">SUM(E55:E59)</f>
        <v>119497</v>
      </c>
    </row>
    <row r="61" customFormat="false" ht="16.8" hidden="false" customHeight="false" outlineLevel="0" collapsed="false">
      <c r="A61" s="13" t="s">
        <v>12</v>
      </c>
      <c r="B61" s="13"/>
      <c r="C61" s="13"/>
      <c r="D61" s="13"/>
      <c r="E61" s="13"/>
      <c r="F61" s="13"/>
    </row>
    <row r="62" customFormat="false" ht="33.6" hidden="false" customHeight="false" outlineLevel="0" collapsed="false">
      <c r="A62" s="25" t="s">
        <v>13</v>
      </c>
      <c r="B62" s="17" t="s">
        <v>521</v>
      </c>
      <c r="C62" s="17" t="s">
        <v>524</v>
      </c>
      <c r="D62" s="120" t="s">
        <v>418</v>
      </c>
      <c r="E62" s="143" t="s">
        <v>419</v>
      </c>
      <c r="F62" s="120" t="s">
        <v>16</v>
      </c>
    </row>
    <row r="63" customFormat="false" ht="18.75" hidden="false" customHeight="true" outlineLevel="0" collapsed="false">
      <c r="A63" s="49" t="s">
        <v>49</v>
      </c>
      <c r="B63" s="20" t="n">
        <f aca="false">B13</f>
        <v>6650</v>
      </c>
      <c r="C63" s="20" t="n">
        <v>7500</v>
      </c>
      <c r="D63" s="144" t="n">
        <f aca="false">C63+C64+B63+B64</f>
        <v>28920</v>
      </c>
      <c r="E63" s="144"/>
      <c r="F63" s="145" t="n">
        <f aca="false">E63/D63</f>
        <v>0</v>
      </c>
    </row>
    <row r="64" customFormat="false" ht="16.8" hidden="false" customHeight="false" outlineLevel="0" collapsed="false">
      <c r="A64" s="49" t="s">
        <v>466</v>
      </c>
      <c r="B64" s="20" t="n">
        <f aca="false">B14</f>
        <v>8200</v>
      </c>
      <c r="C64" s="20" t="n">
        <v>6570</v>
      </c>
      <c r="D64" s="146"/>
      <c r="E64" s="146"/>
      <c r="F64" s="147"/>
    </row>
    <row r="65" customFormat="false" ht="16.8" hidden="false" customHeight="false" outlineLevel="0" collapsed="false">
      <c r="A65" s="49" t="s">
        <v>432</v>
      </c>
      <c r="B65" s="20" t="n">
        <f aca="false">B15</f>
        <v>0</v>
      </c>
      <c r="C65" s="20"/>
      <c r="D65" s="34" t="n">
        <f aca="false">SUM(B65:C75)</f>
        <v>10150</v>
      </c>
      <c r="E65" s="156"/>
      <c r="F65" s="153" t="n">
        <f aca="false">E65/D65</f>
        <v>0</v>
      </c>
    </row>
    <row r="66" customFormat="false" ht="16.8" hidden="false" customHeight="false" outlineLevel="0" collapsed="false">
      <c r="A66" s="49" t="s">
        <v>403</v>
      </c>
      <c r="B66" s="20" t="n">
        <f aca="false">B16</f>
        <v>0</v>
      </c>
      <c r="C66" s="20" t="n">
        <f aca="false">C16</f>
        <v>0</v>
      </c>
      <c r="D66" s="34"/>
      <c r="E66" s="156"/>
      <c r="F66" s="153"/>
    </row>
    <row r="67" customFormat="false" ht="16.8" hidden="false" customHeight="false" outlineLevel="0" collapsed="false">
      <c r="A67" s="49" t="s">
        <v>401</v>
      </c>
      <c r="B67" s="20" t="n">
        <f aca="false">B17</f>
        <v>0</v>
      </c>
      <c r="C67" s="20" t="n">
        <f aca="false">C17</f>
        <v>0</v>
      </c>
      <c r="D67" s="34"/>
      <c r="E67" s="156"/>
      <c r="F67" s="153"/>
    </row>
    <row r="68" customFormat="false" ht="16.8" hidden="false" customHeight="false" outlineLevel="0" collapsed="false">
      <c r="A68" s="49" t="s">
        <v>433</v>
      </c>
      <c r="B68" s="20" t="n">
        <f aca="false">B18</f>
        <v>0</v>
      </c>
      <c r="C68" s="20" t="n">
        <f aca="false">C18</f>
        <v>0</v>
      </c>
      <c r="D68" s="34"/>
      <c r="E68" s="156"/>
      <c r="F68" s="153"/>
    </row>
    <row r="69" customFormat="false" ht="16.8" hidden="false" customHeight="false" outlineLevel="0" collapsed="false">
      <c r="A69" s="49" t="s">
        <v>434</v>
      </c>
      <c r="B69" s="20" t="n">
        <f aca="false">B19</f>
        <v>0</v>
      </c>
      <c r="C69" s="20" t="n">
        <f aca="false">C19</f>
        <v>0</v>
      </c>
      <c r="D69" s="34"/>
      <c r="E69" s="156"/>
      <c r="F69" s="153"/>
    </row>
    <row r="70" customFormat="false" ht="16.8" hidden="false" customHeight="false" outlineLevel="0" collapsed="false">
      <c r="A70" s="49" t="s">
        <v>399</v>
      </c>
      <c r="B70" s="20" t="n">
        <f aca="false">B20</f>
        <v>3950</v>
      </c>
      <c r="C70" s="20" t="n">
        <f aca="false">C20</f>
        <v>0</v>
      </c>
      <c r="D70" s="34"/>
      <c r="E70" s="156"/>
      <c r="F70" s="153"/>
    </row>
    <row r="71" customFormat="false" ht="16.8" hidden="false" customHeight="false" outlineLevel="0" collapsed="false">
      <c r="A71" s="49" t="s">
        <v>435</v>
      </c>
      <c r="B71" s="20" t="n">
        <f aca="false">B21</f>
        <v>0</v>
      </c>
      <c r="C71" s="20" t="n">
        <f aca="false">C21</f>
        <v>0</v>
      </c>
      <c r="D71" s="34"/>
      <c r="E71" s="156"/>
      <c r="F71" s="153"/>
    </row>
    <row r="72" customFormat="false" ht="16.8" hidden="false" customHeight="false" outlineLevel="0" collapsed="false">
      <c r="A72" s="49" t="s">
        <v>436</v>
      </c>
      <c r="B72" s="20" t="n">
        <f aca="false">B22</f>
        <v>1800</v>
      </c>
      <c r="C72" s="20" t="n">
        <v>4400</v>
      </c>
      <c r="D72" s="34"/>
      <c r="E72" s="156"/>
      <c r="F72" s="153"/>
    </row>
    <row r="73" customFormat="false" ht="16.8" hidden="false" customHeight="false" outlineLevel="0" collapsed="false">
      <c r="A73" s="49" t="s">
        <v>398</v>
      </c>
      <c r="B73" s="20" t="n">
        <f aca="false">B23</f>
        <v>0</v>
      </c>
      <c r="C73" s="20" t="n">
        <f aca="false">C23</f>
        <v>0</v>
      </c>
      <c r="D73" s="34"/>
      <c r="E73" s="156"/>
      <c r="F73" s="153"/>
    </row>
    <row r="74" customFormat="false" ht="16.8" hidden="false" customHeight="false" outlineLevel="0" collapsed="false">
      <c r="A74" s="49" t="s">
        <v>384</v>
      </c>
      <c r="B74" s="20" t="n">
        <f aca="false">B24</f>
        <v>0</v>
      </c>
      <c r="C74" s="20" t="n">
        <f aca="false">C24</f>
        <v>0</v>
      </c>
      <c r="D74" s="34"/>
      <c r="E74" s="156"/>
      <c r="F74" s="153"/>
    </row>
    <row r="75" customFormat="false" ht="16.8" hidden="false" customHeight="false" outlineLevel="0" collapsed="false">
      <c r="A75" s="49" t="s">
        <v>390</v>
      </c>
      <c r="B75" s="20" t="n">
        <f aca="false">B25</f>
        <v>0</v>
      </c>
      <c r="C75" s="20" t="n">
        <f aca="false">C25</f>
        <v>0</v>
      </c>
      <c r="D75" s="34"/>
      <c r="E75" s="146"/>
      <c r="F75" s="147"/>
    </row>
    <row r="76" customFormat="false" ht="16.8" hidden="false" customHeight="false" outlineLevel="0" collapsed="false">
      <c r="A76" s="30" t="s">
        <v>11</v>
      </c>
      <c r="B76" s="94" t="n">
        <f aca="false">SUM(B63:B75)</f>
        <v>20600</v>
      </c>
      <c r="C76" s="94" t="n">
        <f aca="false">SUM(C63:C75)</f>
        <v>18470</v>
      </c>
      <c r="D76" s="94" t="n">
        <f aca="false">SUM(D63:D75)</f>
        <v>39070</v>
      </c>
      <c r="E76" s="94" t="n">
        <f aca="false">E63+E65</f>
        <v>0</v>
      </c>
      <c r="F76" s="89" t="n">
        <f aca="false">E76/D76</f>
        <v>0</v>
      </c>
    </row>
    <row r="77" customFormat="false" ht="16.8" hidden="false" customHeight="false" outlineLevel="0" collapsed="false">
      <c r="A77" s="55" t="s">
        <v>476</v>
      </c>
      <c r="B77" s="56"/>
      <c r="C77" s="56"/>
      <c r="D77" s="56"/>
      <c r="E77" s="100"/>
      <c r="F77" s="100"/>
    </row>
    <row r="78" customFormat="false" ht="16.8" hidden="false" customHeight="false" outlineLevel="0" collapsed="false">
      <c r="A78" s="13" t="s">
        <v>20</v>
      </c>
      <c r="B78" s="1"/>
      <c r="C78" s="1"/>
      <c r="D78" s="1"/>
      <c r="E78" s="1"/>
      <c r="F78" s="1"/>
    </row>
    <row r="79" customFormat="false" ht="16.8" hidden="false" customHeight="false" outlineLevel="0" collapsed="false">
      <c r="A79" s="17" t="s">
        <v>13</v>
      </c>
      <c r="B79" s="17" t="s">
        <v>21</v>
      </c>
      <c r="C79" s="18"/>
      <c r="D79" s="18"/>
      <c r="E79" s="18"/>
      <c r="F79" s="39"/>
    </row>
    <row r="80" customFormat="false" ht="21" hidden="false" customHeight="true" outlineLevel="0" collapsed="false">
      <c r="A80" s="49" t="s">
        <v>420</v>
      </c>
      <c r="B80" s="20" t="n">
        <v>24200</v>
      </c>
      <c r="C80" s="18"/>
      <c r="D80" s="18"/>
      <c r="E80" s="18"/>
      <c r="F80" s="39"/>
    </row>
    <row r="81" customFormat="false" ht="16.8" hidden="false" customHeight="false" outlineLevel="0" collapsed="false">
      <c r="A81" s="49" t="s">
        <v>466</v>
      </c>
      <c r="B81" s="20" t="n">
        <v>34640</v>
      </c>
      <c r="C81" s="18"/>
      <c r="D81" s="18"/>
      <c r="E81" s="18"/>
      <c r="F81" s="39"/>
    </row>
    <row r="82" customFormat="false" ht="16.8" hidden="false" customHeight="false" outlineLevel="0" collapsed="false">
      <c r="A82" s="49" t="s">
        <v>432</v>
      </c>
      <c r="B82" s="20"/>
      <c r="C82" s="18"/>
      <c r="D82" s="18"/>
      <c r="E82" s="18"/>
      <c r="F82" s="39"/>
    </row>
    <row r="83" customFormat="false" ht="16.8" hidden="false" customHeight="false" outlineLevel="0" collapsed="false">
      <c r="A83" s="49" t="s">
        <v>403</v>
      </c>
      <c r="B83" s="20"/>
      <c r="C83" s="18"/>
      <c r="D83" s="18"/>
      <c r="E83" s="18"/>
      <c r="F83" s="39"/>
    </row>
    <row r="84" customFormat="false" ht="16.8" hidden="false" customHeight="false" outlineLevel="0" collapsed="false">
      <c r="A84" s="49" t="s">
        <v>401</v>
      </c>
      <c r="B84" s="20"/>
      <c r="C84" s="18"/>
      <c r="D84" s="18"/>
      <c r="E84" s="18"/>
      <c r="F84" s="39"/>
    </row>
    <row r="85" customFormat="false" ht="16.8" hidden="false" customHeight="false" outlineLevel="0" collapsed="false">
      <c r="A85" s="49" t="s">
        <v>433</v>
      </c>
      <c r="B85" s="20" t="n">
        <v>6350</v>
      </c>
      <c r="C85" s="18"/>
      <c r="D85" s="18"/>
      <c r="E85" s="18"/>
      <c r="F85" s="39"/>
    </row>
    <row r="86" customFormat="false" ht="16.8" hidden="false" customHeight="false" outlineLevel="0" collapsed="false">
      <c r="A86" s="49" t="s">
        <v>434</v>
      </c>
      <c r="B86" s="20" t="n">
        <v>5000</v>
      </c>
      <c r="C86" s="18"/>
      <c r="D86" s="18"/>
      <c r="E86" s="18"/>
      <c r="F86" s="39"/>
    </row>
    <row r="87" customFormat="false" ht="16.8" hidden="false" customHeight="false" outlineLevel="0" collapsed="false">
      <c r="A87" s="49" t="s">
        <v>399</v>
      </c>
      <c r="B87" s="20" t="n">
        <v>3950</v>
      </c>
      <c r="C87" s="18"/>
      <c r="D87" s="18"/>
      <c r="E87" s="18"/>
      <c r="F87" s="39"/>
    </row>
    <row r="88" customFormat="false" ht="16.8" hidden="false" customHeight="false" outlineLevel="0" collapsed="false">
      <c r="A88" s="49" t="s">
        <v>435</v>
      </c>
      <c r="B88" s="20" t="n">
        <v>20180</v>
      </c>
      <c r="C88" s="18"/>
      <c r="D88" s="18"/>
      <c r="E88" s="18"/>
      <c r="F88" s="39"/>
    </row>
    <row r="89" customFormat="false" ht="16.8" hidden="false" customHeight="false" outlineLevel="0" collapsed="false">
      <c r="A89" s="49" t="s">
        <v>436</v>
      </c>
      <c r="B89" s="20" t="n">
        <v>4850</v>
      </c>
      <c r="C89" s="18"/>
      <c r="D89" s="18"/>
      <c r="E89" s="18"/>
      <c r="F89" s="39"/>
    </row>
    <row r="90" customFormat="false" ht="16.8" hidden="false" customHeight="false" outlineLevel="0" collapsed="false">
      <c r="A90" s="49" t="s">
        <v>398</v>
      </c>
      <c r="B90" s="20"/>
      <c r="C90" s="1"/>
      <c r="D90" s="1"/>
      <c r="E90" s="1"/>
      <c r="F90" s="26"/>
    </row>
    <row r="91" customFormat="false" ht="16.8" hidden="false" customHeight="false" outlineLevel="0" collapsed="false">
      <c r="A91" s="49" t="s">
        <v>384</v>
      </c>
      <c r="B91" s="20"/>
      <c r="C91" s="1"/>
      <c r="D91" s="1"/>
      <c r="E91" s="1"/>
      <c r="F91" s="26"/>
    </row>
    <row r="92" customFormat="false" ht="16.8" hidden="false" customHeight="false" outlineLevel="0" collapsed="false">
      <c r="A92" s="49" t="s">
        <v>390</v>
      </c>
      <c r="B92" s="20" t="n">
        <v>6900</v>
      </c>
      <c r="C92" s="1"/>
      <c r="D92" s="1"/>
      <c r="E92" s="1"/>
      <c r="F92" s="26"/>
    </row>
    <row r="93" customFormat="false" ht="16.8" hidden="false" customHeight="false" outlineLevel="0" collapsed="false">
      <c r="A93" s="25" t="s">
        <v>11</v>
      </c>
      <c r="B93" s="35" t="n">
        <f aca="false">SUM(B80:B92)</f>
        <v>106070</v>
      </c>
      <c r="C93" s="1"/>
      <c r="D93" s="45"/>
      <c r="E93" s="45"/>
      <c r="F93" s="26"/>
    </row>
    <row r="94" customFormat="false" ht="13.2" hidden="false" customHeight="false" outlineLevel="0" collapsed="false">
      <c r="A94" s="1"/>
      <c r="B94" s="1"/>
      <c r="C94" s="1"/>
      <c r="D94" s="1"/>
      <c r="E94" s="1"/>
      <c r="F94" s="39"/>
    </row>
    <row r="95" customFormat="false" ht="16.8" hidden="false" customHeight="false" outlineLevel="0" collapsed="false">
      <c r="A95" s="39"/>
      <c r="B95" s="39"/>
      <c r="C95" s="141"/>
      <c r="D95" s="140" t="s">
        <v>396</v>
      </c>
      <c r="E95" s="140"/>
      <c r="F95" s="140"/>
    </row>
    <row r="99" customFormat="false" ht="18.6" hidden="false" customHeight="true" outlineLevel="0" collapsed="false">
      <c r="A99" s="118" t="s">
        <v>525</v>
      </c>
      <c r="B99" s="118"/>
      <c r="C99" s="118"/>
      <c r="D99" s="118"/>
      <c r="E99" s="118"/>
      <c r="F99" s="118"/>
    </row>
    <row r="100" customFormat="false" ht="13.8" hidden="false" customHeight="true" outlineLevel="0" collapsed="false">
      <c r="A100" s="119" t="s">
        <v>2</v>
      </c>
      <c r="B100" s="119"/>
      <c r="C100" s="119"/>
      <c r="D100" s="119"/>
      <c r="E100" s="119"/>
      <c r="F100" s="119"/>
    </row>
    <row r="101" customFormat="false" ht="16.8" hidden="false" customHeight="false" outlineLevel="0" collapsed="false">
      <c r="A101" s="13" t="s">
        <v>3</v>
      </c>
      <c r="B101" s="14"/>
      <c r="C101" s="14"/>
      <c r="D101" s="46"/>
      <c r="E101" s="66" t="s">
        <v>4</v>
      </c>
      <c r="F101" s="66"/>
    </row>
    <row r="102" customFormat="false" ht="33.6" hidden="false" customHeight="false" outlineLevel="0" collapsed="false">
      <c r="A102" s="17" t="s">
        <v>5</v>
      </c>
      <c r="B102" s="17" t="s">
        <v>5</v>
      </c>
      <c r="C102" s="17" t="s">
        <v>526</v>
      </c>
      <c r="D102" s="17" t="s">
        <v>7</v>
      </c>
      <c r="E102" s="17" t="s">
        <v>8</v>
      </c>
      <c r="F102" s="150"/>
    </row>
    <row r="103" customFormat="false" ht="16.8" hidden="false" customHeight="false" outlineLevel="0" collapsed="false">
      <c r="A103" s="19" t="s">
        <v>9</v>
      </c>
      <c r="B103" s="20" t="n">
        <f aca="false">E55</f>
        <v>305</v>
      </c>
      <c r="D103" s="20"/>
      <c r="E103" s="47" t="n">
        <f aca="false">B103+C103-D103</f>
        <v>305</v>
      </c>
    </row>
    <row r="104" customFormat="false" ht="33.6" hidden="false" customHeight="false" outlineLevel="0" collapsed="false">
      <c r="A104" s="97" t="s">
        <v>159</v>
      </c>
      <c r="B104" s="20" t="n">
        <f aca="false">E56</f>
        <v>79450</v>
      </c>
      <c r="C104" s="20" t="n">
        <v>15815</v>
      </c>
      <c r="D104" s="20"/>
      <c r="E104" s="47" t="n">
        <f aca="false">B104+C104-D104</f>
        <v>95265</v>
      </c>
    </row>
    <row r="105" customFormat="false" ht="33.6" hidden="false" customHeight="false" outlineLevel="0" collapsed="false">
      <c r="A105" s="97" t="s">
        <v>414</v>
      </c>
      <c r="B105" s="20" t="n">
        <f aca="false">E57</f>
        <v>0</v>
      </c>
      <c r="C105" s="20"/>
      <c r="D105" s="20"/>
      <c r="E105" s="47" t="n">
        <f aca="false">B105+C105-D105</f>
        <v>0</v>
      </c>
    </row>
    <row r="106" customFormat="false" ht="33.6" hidden="false" customHeight="false" outlineLevel="0" collapsed="false">
      <c r="A106" s="97" t="s">
        <v>202</v>
      </c>
      <c r="B106" s="20" t="n">
        <f aca="false">E58</f>
        <v>305</v>
      </c>
      <c r="C106" s="20"/>
      <c r="D106" s="20"/>
      <c r="E106" s="47" t="n">
        <f aca="false">B106+C106-D106</f>
        <v>305</v>
      </c>
    </row>
    <row r="107" customFormat="false" ht="16.8" hidden="false" customHeight="false" outlineLevel="0" collapsed="false">
      <c r="A107" s="19" t="s">
        <v>10</v>
      </c>
      <c r="B107" s="20" t="n">
        <f aca="false">E59</f>
        <v>39437</v>
      </c>
      <c r="C107" s="20" t="n">
        <v>3466</v>
      </c>
      <c r="D107" s="20"/>
      <c r="E107" s="47" t="n">
        <f aca="false">B107+C107-D107</f>
        <v>42903</v>
      </c>
    </row>
    <row r="108" customFormat="false" ht="16.8" hidden="false" customHeight="false" outlineLevel="0" collapsed="false">
      <c r="A108" s="21" t="s">
        <v>11</v>
      </c>
      <c r="B108" s="22" t="n">
        <f aca="false">SUM(B103:B107)</f>
        <v>119497</v>
      </c>
      <c r="C108" s="22" t="n">
        <f aca="false">SUM(C104:C107)</f>
        <v>19281</v>
      </c>
      <c r="D108" s="22" t="n">
        <f aca="false">SUM(D103:D107)</f>
        <v>0</v>
      </c>
      <c r="E108" s="22" t="n">
        <f aca="false">SUM(E103:E107)</f>
        <v>138778</v>
      </c>
    </row>
    <row r="109" customFormat="false" ht="16.8" hidden="false" customHeight="false" outlineLevel="0" collapsed="false">
      <c r="A109" s="13" t="s">
        <v>12</v>
      </c>
      <c r="B109" s="13"/>
      <c r="C109" s="13"/>
      <c r="D109" s="13"/>
      <c r="E109" s="13"/>
      <c r="F109" s="13"/>
    </row>
    <row r="110" customFormat="false" ht="33.6" hidden="false" customHeight="false" outlineLevel="0" collapsed="false">
      <c r="A110" s="25" t="s">
        <v>13</v>
      </c>
      <c r="B110" s="17" t="s">
        <v>527</v>
      </c>
      <c r="C110" s="17" t="s">
        <v>528</v>
      </c>
      <c r="D110" s="120" t="s">
        <v>418</v>
      </c>
      <c r="E110" s="143" t="s">
        <v>419</v>
      </c>
      <c r="F110" s="120" t="s">
        <v>16</v>
      </c>
    </row>
    <row r="111" customFormat="false" ht="33.6" hidden="false" customHeight="false" outlineLevel="0" collapsed="false">
      <c r="A111" s="49" t="s">
        <v>49</v>
      </c>
      <c r="B111" s="20" t="n">
        <f aca="false">B63+C63</f>
        <v>14150</v>
      </c>
      <c r="C111" s="20" t="n">
        <v>4150</v>
      </c>
      <c r="D111" s="34" t="n">
        <f aca="false">C111+C112+B111+B112</f>
        <v>36265</v>
      </c>
      <c r="E111" s="144" t="n">
        <f aca="false">D103+D104</f>
        <v>0</v>
      </c>
      <c r="F111" s="145" t="n">
        <f aca="false">E111/D111</f>
        <v>0</v>
      </c>
    </row>
    <row r="112" customFormat="false" ht="16.8" hidden="false" customHeight="false" outlineLevel="0" collapsed="false">
      <c r="A112" s="49" t="s">
        <v>466</v>
      </c>
      <c r="B112" s="20" t="n">
        <f aca="false">B64+C64</f>
        <v>14770</v>
      </c>
      <c r="C112" s="20" t="n">
        <v>3195</v>
      </c>
      <c r="D112" s="34"/>
      <c r="E112" s="146"/>
      <c r="F112" s="147"/>
    </row>
    <row r="113" customFormat="false" ht="16.8" hidden="false" customHeight="false" outlineLevel="0" collapsed="false">
      <c r="A113" s="49" t="s">
        <v>432</v>
      </c>
      <c r="B113" s="20" t="n">
        <f aca="false">B65+C65</f>
        <v>0</v>
      </c>
      <c r="C113" s="20"/>
      <c r="D113" s="34" t="n">
        <f aca="false">SUM(B113:C123)</f>
        <v>13050</v>
      </c>
      <c r="E113" s="34" t="n">
        <f aca="false">D106+D107</f>
        <v>0</v>
      </c>
      <c r="F113" s="122" t="n">
        <f aca="false">E113/D113</f>
        <v>0</v>
      </c>
    </row>
    <row r="114" customFormat="false" ht="16.8" hidden="false" customHeight="false" outlineLevel="0" collapsed="false">
      <c r="A114" s="49" t="s">
        <v>403</v>
      </c>
      <c r="B114" s="20" t="n">
        <f aca="false">B66+C66</f>
        <v>0</v>
      </c>
      <c r="C114" s="20"/>
      <c r="D114" s="34"/>
      <c r="E114" s="34"/>
      <c r="F114" s="122"/>
    </row>
    <row r="115" customFormat="false" ht="16.8" hidden="false" customHeight="false" outlineLevel="0" collapsed="false">
      <c r="A115" s="49" t="s">
        <v>401</v>
      </c>
      <c r="B115" s="20" t="n">
        <f aca="false">B67+C67</f>
        <v>0</v>
      </c>
      <c r="C115" s="20"/>
      <c r="D115" s="34"/>
      <c r="E115" s="34"/>
      <c r="F115" s="122"/>
    </row>
    <row r="116" customFormat="false" ht="16.8" hidden="false" customHeight="false" outlineLevel="0" collapsed="false">
      <c r="A116" s="49" t="s">
        <v>433</v>
      </c>
      <c r="B116" s="20" t="n">
        <f aca="false">B68+C68</f>
        <v>0</v>
      </c>
      <c r="C116" s="20"/>
      <c r="D116" s="34"/>
      <c r="E116" s="34"/>
      <c r="F116" s="122"/>
    </row>
    <row r="117" customFormat="false" ht="16.8" hidden="false" customHeight="false" outlineLevel="0" collapsed="false">
      <c r="A117" s="49" t="s">
        <v>434</v>
      </c>
      <c r="B117" s="20" t="n">
        <f aca="false">B69+C69</f>
        <v>0</v>
      </c>
      <c r="C117" s="20"/>
      <c r="D117" s="34"/>
      <c r="E117" s="34"/>
      <c r="F117" s="122"/>
    </row>
    <row r="118" customFormat="false" ht="16.8" hidden="false" customHeight="false" outlineLevel="0" collapsed="false">
      <c r="A118" s="49" t="s">
        <v>399</v>
      </c>
      <c r="B118" s="20" t="n">
        <f aca="false">B70+C70</f>
        <v>3950</v>
      </c>
      <c r="C118" s="20"/>
      <c r="D118" s="34"/>
      <c r="E118" s="34"/>
      <c r="F118" s="122"/>
    </row>
    <row r="119" customFormat="false" ht="16.8" hidden="false" customHeight="false" outlineLevel="0" collapsed="false">
      <c r="A119" s="49" t="s">
        <v>435</v>
      </c>
      <c r="B119" s="20" t="n">
        <f aca="false">B71+C71</f>
        <v>0</v>
      </c>
      <c r="C119" s="20"/>
      <c r="D119" s="34"/>
      <c r="E119" s="34"/>
      <c r="F119" s="122"/>
    </row>
    <row r="120" customFormat="false" ht="16.8" hidden="false" customHeight="false" outlineLevel="0" collapsed="false">
      <c r="A120" s="49" t="s">
        <v>436</v>
      </c>
      <c r="B120" s="20" t="n">
        <f aca="false">B72+C72</f>
        <v>6200</v>
      </c>
      <c r="C120" s="20" t="n">
        <v>2900</v>
      </c>
      <c r="D120" s="34"/>
      <c r="E120" s="34"/>
      <c r="F120" s="122"/>
    </row>
    <row r="121" customFormat="false" ht="16.8" hidden="false" customHeight="false" outlineLevel="0" collapsed="false">
      <c r="A121" s="49" t="s">
        <v>398</v>
      </c>
      <c r="B121" s="20" t="n">
        <f aca="false">B73+C73</f>
        <v>0</v>
      </c>
      <c r="C121" s="20"/>
      <c r="D121" s="34"/>
      <c r="E121" s="34"/>
      <c r="F121" s="122"/>
    </row>
    <row r="122" customFormat="false" ht="16.8" hidden="false" customHeight="false" outlineLevel="0" collapsed="false">
      <c r="A122" s="49" t="s">
        <v>384</v>
      </c>
      <c r="B122" s="20" t="n">
        <f aca="false">B74+C74</f>
        <v>0</v>
      </c>
      <c r="C122" s="20"/>
      <c r="D122" s="34"/>
      <c r="E122" s="34"/>
      <c r="F122" s="122"/>
    </row>
    <row r="123" customFormat="false" ht="16.8" hidden="false" customHeight="false" outlineLevel="0" collapsed="false">
      <c r="A123" s="49" t="s">
        <v>390</v>
      </c>
      <c r="B123" s="20" t="n">
        <f aca="false">B75+C75</f>
        <v>0</v>
      </c>
      <c r="C123" s="20"/>
      <c r="D123" s="34"/>
      <c r="E123" s="34"/>
      <c r="F123" s="122"/>
    </row>
    <row r="124" customFormat="false" ht="16.8" hidden="false" customHeight="false" outlineLevel="0" collapsed="false">
      <c r="A124" s="30" t="s">
        <v>11</v>
      </c>
      <c r="B124" s="94" t="n">
        <f aca="false">SUM(B111:B123)</f>
        <v>39070</v>
      </c>
      <c r="C124" s="94" t="n">
        <f aca="false">SUM(C111:C123)</f>
        <v>10245</v>
      </c>
      <c r="D124" s="94" t="n">
        <f aca="false">SUM(D111:D123)</f>
        <v>49315</v>
      </c>
      <c r="E124" s="94" t="n">
        <f aca="false">E111+E113</f>
        <v>0</v>
      </c>
      <c r="F124" s="89" t="n">
        <f aca="false">E124/D124</f>
        <v>0</v>
      </c>
    </row>
    <row r="125" customFormat="false" ht="16.8" hidden="false" customHeight="false" outlineLevel="0" collapsed="false">
      <c r="A125" s="55" t="s">
        <v>476</v>
      </c>
      <c r="B125" s="56"/>
      <c r="C125" s="56"/>
      <c r="D125" s="56"/>
      <c r="E125" s="100"/>
      <c r="F125" s="100"/>
    </row>
    <row r="126" customFormat="false" ht="16.8" hidden="false" customHeight="false" outlineLevel="0" collapsed="false">
      <c r="A126" s="13" t="s">
        <v>20</v>
      </c>
      <c r="B126" s="1"/>
      <c r="C126" s="1"/>
      <c r="D126" s="1"/>
      <c r="E126" s="1"/>
      <c r="F126" s="1"/>
    </row>
    <row r="127" customFormat="false" ht="16.8" hidden="false" customHeight="false" outlineLevel="0" collapsed="false">
      <c r="A127" s="17" t="s">
        <v>13</v>
      </c>
      <c r="B127" s="17" t="s">
        <v>21</v>
      </c>
      <c r="C127" s="18"/>
      <c r="D127" s="18"/>
      <c r="E127" s="18"/>
      <c r="F127" s="39"/>
    </row>
    <row r="128" customFormat="false" ht="21.75" hidden="false" customHeight="true" outlineLevel="0" collapsed="false">
      <c r="A128" s="49" t="s">
        <v>420</v>
      </c>
      <c r="B128" s="20" t="n">
        <v>25400</v>
      </c>
      <c r="C128" s="18"/>
      <c r="D128" s="18"/>
      <c r="E128" s="18"/>
      <c r="F128" s="39"/>
    </row>
    <row r="129" customFormat="false" ht="16.8" hidden="false" customHeight="false" outlineLevel="0" collapsed="false">
      <c r="A129" s="49" t="s">
        <v>466</v>
      </c>
      <c r="B129" s="20" t="n">
        <v>12615</v>
      </c>
      <c r="C129" s="18"/>
      <c r="D129" s="18"/>
      <c r="E129" s="18"/>
      <c r="F129" s="39"/>
    </row>
    <row r="130" customFormat="false" ht="16.8" hidden="false" customHeight="false" outlineLevel="0" collapsed="false">
      <c r="A130" s="49" t="s">
        <v>432</v>
      </c>
      <c r="B130" s="20"/>
      <c r="C130" s="18"/>
      <c r="D130" s="18"/>
      <c r="E130" s="18"/>
      <c r="F130" s="39"/>
    </row>
    <row r="131" customFormat="false" ht="16.8" hidden="false" customHeight="false" outlineLevel="0" collapsed="false">
      <c r="A131" s="49" t="s">
        <v>403</v>
      </c>
      <c r="B131" s="20"/>
      <c r="C131" s="18"/>
      <c r="D131" s="18"/>
      <c r="E131" s="18"/>
      <c r="F131" s="39"/>
    </row>
    <row r="132" customFormat="false" ht="16.8" hidden="false" customHeight="false" outlineLevel="0" collapsed="false">
      <c r="A132" s="49" t="s">
        <v>401</v>
      </c>
      <c r="B132" s="20"/>
      <c r="C132" s="18"/>
      <c r="D132" s="18"/>
      <c r="E132" s="18"/>
      <c r="F132" s="39"/>
    </row>
    <row r="133" customFormat="false" ht="16.8" hidden="false" customHeight="false" outlineLevel="0" collapsed="false">
      <c r="A133" s="49" t="s">
        <v>433</v>
      </c>
      <c r="B133" s="20" t="n">
        <v>2900</v>
      </c>
      <c r="C133" s="18"/>
      <c r="D133" s="18"/>
      <c r="E133" s="18"/>
      <c r="F133" s="39"/>
    </row>
    <row r="134" customFormat="false" ht="16.8" hidden="false" customHeight="false" outlineLevel="0" collapsed="false">
      <c r="A134" s="49" t="s">
        <v>434</v>
      </c>
      <c r="B134" s="20"/>
      <c r="C134" s="18"/>
      <c r="D134" s="18"/>
      <c r="E134" s="18"/>
      <c r="F134" s="39"/>
    </row>
    <row r="135" customFormat="false" ht="16.8" hidden="false" customHeight="false" outlineLevel="0" collapsed="false">
      <c r="A135" s="49" t="s">
        <v>399</v>
      </c>
      <c r="B135" s="20"/>
      <c r="C135" s="18"/>
      <c r="D135" s="18"/>
      <c r="E135" s="18"/>
      <c r="F135" s="39"/>
    </row>
    <row r="136" customFormat="false" ht="16.8" hidden="false" customHeight="false" outlineLevel="0" collapsed="false">
      <c r="A136" s="49" t="s">
        <v>435</v>
      </c>
      <c r="B136" s="20" t="n">
        <v>850</v>
      </c>
      <c r="C136" s="18"/>
      <c r="D136" s="18"/>
      <c r="E136" s="18"/>
      <c r="F136" s="39"/>
    </row>
    <row r="137" customFormat="false" ht="16.8" hidden="false" customHeight="false" outlineLevel="0" collapsed="false">
      <c r="A137" s="49" t="s">
        <v>436</v>
      </c>
      <c r="B137" s="20" t="n">
        <v>1200</v>
      </c>
      <c r="C137" s="18"/>
      <c r="D137" s="18"/>
      <c r="E137" s="18"/>
      <c r="F137" s="39"/>
    </row>
    <row r="138" customFormat="false" ht="16.8" hidden="false" customHeight="false" outlineLevel="0" collapsed="false">
      <c r="A138" s="49" t="s">
        <v>398</v>
      </c>
      <c r="B138" s="20"/>
      <c r="C138" s="1"/>
      <c r="D138" s="1"/>
      <c r="E138" s="1"/>
      <c r="F138" s="26"/>
    </row>
    <row r="139" customFormat="false" ht="16.8" hidden="false" customHeight="false" outlineLevel="0" collapsed="false">
      <c r="A139" s="49" t="s">
        <v>384</v>
      </c>
      <c r="B139" s="20"/>
      <c r="C139" s="1"/>
      <c r="D139" s="1"/>
      <c r="E139" s="1"/>
      <c r="F139" s="26"/>
    </row>
    <row r="140" customFormat="false" ht="16.8" hidden="false" customHeight="false" outlineLevel="0" collapsed="false">
      <c r="A140" s="49" t="s">
        <v>390</v>
      </c>
      <c r="B140" s="20"/>
      <c r="C140" s="1"/>
      <c r="D140" s="1"/>
      <c r="E140" s="1"/>
      <c r="F140" s="26"/>
    </row>
    <row r="141" customFormat="false" ht="16.8" hidden="false" customHeight="false" outlineLevel="0" collapsed="false">
      <c r="A141" s="25" t="s">
        <v>11</v>
      </c>
      <c r="B141" s="35" t="n">
        <f aca="false">SUM(B128:B140)</f>
        <v>42965</v>
      </c>
      <c r="C141" s="1"/>
      <c r="D141" s="45"/>
      <c r="E141" s="45"/>
      <c r="F141" s="26"/>
    </row>
    <row r="142" customFormat="false" ht="13.2" hidden="false" customHeight="false" outlineLevel="0" collapsed="false">
      <c r="A142" s="1"/>
      <c r="B142" s="1"/>
      <c r="C142" s="1"/>
      <c r="D142" s="1"/>
      <c r="E142" s="1"/>
      <c r="F142" s="39"/>
    </row>
    <row r="143" customFormat="false" ht="16.8" hidden="false" customHeight="false" outlineLevel="0" collapsed="false">
      <c r="A143" s="39"/>
      <c r="B143" s="39"/>
      <c r="C143" s="141"/>
      <c r="D143" s="140" t="s">
        <v>396</v>
      </c>
      <c r="E143" s="140"/>
      <c r="F143" s="140"/>
    </row>
    <row r="148" customFormat="false" ht="18.6" hidden="false" customHeight="true" outlineLevel="0" collapsed="false">
      <c r="A148" s="118" t="s">
        <v>529</v>
      </c>
      <c r="B148" s="118"/>
      <c r="C148" s="118"/>
      <c r="D148" s="118"/>
      <c r="E148" s="118"/>
      <c r="F148" s="118"/>
    </row>
    <row r="149" customFormat="false" ht="13.8" hidden="false" customHeight="true" outlineLevel="0" collapsed="false">
      <c r="A149" s="119" t="s">
        <v>2</v>
      </c>
      <c r="B149" s="119"/>
      <c r="C149" s="119"/>
      <c r="D149" s="119"/>
      <c r="E149" s="119"/>
      <c r="F149" s="119"/>
    </row>
    <row r="150" customFormat="false" ht="16.8" hidden="false" customHeight="false" outlineLevel="0" collapsed="false">
      <c r="A150" s="13" t="s">
        <v>3</v>
      </c>
      <c r="B150" s="14"/>
      <c r="C150" s="14"/>
      <c r="D150" s="46"/>
      <c r="E150" s="66" t="s">
        <v>4</v>
      </c>
      <c r="F150" s="66"/>
    </row>
    <row r="151" customFormat="false" ht="33.6" hidden="false" customHeight="false" outlineLevel="0" collapsed="false">
      <c r="A151" s="17" t="s">
        <v>5</v>
      </c>
      <c r="B151" s="17" t="s">
        <v>5</v>
      </c>
      <c r="C151" s="17" t="s">
        <v>530</v>
      </c>
      <c r="D151" s="17" t="s">
        <v>7</v>
      </c>
      <c r="E151" s="17" t="s">
        <v>8</v>
      </c>
      <c r="F151" s="150"/>
    </row>
    <row r="152" customFormat="false" ht="16.8" hidden="false" customHeight="false" outlineLevel="0" collapsed="false">
      <c r="A152" s="19" t="s">
        <v>9</v>
      </c>
      <c r="B152" s="20" t="n">
        <f aca="false">E103</f>
        <v>305</v>
      </c>
      <c r="C152" s="0" t="n">
        <v>220</v>
      </c>
      <c r="D152" s="20"/>
      <c r="E152" s="47" t="n">
        <f aca="false">B152+C152-D152</f>
        <v>525</v>
      </c>
    </row>
    <row r="153" customFormat="false" ht="33.6" hidden="false" customHeight="false" outlineLevel="0" collapsed="false">
      <c r="A153" s="97" t="s">
        <v>159</v>
      </c>
      <c r="B153" s="20" t="n">
        <f aca="false">E104</f>
        <v>95265</v>
      </c>
      <c r="C153" s="20" t="n">
        <v>6405</v>
      </c>
      <c r="D153" s="20"/>
      <c r="E153" s="47" t="n">
        <f aca="false">B153+C153-D153</f>
        <v>101670</v>
      </c>
    </row>
    <row r="154" customFormat="false" ht="33.6" hidden="false" customHeight="false" outlineLevel="0" collapsed="false">
      <c r="A154" s="97" t="s">
        <v>414</v>
      </c>
      <c r="B154" s="20" t="n">
        <f aca="false">E105</f>
        <v>0</v>
      </c>
      <c r="C154" s="20"/>
      <c r="D154" s="20"/>
      <c r="E154" s="47" t="n">
        <f aca="false">B154+C154-D154</f>
        <v>0</v>
      </c>
    </row>
    <row r="155" customFormat="false" ht="33.6" hidden="false" customHeight="false" outlineLevel="0" collapsed="false">
      <c r="A155" s="97" t="s">
        <v>202</v>
      </c>
      <c r="B155" s="20" t="n">
        <f aca="false">E106</f>
        <v>305</v>
      </c>
      <c r="C155" s="20"/>
      <c r="D155" s="20" t="n">
        <v>305</v>
      </c>
      <c r="E155" s="47" t="n">
        <f aca="false">B155+C155-D155</f>
        <v>0</v>
      </c>
    </row>
    <row r="156" customFormat="false" ht="16.8" hidden="false" customHeight="false" outlineLevel="0" collapsed="false">
      <c r="A156" s="19" t="s">
        <v>10</v>
      </c>
      <c r="B156" s="20" t="n">
        <f aca="false">E107</f>
        <v>42903</v>
      </c>
      <c r="C156" s="20" t="n">
        <f aca="false">29823-C152</f>
        <v>29603</v>
      </c>
      <c r="D156" s="20" t="n">
        <v>72506</v>
      </c>
      <c r="E156" s="47" t="n">
        <f aca="false">B156+C156-D156</f>
        <v>0</v>
      </c>
    </row>
    <row r="157" customFormat="false" ht="16.8" hidden="false" customHeight="false" outlineLevel="0" collapsed="false">
      <c r="A157" s="21" t="s">
        <v>11</v>
      </c>
      <c r="B157" s="22" t="n">
        <f aca="false">SUM(B152:B156)</f>
        <v>138778</v>
      </c>
      <c r="C157" s="22" t="n">
        <f aca="false">SUM(C153:C156)</f>
        <v>36008</v>
      </c>
      <c r="D157" s="22" t="n">
        <f aca="false">SUM(D152:D156)</f>
        <v>72811</v>
      </c>
      <c r="E157" s="22" t="n">
        <f aca="false">SUM(E152:E156)</f>
        <v>102195</v>
      </c>
    </row>
    <row r="158" customFormat="false" ht="16.8" hidden="false" customHeight="false" outlineLevel="0" collapsed="false">
      <c r="A158" s="13" t="s">
        <v>12</v>
      </c>
      <c r="B158" s="13"/>
      <c r="C158" s="13"/>
      <c r="D158" s="13"/>
      <c r="E158" s="13"/>
      <c r="F158" s="13"/>
    </row>
    <row r="159" customFormat="false" ht="33.6" hidden="false" customHeight="false" outlineLevel="0" collapsed="false">
      <c r="A159" s="25" t="s">
        <v>13</v>
      </c>
      <c r="B159" s="17" t="s">
        <v>531</v>
      </c>
      <c r="C159" s="17" t="s">
        <v>532</v>
      </c>
      <c r="D159" s="120" t="s">
        <v>418</v>
      </c>
      <c r="E159" s="143" t="s">
        <v>419</v>
      </c>
      <c r="F159" s="120" t="s">
        <v>16</v>
      </c>
    </row>
    <row r="160" customFormat="false" ht="33.6" hidden="false" customHeight="false" outlineLevel="0" collapsed="false">
      <c r="A160" s="49" t="s">
        <v>49</v>
      </c>
      <c r="B160" s="20" t="n">
        <f aca="false">B111+C111</f>
        <v>18300</v>
      </c>
      <c r="C160" s="20" t="n">
        <v>3350</v>
      </c>
      <c r="D160" s="34" t="n">
        <f aca="false">C160+C161+B160+B161</f>
        <v>40415</v>
      </c>
      <c r="E160" s="34" t="n">
        <f aca="false">D152+D153</f>
        <v>0</v>
      </c>
      <c r="F160" s="145" t="n">
        <f aca="false">E160/D160</f>
        <v>0</v>
      </c>
    </row>
    <row r="161" customFormat="false" ht="16.8" hidden="false" customHeight="false" outlineLevel="0" collapsed="false">
      <c r="A161" s="49" t="s">
        <v>466</v>
      </c>
      <c r="B161" s="20" t="n">
        <f aca="false">B112+C112</f>
        <v>17965</v>
      </c>
      <c r="C161" s="20" t="n">
        <v>800</v>
      </c>
      <c r="D161" s="34"/>
      <c r="E161" s="34"/>
      <c r="F161" s="147"/>
    </row>
    <row r="162" customFormat="false" ht="16.8" hidden="false" customHeight="false" outlineLevel="0" collapsed="false">
      <c r="A162" s="49" t="s">
        <v>432</v>
      </c>
      <c r="B162" s="20" t="n">
        <f aca="false">B113+C113</f>
        <v>0</v>
      </c>
      <c r="C162" s="20"/>
      <c r="D162" s="34" t="n">
        <f aca="false">SUM(B162:C172)</f>
        <v>20750</v>
      </c>
      <c r="E162" s="34" t="n">
        <f aca="false">D155+D156</f>
        <v>72811</v>
      </c>
      <c r="F162" s="122" t="n">
        <f aca="false">E162/D162</f>
        <v>3.50896385542169</v>
      </c>
    </row>
    <row r="163" customFormat="false" ht="16.8" hidden="false" customHeight="false" outlineLevel="0" collapsed="false">
      <c r="A163" s="49" t="s">
        <v>403</v>
      </c>
      <c r="B163" s="20" t="n">
        <f aca="false">B114+C114</f>
        <v>0</v>
      </c>
      <c r="C163" s="20"/>
      <c r="D163" s="34"/>
      <c r="E163" s="34"/>
      <c r="F163" s="122"/>
    </row>
    <row r="164" customFormat="false" ht="16.8" hidden="false" customHeight="false" outlineLevel="0" collapsed="false">
      <c r="A164" s="49" t="s">
        <v>401</v>
      </c>
      <c r="B164" s="20" t="n">
        <f aca="false">B115+C115</f>
        <v>0</v>
      </c>
      <c r="C164" s="20"/>
      <c r="D164" s="34"/>
      <c r="E164" s="34"/>
      <c r="F164" s="122"/>
    </row>
    <row r="165" customFormat="false" ht="16.8" hidden="false" customHeight="false" outlineLevel="0" collapsed="false">
      <c r="A165" s="49" t="s">
        <v>433</v>
      </c>
      <c r="B165" s="20" t="n">
        <f aca="false">B116+C116</f>
        <v>0</v>
      </c>
      <c r="C165" s="20" t="n">
        <v>7700</v>
      </c>
      <c r="D165" s="34"/>
      <c r="E165" s="34"/>
      <c r="F165" s="122"/>
    </row>
    <row r="166" customFormat="false" ht="16.8" hidden="false" customHeight="false" outlineLevel="0" collapsed="false">
      <c r="A166" s="49" t="s">
        <v>434</v>
      </c>
      <c r="B166" s="20" t="n">
        <f aca="false">B117+C117</f>
        <v>0</v>
      </c>
      <c r="C166" s="20"/>
      <c r="D166" s="34"/>
      <c r="E166" s="34"/>
      <c r="F166" s="122"/>
    </row>
    <row r="167" customFormat="false" ht="16.8" hidden="false" customHeight="false" outlineLevel="0" collapsed="false">
      <c r="A167" s="49" t="s">
        <v>399</v>
      </c>
      <c r="B167" s="20" t="n">
        <f aca="false">B118+C118</f>
        <v>3950</v>
      </c>
      <c r="C167" s="20"/>
      <c r="D167" s="34"/>
      <c r="E167" s="34"/>
      <c r="F167" s="122"/>
    </row>
    <row r="168" customFormat="false" ht="16.8" hidden="false" customHeight="false" outlineLevel="0" collapsed="false">
      <c r="A168" s="49" t="s">
        <v>435</v>
      </c>
      <c r="B168" s="20" t="n">
        <f aca="false">B119+C119</f>
        <v>0</v>
      </c>
      <c r="C168" s="20"/>
      <c r="D168" s="34"/>
      <c r="E168" s="34"/>
      <c r="F168" s="122"/>
    </row>
    <row r="169" customFormat="false" ht="16.8" hidden="false" customHeight="false" outlineLevel="0" collapsed="false">
      <c r="A169" s="49" t="s">
        <v>436</v>
      </c>
      <c r="B169" s="20" t="n">
        <f aca="false">B120+C120</f>
        <v>9100</v>
      </c>
      <c r="C169" s="20"/>
      <c r="D169" s="34"/>
      <c r="E169" s="34"/>
      <c r="F169" s="122"/>
    </row>
    <row r="170" customFormat="false" ht="16.8" hidden="false" customHeight="false" outlineLevel="0" collapsed="false">
      <c r="A170" s="49" t="s">
        <v>398</v>
      </c>
      <c r="B170" s="20" t="n">
        <f aca="false">B121+C121</f>
        <v>0</v>
      </c>
      <c r="C170" s="20"/>
      <c r="D170" s="34"/>
      <c r="E170" s="34"/>
      <c r="F170" s="122"/>
    </row>
    <row r="171" customFormat="false" ht="16.8" hidden="false" customHeight="false" outlineLevel="0" collapsed="false">
      <c r="A171" s="49" t="s">
        <v>384</v>
      </c>
      <c r="B171" s="20" t="n">
        <f aca="false">B122+C122</f>
        <v>0</v>
      </c>
      <c r="C171" s="20"/>
      <c r="D171" s="34"/>
      <c r="E171" s="34"/>
      <c r="F171" s="122"/>
    </row>
    <row r="172" customFormat="false" ht="16.8" hidden="false" customHeight="false" outlineLevel="0" collapsed="false">
      <c r="A172" s="49" t="s">
        <v>390</v>
      </c>
      <c r="B172" s="20" t="n">
        <f aca="false">B123+C123</f>
        <v>0</v>
      </c>
      <c r="C172" s="20"/>
      <c r="D172" s="34"/>
      <c r="E172" s="34"/>
      <c r="F172" s="122"/>
    </row>
    <row r="173" customFormat="false" ht="16.8" hidden="false" customHeight="false" outlineLevel="0" collapsed="false">
      <c r="A173" s="30" t="s">
        <v>11</v>
      </c>
      <c r="B173" s="94" t="n">
        <f aca="false">SUM(B160:B172)</f>
        <v>49315</v>
      </c>
      <c r="C173" s="94" t="n">
        <f aca="false">SUM(C160:C172)</f>
        <v>11850</v>
      </c>
      <c r="D173" s="94" t="n">
        <f aca="false">SUM(D160:D172)</f>
        <v>61165</v>
      </c>
      <c r="E173" s="94" t="n">
        <f aca="false">E160+E162</f>
        <v>72811</v>
      </c>
      <c r="F173" s="89" t="n">
        <f aca="false">E173/D173</f>
        <v>1.19040300825636</v>
      </c>
    </row>
    <row r="174" customFormat="false" ht="16.8" hidden="false" customHeight="false" outlineLevel="0" collapsed="false">
      <c r="A174" s="55" t="s">
        <v>476</v>
      </c>
      <c r="B174" s="56"/>
      <c r="C174" s="56"/>
      <c r="D174" s="56"/>
      <c r="E174" s="100"/>
      <c r="F174" s="100"/>
    </row>
    <row r="175" customFormat="false" ht="16.8" hidden="false" customHeight="false" outlineLevel="0" collapsed="false">
      <c r="A175" s="13" t="s">
        <v>20</v>
      </c>
      <c r="B175" s="1"/>
      <c r="C175" s="1"/>
      <c r="D175" s="1"/>
      <c r="E175" s="1"/>
      <c r="F175" s="1"/>
    </row>
    <row r="176" customFormat="false" ht="16.8" hidden="false" customHeight="false" outlineLevel="0" collapsed="false">
      <c r="A176" s="17" t="s">
        <v>13</v>
      </c>
      <c r="B176" s="17" t="s">
        <v>21</v>
      </c>
      <c r="C176" s="18"/>
      <c r="D176" s="18"/>
      <c r="E176" s="18"/>
      <c r="F176" s="39"/>
    </row>
    <row r="177" customFormat="false" ht="33.6" hidden="false" customHeight="false" outlineLevel="0" collapsed="false">
      <c r="A177" s="49" t="s">
        <v>420</v>
      </c>
      <c r="B177" s="20" t="n">
        <v>25750</v>
      </c>
      <c r="C177" s="18"/>
      <c r="D177" s="18"/>
      <c r="E177" s="18"/>
      <c r="F177" s="39"/>
    </row>
    <row r="178" customFormat="false" ht="16.8" hidden="false" customHeight="false" outlineLevel="0" collapsed="false">
      <c r="A178" s="49" t="s">
        <v>466</v>
      </c>
      <c r="B178" s="20" t="n">
        <v>13415</v>
      </c>
      <c r="C178" s="18"/>
      <c r="D178" s="18"/>
      <c r="E178" s="18"/>
      <c r="F178" s="39"/>
    </row>
    <row r="179" customFormat="false" ht="16.8" hidden="false" customHeight="false" outlineLevel="0" collapsed="false">
      <c r="A179" s="49" t="s">
        <v>432</v>
      </c>
      <c r="B179" s="20"/>
      <c r="C179" s="18"/>
      <c r="D179" s="18"/>
      <c r="E179" s="18"/>
      <c r="F179" s="39"/>
    </row>
    <row r="180" customFormat="false" ht="16.8" hidden="false" customHeight="false" outlineLevel="0" collapsed="false">
      <c r="A180" s="49" t="s">
        <v>403</v>
      </c>
      <c r="B180" s="20"/>
      <c r="C180" s="18"/>
      <c r="D180" s="18"/>
      <c r="E180" s="18"/>
      <c r="F180" s="39"/>
    </row>
    <row r="181" customFormat="false" ht="16.8" hidden="false" customHeight="false" outlineLevel="0" collapsed="false">
      <c r="A181" s="49" t="s">
        <v>401</v>
      </c>
      <c r="B181" s="20"/>
      <c r="C181" s="18"/>
      <c r="D181" s="18"/>
      <c r="E181" s="18"/>
      <c r="F181" s="39"/>
    </row>
    <row r="182" customFormat="false" ht="16.8" hidden="false" customHeight="false" outlineLevel="0" collapsed="false">
      <c r="A182" s="49" t="s">
        <v>433</v>
      </c>
      <c r="B182" s="20" t="n">
        <v>10600</v>
      </c>
      <c r="C182" s="18"/>
      <c r="D182" s="18"/>
      <c r="E182" s="18"/>
      <c r="F182" s="39"/>
    </row>
    <row r="183" customFormat="false" ht="16.8" hidden="false" customHeight="false" outlineLevel="0" collapsed="false">
      <c r="A183" s="49" t="s">
        <v>434</v>
      </c>
      <c r="B183" s="20"/>
      <c r="C183" s="18"/>
      <c r="D183" s="18"/>
      <c r="E183" s="18"/>
      <c r="F183" s="39"/>
    </row>
    <row r="184" customFormat="false" ht="16.8" hidden="false" customHeight="false" outlineLevel="0" collapsed="false">
      <c r="A184" s="49" t="s">
        <v>399</v>
      </c>
      <c r="B184" s="20"/>
      <c r="C184" s="18"/>
      <c r="D184" s="18"/>
      <c r="E184" s="18"/>
      <c r="F184" s="39"/>
    </row>
    <row r="185" customFormat="false" ht="16.8" hidden="false" customHeight="false" outlineLevel="0" collapsed="false">
      <c r="A185" s="49" t="s">
        <v>435</v>
      </c>
      <c r="B185" s="20" t="n">
        <v>800</v>
      </c>
      <c r="C185" s="18"/>
      <c r="D185" s="18"/>
      <c r="E185" s="18"/>
      <c r="F185" s="39"/>
    </row>
    <row r="186" customFormat="false" ht="16.8" hidden="false" customHeight="false" outlineLevel="0" collapsed="false">
      <c r="A186" s="49" t="s">
        <v>436</v>
      </c>
      <c r="B186" s="20" t="n">
        <v>1200</v>
      </c>
      <c r="C186" s="18"/>
      <c r="D186" s="18"/>
      <c r="E186" s="18"/>
      <c r="F186" s="39"/>
    </row>
    <row r="187" customFormat="false" ht="16.8" hidden="false" customHeight="false" outlineLevel="0" collapsed="false">
      <c r="A187" s="49" t="s">
        <v>398</v>
      </c>
      <c r="B187" s="20"/>
      <c r="C187" s="1"/>
      <c r="D187" s="1"/>
      <c r="E187" s="1"/>
      <c r="F187" s="26"/>
    </row>
    <row r="188" customFormat="false" ht="16.8" hidden="false" customHeight="false" outlineLevel="0" collapsed="false">
      <c r="A188" s="49" t="s">
        <v>384</v>
      </c>
      <c r="B188" s="20"/>
      <c r="C188" s="1"/>
      <c r="D188" s="1"/>
      <c r="E188" s="1"/>
      <c r="F188" s="26"/>
    </row>
    <row r="189" customFormat="false" ht="16.8" hidden="false" customHeight="false" outlineLevel="0" collapsed="false">
      <c r="A189" s="49" t="s">
        <v>390</v>
      </c>
      <c r="B189" s="20"/>
      <c r="C189" s="1"/>
      <c r="D189" s="1"/>
      <c r="E189" s="1"/>
      <c r="F189" s="26"/>
    </row>
    <row r="190" customFormat="false" ht="16.8" hidden="false" customHeight="false" outlineLevel="0" collapsed="false">
      <c r="A190" s="25" t="s">
        <v>11</v>
      </c>
      <c r="B190" s="35" t="n">
        <f aca="false">SUM(B177:B189)</f>
        <v>51765</v>
      </c>
      <c r="C190" s="1"/>
      <c r="D190" s="45"/>
      <c r="E190" s="45"/>
      <c r="F190" s="26"/>
    </row>
    <row r="191" customFormat="false" ht="13.2" hidden="false" customHeight="false" outlineLevel="0" collapsed="false">
      <c r="A191" s="1"/>
      <c r="B191" s="1"/>
      <c r="C191" s="1"/>
      <c r="D191" s="1"/>
      <c r="E191" s="1"/>
      <c r="F191" s="39"/>
    </row>
    <row r="192" customFormat="false" ht="16.8" hidden="false" customHeight="false" outlineLevel="0" collapsed="false">
      <c r="A192" s="39"/>
      <c r="B192" s="39"/>
      <c r="C192" s="141"/>
      <c r="D192" s="140" t="s">
        <v>396</v>
      </c>
      <c r="E192" s="140"/>
      <c r="F192" s="140"/>
    </row>
    <row r="198" customFormat="false" ht="18.6" hidden="false" customHeight="true" outlineLevel="0" collapsed="false">
      <c r="A198" s="118" t="s">
        <v>533</v>
      </c>
      <c r="B198" s="118"/>
      <c r="C198" s="118"/>
      <c r="D198" s="118"/>
      <c r="E198" s="118"/>
      <c r="F198" s="118"/>
    </row>
    <row r="199" customFormat="false" ht="13.8" hidden="false" customHeight="true" outlineLevel="0" collapsed="false">
      <c r="A199" s="119" t="s">
        <v>2</v>
      </c>
      <c r="B199" s="119"/>
      <c r="C199" s="119"/>
      <c r="D199" s="119"/>
      <c r="E199" s="119"/>
      <c r="F199" s="119"/>
    </row>
    <row r="200" customFormat="false" ht="16.8" hidden="false" customHeight="false" outlineLevel="0" collapsed="false">
      <c r="A200" s="13" t="s">
        <v>3</v>
      </c>
      <c r="B200" s="14"/>
      <c r="C200" s="14"/>
      <c r="D200" s="46"/>
      <c r="E200" s="66" t="s">
        <v>4</v>
      </c>
      <c r="F200" s="66"/>
    </row>
    <row r="201" customFormat="false" ht="33.6" hidden="false" customHeight="false" outlineLevel="0" collapsed="false">
      <c r="A201" s="17" t="s">
        <v>5</v>
      </c>
      <c r="B201" s="17" t="s">
        <v>5</v>
      </c>
      <c r="C201" s="17" t="s">
        <v>534</v>
      </c>
      <c r="D201" s="17" t="s">
        <v>7</v>
      </c>
      <c r="E201" s="17" t="s">
        <v>8</v>
      </c>
      <c r="F201" s="150"/>
    </row>
    <row r="202" customFormat="false" ht="16.8" hidden="false" customHeight="false" outlineLevel="0" collapsed="false">
      <c r="A202" s="19" t="s">
        <v>9</v>
      </c>
      <c r="B202" s="20" t="n">
        <f aca="false">E152</f>
        <v>525</v>
      </c>
      <c r="C202" s="0" t="n">
        <v>420</v>
      </c>
      <c r="D202" s="20" t="n">
        <v>945</v>
      </c>
      <c r="E202" s="47" t="n">
        <f aca="false">B202+C202-D202</f>
        <v>0</v>
      </c>
    </row>
    <row r="203" customFormat="false" ht="33.6" hidden="false" customHeight="false" outlineLevel="0" collapsed="false">
      <c r="A203" s="97" t="s">
        <v>159</v>
      </c>
      <c r="B203" s="20" t="n">
        <f aca="false">E153</f>
        <v>101670</v>
      </c>
      <c r="C203" s="20" t="n">
        <v>23070</v>
      </c>
      <c r="D203" s="20" t="n">
        <f aca="false">124740</f>
        <v>124740</v>
      </c>
      <c r="E203" s="47" t="n">
        <f aca="false">B203+C203-D203</f>
        <v>0</v>
      </c>
    </row>
    <row r="204" customFormat="false" ht="33.6" hidden="false" customHeight="false" outlineLevel="0" collapsed="false">
      <c r="A204" s="97" t="s">
        <v>414</v>
      </c>
      <c r="B204" s="20" t="n">
        <f aca="false">E154</f>
        <v>0</v>
      </c>
      <c r="C204" s="20"/>
      <c r="D204" s="20"/>
      <c r="E204" s="47" t="n">
        <f aca="false">B204+C204-D204</f>
        <v>0</v>
      </c>
    </row>
    <row r="205" customFormat="false" ht="33.6" hidden="false" customHeight="false" outlineLevel="0" collapsed="false">
      <c r="A205" s="97" t="s">
        <v>202</v>
      </c>
      <c r="B205" s="20" t="n">
        <f aca="false">E155</f>
        <v>0</v>
      </c>
      <c r="C205" s="20"/>
      <c r="D205" s="20"/>
      <c r="E205" s="47" t="n">
        <f aca="false">B205+C205-D205</f>
        <v>0</v>
      </c>
    </row>
    <row r="206" customFormat="false" ht="16.8" hidden="false" customHeight="false" outlineLevel="0" collapsed="false">
      <c r="A206" s="19" t="s">
        <v>10</v>
      </c>
      <c r="B206" s="20" t="n">
        <f aca="false">E156</f>
        <v>0</v>
      </c>
      <c r="C206" s="20" t="n">
        <f aca="false">43858-C202</f>
        <v>43438</v>
      </c>
      <c r="D206" s="20" t="n">
        <v>43438</v>
      </c>
      <c r="E206" s="47" t="n">
        <f aca="false">B206+C206-D206</f>
        <v>0</v>
      </c>
    </row>
    <row r="207" customFormat="false" ht="16.8" hidden="false" customHeight="false" outlineLevel="0" collapsed="false">
      <c r="A207" s="21" t="s">
        <v>11</v>
      </c>
      <c r="B207" s="22" t="n">
        <f aca="false">SUM(B202:B206)</f>
        <v>102195</v>
      </c>
      <c r="C207" s="22" t="n">
        <f aca="false">SUM(C203:C206)</f>
        <v>66508</v>
      </c>
      <c r="D207" s="22" t="n">
        <f aca="false">SUM(D202:D206)</f>
        <v>169123</v>
      </c>
      <c r="E207" s="22" t="n">
        <f aca="false">SUM(E202:E206)</f>
        <v>0</v>
      </c>
    </row>
    <row r="208" customFormat="false" ht="16.8" hidden="false" customHeight="false" outlineLevel="0" collapsed="false">
      <c r="A208" s="13" t="s">
        <v>12</v>
      </c>
      <c r="B208" s="13"/>
      <c r="C208" s="13"/>
      <c r="D208" s="13"/>
      <c r="E208" s="13"/>
      <c r="F208" s="13"/>
    </row>
    <row r="209" customFormat="false" ht="33.6" hidden="false" customHeight="false" outlineLevel="0" collapsed="false">
      <c r="A209" s="25" t="s">
        <v>13</v>
      </c>
      <c r="B209" s="17" t="s">
        <v>535</v>
      </c>
      <c r="C209" s="17" t="s">
        <v>536</v>
      </c>
      <c r="D209" s="120" t="s">
        <v>418</v>
      </c>
      <c r="E209" s="143" t="s">
        <v>419</v>
      </c>
      <c r="F209" s="120" t="s">
        <v>16</v>
      </c>
    </row>
    <row r="210" customFormat="false" ht="33.6" hidden="false" customHeight="false" outlineLevel="0" collapsed="false">
      <c r="A210" s="49" t="s">
        <v>49</v>
      </c>
      <c r="B210" s="20" t="n">
        <f aca="false">B160+C160</f>
        <v>21650</v>
      </c>
      <c r="C210" s="20" t="n">
        <v>1750</v>
      </c>
      <c r="D210" s="144" t="n">
        <f aca="false">C210+C211+B210+B211</f>
        <v>45005</v>
      </c>
      <c r="E210" s="144" t="n">
        <f aca="false">D202+D203</f>
        <v>125685</v>
      </c>
      <c r="F210" s="145" t="n">
        <f aca="false">E210/D210</f>
        <v>2.79268970114432</v>
      </c>
    </row>
    <row r="211" customFormat="false" ht="16.8" hidden="false" customHeight="false" outlineLevel="0" collapsed="false">
      <c r="A211" s="49" t="s">
        <v>466</v>
      </c>
      <c r="B211" s="20" t="n">
        <f aca="false">B161+C161</f>
        <v>18765</v>
      </c>
      <c r="C211" s="20" t="n">
        <v>2840</v>
      </c>
      <c r="D211" s="146"/>
      <c r="E211" s="146"/>
      <c r="F211" s="147"/>
    </row>
    <row r="212" customFormat="false" ht="16.8" hidden="false" customHeight="false" outlineLevel="0" collapsed="false">
      <c r="A212" s="49" t="s">
        <v>432</v>
      </c>
      <c r="B212" s="20"/>
      <c r="C212" s="20"/>
      <c r="D212" s="34" t="n">
        <f aca="false">SUM(C212:C222)</f>
        <v>11650</v>
      </c>
      <c r="E212" s="34" t="n">
        <f aca="false">D206</f>
        <v>43438</v>
      </c>
      <c r="F212" s="122" t="n">
        <f aca="false">E212/D212</f>
        <v>3.72858369098712</v>
      </c>
    </row>
    <row r="213" customFormat="false" ht="16.8" hidden="false" customHeight="false" outlineLevel="0" collapsed="false">
      <c r="A213" s="49" t="s">
        <v>403</v>
      </c>
      <c r="B213" s="20"/>
      <c r="C213" s="20" t="n">
        <v>3200</v>
      </c>
      <c r="D213" s="34"/>
      <c r="E213" s="34"/>
      <c r="F213" s="122"/>
    </row>
    <row r="214" customFormat="false" ht="16.8" hidden="false" customHeight="false" outlineLevel="0" collapsed="false">
      <c r="A214" s="49" t="s">
        <v>401</v>
      </c>
      <c r="B214" s="20"/>
      <c r="C214" s="20"/>
      <c r="D214" s="34"/>
      <c r="E214" s="34"/>
      <c r="F214" s="122"/>
    </row>
    <row r="215" customFormat="false" ht="16.8" hidden="false" customHeight="false" outlineLevel="0" collapsed="false">
      <c r="A215" s="49" t="s">
        <v>433</v>
      </c>
      <c r="B215" s="20"/>
      <c r="C215" s="20"/>
      <c r="D215" s="34"/>
      <c r="E215" s="34"/>
      <c r="F215" s="122"/>
    </row>
    <row r="216" customFormat="false" ht="16.8" hidden="false" customHeight="false" outlineLevel="0" collapsed="false">
      <c r="A216" s="49" t="s">
        <v>434</v>
      </c>
      <c r="B216" s="20"/>
      <c r="C216" s="20"/>
      <c r="D216" s="34"/>
      <c r="E216" s="34"/>
      <c r="F216" s="122"/>
    </row>
    <row r="217" customFormat="false" ht="16.8" hidden="false" customHeight="false" outlineLevel="0" collapsed="false">
      <c r="A217" s="49" t="s">
        <v>399</v>
      </c>
      <c r="B217" s="20"/>
      <c r="C217" s="20"/>
      <c r="D217" s="34"/>
      <c r="E217" s="34"/>
      <c r="F217" s="122"/>
    </row>
    <row r="218" customFormat="false" ht="16.8" hidden="false" customHeight="false" outlineLevel="0" collapsed="false">
      <c r="A218" s="49" t="s">
        <v>435</v>
      </c>
      <c r="B218" s="20"/>
      <c r="C218" s="20"/>
      <c r="D218" s="34"/>
      <c r="E218" s="34"/>
      <c r="F218" s="122"/>
    </row>
    <row r="219" customFormat="false" ht="16.8" hidden="false" customHeight="false" outlineLevel="0" collapsed="false">
      <c r="A219" s="49" t="s">
        <v>436</v>
      </c>
      <c r="B219" s="20"/>
      <c r="C219" s="20" t="n">
        <v>8450</v>
      </c>
      <c r="D219" s="34"/>
      <c r="E219" s="34"/>
      <c r="F219" s="122"/>
    </row>
    <row r="220" customFormat="false" ht="16.8" hidden="false" customHeight="false" outlineLevel="0" collapsed="false">
      <c r="A220" s="49" t="s">
        <v>398</v>
      </c>
      <c r="B220" s="20"/>
      <c r="C220" s="20"/>
      <c r="D220" s="34"/>
      <c r="E220" s="34"/>
      <c r="F220" s="122"/>
    </row>
    <row r="221" customFormat="false" ht="16.8" hidden="false" customHeight="false" outlineLevel="0" collapsed="false">
      <c r="A221" s="49" t="s">
        <v>384</v>
      </c>
      <c r="B221" s="20"/>
      <c r="C221" s="20"/>
      <c r="D221" s="34"/>
      <c r="E221" s="34"/>
      <c r="F221" s="122"/>
    </row>
    <row r="222" customFormat="false" ht="16.8" hidden="false" customHeight="false" outlineLevel="0" collapsed="false">
      <c r="A222" s="49" t="s">
        <v>390</v>
      </c>
      <c r="B222" s="20"/>
      <c r="C222" s="20"/>
      <c r="D222" s="34"/>
      <c r="E222" s="34"/>
      <c r="F222" s="122"/>
    </row>
    <row r="223" customFormat="false" ht="16.8" hidden="false" customHeight="false" outlineLevel="0" collapsed="false">
      <c r="A223" s="30" t="s">
        <v>11</v>
      </c>
      <c r="B223" s="94" t="n">
        <f aca="false">SUM(B210:B222)</f>
        <v>40415</v>
      </c>
      <c r="C223" s="94" t="n">
        <f aca="false">SUM(C210:C222)</f>
        <v>16240</v>
      </c>
      <c r="D223" s="94" t="n">
        <f aca="false">SUM(D210:D222)</f>
        <v>56655</v>
      </c>
      <c r="E223" s="94" t="n">
        <f aca="false">E210+E212</f>
        <v>169123</v>
      </c>
      <c r="F223" s="89" t="n">
        <f aca="false">E223/D223</f>
        <v>2.98513811667108</v>
      </c>
    </row>
    <row r="224" s="127" customFormat="true" ht="16.8" hidden="false" customHeight="false" outlineLevel="0" collapsed="false">
      <c r="A224" s="55" t="s">
        <v>537</v>
      </c>
      <c r="B224" s="56"/>
      <c r="C224" s="56"/>
      <c r="D224" s="56"/>
      <c r="E224" s="56"/>
      <c r="F224" s="100"/>
    </row>
    <row r="225" customFormat="false" ht="16.8" hidden="false" customHeight="false" outlineLevel="0" collapsed="false">
      <c r="A225" s="55" t="s">
        <v>476</v>
      </c>
      <c r="B225" s="56"/>
      <c r="C225" s="56"/>
      <c r="D225" s="56"/>
      <c r="E225" s="100"/>
      <c r="F225" s="100"/>
    </row>
    <row r="226" customFormat="false" ht="16.8" hidden="false" customHeight="false" outlineLevel="0" collapsed="false">
      <c r="A226" s="13" t="s">
        <v>20</v>
      </c>
      <c r="B226" s="1"/>
      <c r="C226" s="1"/>
      <c r="D226" s="1"/>
      <c r="E226" s="1"/>
      <c r="F226" s="1"/>
    </row>
    <row r="227" customFormat="false" ht="16.8" hidden="false" customHeight="false" outlineLevel="0" collapsed="false">
      <c r="A227" s="17" t="s">
        <v>13</v>
      </c>
      <c r="B227" s="17" t="s">
        <v>21</v>
      </c>
      <c r="C227" s="18"/>
      <c r="D227" s="18"/>
      <c r="E227" s="18"/>
      <c r="F227" s="39"/>
    </row>
    <row r="228" customFormat="false" ht="17.25" hidden="false" customHeight="true" outlineLevel="0" collapsed="false">
      <c r="A228" s="49" t="s">
        <v>420</v>
      </c>
      <c r="B228" s="20" t="n">
        <v>27500</v>
      </c>
      <c r="C228" s="18"/>
      <c r="D228" s="18"/>
      <c r="E228" s="18"/>
      <c r="F228" s="39"/>
    </row>
    <row r="229" customFormat="false" ht="16.8" hidden="false" customHeight="false" outlineLevel="0" collapsed="false">
      <c r="A229" s="49" t="s">
        <v>466</v>
      </c>
      <c r="B229" s="20" t="n">
        <v>16255</v>
      </c>
      <c r="C229" s="18"/>
      <c r="D229" s="18"/>
      <c r="E229" s="18"/>
      <c r="F229" s="39"/>
    </row>
    <row r="230" customFormat="false" ht="16.8" hidden="false" customHeight="false" outlineLevel="0" collapsed="false">
      <c r="A230" s="49" t="s">
        <v>432</v>
      </c>
      <c r="B230" s="20"/>
      <c r="C230" s="18"/>
      <c r="D230" s="18"/>
      <c r="E230" s="18"/>
      <c r="F230" s="39"/>
    </row>
    <row r="231" customFormat="false" ht="16.8" hidden="false" customHeight="false" outlineLevel="0" collapsed="false">
      <c r="A231" s="49" t="s">
        <v>403</v>
      </c>
      <c r="B231" s="20" t="n">
        <v>3200</v>
      </c>
      <c r="C231" s="18"/>
      <c r="D231" s="18"/>
      <c r="E231" s="18"/>
      <c r="F231" s="39"/>
    </row>
    <row r="232" customFormat="false" ht="16.8" hidden="false" customHeight="false" outlineLevel="0" collapsed="false">
      <c r="A232" s="49" t="s">
        <v>401</v>
      </c>
      <c r="B232" s="20"/>
      <c r="C232" s="18"/>
      <c r="D232" s="18"/>
      <c r="E232" s="18"/>
      <c r="F232" s="39"/>
    </row>
    <row r="233" customFormat="false" ht="16.8" hidden="false" customHeight="false" outlineLevel="0" collapsed="false">
      <c r="A233" s="49" t="s">
        <v>433</v>
      </c>
      <c r="B233" s="20" t="n">
        <v>10600</v>
      </c>
      <c r="C233" s="18"/>
      <c r="D233" s="18"/>
      <c r="E233" s="18"/>
      <c r="F233" s="39"/>
    </row>
    <row r="234" customFormat="false" ht="16.8" hidden="false" customHeight="false" outlineLevel="0" collapsed="false">
      <c r="A234" s="49" t="s">
        <v>434</v>
      </c>
      <c r="B234" s="20"/>
      <c r="C234" s="18"/>
      <c r="D234" s="18"/>
      <c r="E234" s="18"/>
      <c r="F234" s="39"/>
    </row>
    <row r="235" customFormat="false" ht="16.8" hidden="false" customHeight="false" outlineLevel="0" collapsed="false">
      <c r="A235" s="49" t="s">
        <v>399</v>
      </c>
      <c r="B235" s="20"/>
      <c r="C235" s="18"/>
      <c r="D235" s="18"/>
      <c r="E235" s="18"/>
      <c r="F235" s="39"/>
    </row>
    <row r="236" customFormat="false" ht="16.8" hidden="false" customHeight="false" outlineLevel="0" collapsed="false">
      <c r="A236" s="49" t="s">
        <v>435</v>
      </c>
      <c r="B236" s="20" t="n">
        <v>800</v>
      </c>
      <c r="C236" s="18"/>
      <c r="D236" s="18"/>
      <c r="E236" s="18"/>
      <c r="F236" s="39"/>
    </row>
    <row r="237" customFormat="false" ht="16.8" hidden="false" customHeight="false" outlineLevel="0" collapsed="false">
      <c r="A237" s="49" t="s">
        <v>436</v>
      </c>
      <c r="B237" s="20" t="n">
        <v>9650</v>
      </c>
      <c r="C237" s="18"/>
      <c r="D237" s="18"/>
      <c r="E237" s="18"/>
      <c r="F237" s="39"/>
    </row>
    <row r="238" customFormat="false" ht="16.8" hidden="false" customHeight="false" outlineLevel="0" collapsed="false">
      <c r="A238" s="49" t="s">
        <v>398</v>
      </c>
      <c r="B238" s="20"/>
      <c r="C238" s="1"/>
      <c r="D238" s="1"/>
      <c r="E238" s="1"/>
      <c r="F238" s="26"/>
    </row>
    <row r="239" customFormat="false" ht="16.8" hidden="false" customHeight="false" outlineLevel="0" collapsed="false">
      <c r="A239" s="49" t="s">
        <v>384</v>
      </c>
      <c r="B239" s="20"/>
      <c r="C239" s="1"/>
      <c r="D239" s="1"/>
      <c r="E239" s="1"/>
      <c r="F239" s="26"/>
    </row>
    <row r="240" customFormat="false" ht="16.8" hidden="false" customHeight="false" outlineLevel="0" collapsed="false">
      <c r="A240" s="49" t="s">
        <v>390</v>
      </c>
      <c r="B240" s="20"/>
      <c r="C240" s="1"/>
      <c r="D240" s="1"/>
      <c r="E240" s="1"/>
      <c r="F240" s="26"/>
    </row>
    <row r="241" customFormat="false" ht="16.8" hidden="false" customHeight="false" outlineLevel="0" collapsed="false">
      <c r="A241" s="25" t="s">
        <v>11</v>
      </c>
      <c r="B241" s="35" t="n">
        <f aca="false">SUM(B228:B240)</f>
        <v>68005</v>
      </c>
      <c r="C241" s="1"/>
      <c r="D241" s="45"/>
      <c r="E241" s="45"/>
      <c r="F241" s="26"/>
    </row>
    <row r="242" customFormat="false" ht="13.2" hidden="false" customHeight="false" outlineLevel="0" collapsed="false">
      <c r="A242" s="1"/>
      <c r="B242" s="1"/>
      <c r="C242" s="1"/>
      <c r="D242" s="1"/>
      <c r="E242" s="1"/>
      <c r="F242" s="39"/>
    </row>
    <row r="243" customFormat="false" ht="16.8" hidden="false" customHeight="false" outlineLevel="0" collapsed="false">
      <c r="A243" s="39"/>
      <c r="B243" s="39"/>
      <c r="C243" s="141"/>
      <c r="D243" s="140" t="s">
        <v>396</v>
      </c>
      <c r="E243" s="140"/>
      <c r="F243" s="140"/>
    </row>
    <row r="248" customFormat="false" ht="18.6" hidden="false" customHeight="true" outlineLevel="0" collapsed="false">
      <c r="A248" s="118" t="s">
        <v>538</v>
      </c>
      <c r="B248" s="118"/>
      <c r="C248" s="118"/>
      <c r="D248" s="118"/>
      <c r="E248" s="118"/>
      <c r="F248" s="118"/>
    </row>
    <row r="249" customFormat="false" ht="13.8" hidden="false" customHeight="true" outlineLevel="0" collapsed="false">
      <c r="A249" s="119" t="s">
        <v>2</v>
      </c>
      <c r="B249" s="119"/>
      <c r="C249" s="119"/>
      <c r="D249" s="119"/>
      <c r="E249" s="119"/>
      <c r="F249" s="119"/>
    </row>
    <row r="250" customFormat="false" ht="16.8" hidden="false" customHeight="false" outlineLevel="0" collapsed="false">
      <c r="A250" s="13" t="s">
        <v>3</v>
      </c>
      <c r="B250" s="14"/>
      <c r="C250" s="14"/>
      <c r="D250" s="46"/>
      <c r="E250" s="66" t="s">
        <v>4</v>
      </c>
      <c r="F250" s="66"/>
    </row>
    <row r="251" customFormat="false" ht="33.6" hidden="false" customHeight="false" outlineLevel="0" collapsed="false">
      <c r="A251" s="17" t="s">
        <v>5</v>
      </c>
      <c r="B251" s="17" t="s">
        <v>5</v>
      </c>
      <c r="C251" s="17" t="s">
        <v>539</v>
      </c>
      <c r="D251" s="17" t="s">
        <v>7</v>
      </c>
      <c r="E251" s="17" t="s">
        <v>8</v>
      </c>
      <c r="F251" s="150"/>
    </row>
    <row r="252" customFormat="false" ht="16.8" hidden="false" customHeight="false" outlineLevel="0" collapsed="false">
      <c r="A252" s="19" t="s">
        <v>9</v>
      </c>
      <c r="B252" s="20" t="n">
        <f aca="false">E202</f>
        <v>0</v>
      </c>
      <c r="C252" s="98" t="n">
        <v>1435</v>
      </c>
      <c r="D252" s="20" t="n">
        <v>1435</v>
      </c>
      <c r="E252" s="47" t="n">
        <f aca="false">B252+C252-D252</f>
        <v>0</v>
      </c>
    </row>
    <row r="253" customFormat="false" ht="33.6" hidden="false" customHeight="false" outlineLevel="0" collapsed="false">
      <c r="A253" s="97" t="s">
        <v>159</v>
      </c>
      <c r="B253" s="20" t="n">
        <f aca="false">E203</f>
        <v>0</v>
      </c>
      <c r="C253" s="20" t="n">
        <f aca="false">24645+31935</f>
        <v>56580</v>
      </c>
      <c r="D253" s="20" t="n">
        <v>56580</v>
      </c>
      <c r="E253" s="47" t="n">
        <f aca="false">B253+C253-D253</f>
        <v>0</v>
      </c>
    </row>
    <row r="254" customFormat="false" ht="33.6" hidden="false" customHeight="false" outlineLevel="0" collapsed="false">
      <c r="A254" s="97" t="s">
        <v>414</v>
      </c>
      <c r="B254" s="20" t="n">
        <f aca="false">E204</f>
        <v>0</v>
      </c>
      <c r="C254" s="20"/>
      <c r="D254" s="20"/>
      <c r="E254" s="47" t="n">
        <f aca="false">B254+C254-D254</f>
        <v>0</v>
      </c>
    </row>
    <row r="255" customFormat="false" ht="33.6" hidden="false" customHeight="false" outlineLevel="0" collapsed="false">
      <c r="A255" s="97" t="s">
        <v>202</v>
      </c>
      <c r="B255" s="20" t="n">
        <f aca="false">E205</f>
        <v>0</v>
      </c>
      <c r="C255" s="20"/>
      <c r="D255" s="20"/>
      <c r="E255" s="47" t="n">
        <f aca="false">B255+C255-D255</f>
        <v>0</v>
      </c>
    </row>
    <row r="256" customFormat="false" ht="16.8" hidden="false" customHeight="false" outlineLevel="0" collapsed="false">
      <c r="A256" s="19" t="s">
        <v>10</v>
      </c>
      <c r="B256" s="20" t="n">
        <f aca="false">E206</f>
        <v>0</v>
      </c>
      <c r="C256" s="20" t="n">
        <f aca="false">81181-C252</f>
        <v>79746</v>
      </c>
      <c r="D256" s="20" t="n">
        <v>79746</v>
      </c>
      <c r="E256" s="47" t="n">
        <f aca="false">B256+C256-D256</f>
        <v>0</v>
      </c>
    </row>
    <row r="257" customFormat="false" ht="16.8" hidden="false" customHeight="false" outlineLevel="0" collapsed="false">
      <c r="A257" s="21" t="s">
        <v>11</v>
      </c>
      <c r="B257" s="22" t="n">
        <f aca="false">SUM(B252:B256)</f>
        <v>0</v>
      </c>
      <c r="C257" s="22" t="n">
        <f aca="false">SUM(C253:C256)</f>
        <v>136326</v>
      </c>
      <c r="D257" s="22" t="n">
        <f aca="false">SUM(D252:D256)</f>
        <v>137761</v>
      </c>
      <c r="E257" s="22" t="n">
        <f aca="false">SUM(E252:E256)</f>
        <v>0</v>
      </c>
    </row>
    <row r="258" customFormat="false" ht="16.8" hidden="false" customHeight="false" outlineLevel="0" collapsed="false">
      <c r="A258" s="13" t="s">
        <v>12</v>
      </c>
      <c r="B258" s="13"/>
      <c r="C258" s="13"/>
      <c r="D258" s="13"/>
      <c r="E258" s="13"/>
      <c r="F258" s="13"/>
    </row>
    <row r="259" customFormat="false" ht="33.6" hidden="false" customHeight="false" outlineLevel="0" collapsed="false">
      <c r="A259" s="25" t="s">
        <v>13</v>
      </c>
      <c r="B259" s="17" t="s">
        <v>540</v>
      </c>
      <c r="C259" s="17" t="s">
        <v>541</v>
      </c>
      <c r="D259" s="120" t="s">
        <v>418</v>
      </c>
      <c r="E259" s="143" t="s">
        <v>419</v>
      </c>
      <c r="F259" s="120" t="s">
        <v>16</v>
      </c>
    </row>
    <row r="260" customFormat="false" ht="33.6" hidden="false" customHeight="false" outlineLevel="0" collapsed="false">
      <c r="A260" s="49" t="s">
        <v>49</v>
      </c>
      <c r="B260" s="20" t="n">
        <v>2960</v>
      </c>
      <c r="C260" s="20" t="n">
        <v>5460</v>
      </c>
      <c r="D260" s="144" t="n">
        <f aca="false">C260+C261+B260+B261</f>
        <v>19420</v>
      </c>
      <c r="E260" s="144" t="n">
        <f aca="false">D252+D253</f>
        <v>58015</v>
      </c>
      <c r="F260" s="145" t="n">
        <f aca="false">E260/D260</f>
        <v>2.98738414006179</v>
      </c>
    </row>
    <row r="261" customFormat="false" ht="16.8" hidden="false" customHeight="false" outlineLevel="0" collapsed="false">
      <c r="A261" s="49" t="s">
        <v>466</v>
      </c>
      <c r="B261" s="20" t="n">
        <v>5760</v>
      </c>
      <c r="C261" s="20" t="n">
        <v>5240</v>
      </c>
      <c r="D261" s="146"/>
      <c r="E261" s="146"/>
      <c r="F261" s="147"/>
    </row>
    <row r="262" customFormat="false" ht="16.8" hidden="false" customHeight="false" outlineLevel="0" collapsed="false">
      <c r="A262" s="49" t="s">
        <v>432</v>
      </c>
      <c r="B262" s="20"/>
      <c r="C262" s="20"/>
      <c r="D262" s="34" t="n">
        <f aca="false">SUM(B262:C272)</f>
        <v>22450</v>
      </c>
      <c r="E262" s="34" t="n">
        <f aca="false">D256</f>
        <v>79746</v>
      </c>
      <c r="F262" s="122" t="n">
        <f aca="false">E262/D262</f>
        <v>3.55216035634744</v>
      </c>
    </row>
    <row r="263" customFormat="false" ht="16.8" hidden="false" customHeight="false" outlineLevel="0" collapsed="false">
      <c r="A263" s="49" t="s">
        <v>403</v>
      </c>
      <c r="B263" s="20"/>
      <c r="C263" s="20"/>
      <c r="D263" s="34"/>
      <c r="E263" s="34"/>
      <c r="F263" s="122"/>
    </row>
    <row r="264" customFormat="false" ht="16.8" hidden="false" customHeight="false" outlineLevel="0" collapsed="false">
      <c r="A264" s="49" t="s">
        <v>401</v>
      </c>
      <c r="B264" s="20"/>
      <c r="C264" s="20"/>
      <c r="D264" s="34"/>
      <c r="E264" s="34"/>
      <c r="F264" s="122"/>
    </row>
    <row r="265" customFormat="false" ht="16.8" hidden="false" customHeight="false" outlineLevel="0" collapsed="false">
      <c r="A265" s="49" t="s">
        <v>433</v>
      </c>
      <c r="B265" s="20" t="n">
        <v>5650</v>
      </c>
      <c r="C265" s="20"/>
      <c r="D265" s="34"/>
      <c r="E265" s="34"/>
      <c r="F265" s="122"/>
    </row>
    <row r="266" customFormat="false" ht="16.8" hidden="false" customHeight="false" outlineLevel="0" collapsed="false">
      <c r="A266" s="49" t="s">
        <v>434</v>
      </c>
      <c r="B266" s="20"/>
      <c r="C266" s="20"/>
      <c r="D266" s="34"/>
      <c r="E266" s="34"/>
      <c r="F266" s="122"/>
    </row>
    <row r="267" customFormat="false" ht="16.8" hidden="false" customHeight="false" outlineLevel="0" collapsed="false">
      <c r="A267" s="49" t="s">
        <v>399</v>
      </c>
      <c r="B267" s="20"/>
      <c r="C267" s="20" t="n">
        <v>16800</v>
      </c>
      <c r="D267" s="34"/>
      <c r="E267" s="34"/>
      <c r="F267" s="122"/>
    </row>
    <row r="268" customFormat="false" ht="16.8" hidden="false" customHeight="false" outlineLevel="0" collapsed="false">
      <c r="A268" s="49" t="s">
        <v>435</v>
      </c>
      <c r="B268" s="20"/>
      <c r="C268" s="20"/>
      <c r="D268" s="34"/>
      <c r="E268" s="34"/>
      <c r="F268" s="122"/>
    </row>
    <row r="269" customFormat="false" ht="16.8" hidden="false" customHeight="false" outlineLevel="0" collapsed="false">
      <c r="A269" s="49" t="s">
        <v>436</v>
      </c>
      <c r="B269" s="20"/>
      <c r="C269" s="20"/>
      <c r="D269" s="34"/>
      <c r="E269" s="34"/>
      <c r="F269" s="122"/>
    </row>
    <row r="270" customFormat="false" ht="16.8" hidden="false" customHeight="false" outlineLevel="0" collapsed="false">
      <c r="A270" s="49" t="s">
        <v>398</v>
      </c>
      <c r="B270" s="20"/>
      <c r="C270" s="20"/>
      <c r="D270" s="34"/>
      <c r="E270" s="34"/>
      <c r="F270" s="122"/>
    </row>
    <row r="271" customFormat="false" ht="16.8" hidden="false" customHeight="false" outlineLevel="0" collapsed="false">
      <c r="A271" s="49" t="s">
        <v>384</v>
      </c>
      <c r="B271" s="20"/>
      <c r="C271" s="20"/>
      <c r="D271" s="34"/>
      <c r="E271" s="34"/>
      <c r="F271" s="122"/>
    </row>
    <row r="272" customFormat="false" ht="16.8" hidden="false" customHeight="false" outlineLevel="0" collapsed="false">
      <c r="A272" s="49" t="s">
        <v>390</v>
      </c>
      <c r="B272" s="20"/>
      <c r="C272" s="20"/>
      <c r="D272" s="34"/>
      <c r="E272" s="34"/>
      <c r="F272" s="122"/>
    </row>
    <row r="273" customFormat="false" ht="16.8" hidden="false" customHeight="false" outlineLevel="0" collapsed="false">
      <c r="A273" s="30" t="s">
        <v>11</v>
      </c>
      <c r="B273" s="94" t="n">
        <f aca="false">SUM(B260:B272)</f>
        <v>14370</v>
      </c>
      <c r="C273" s="94" t="n">
        <f aca="false">SUM(C260:C272)</f>
        <v>27500</v>
      </c>
      <c r="D273" s="94" t="n">
        <f aca="false">SUM(D260:D272)</f>
        <v>41870</v>
      </c>
      <c r="E273" s="94" t="n">
        <f aca="false">E260+E262</f>
        <v>137761</v>
      </c>
      <c r="F273" s="89" t="n">
        <f aca="false">E273/D273</f>
        <v>3.2902077860043</v>
      </c>
    </row>
    <row r="274" customFormat="false" ht="16.8" hidden="false" customHeight="false" outlineLevel="0" collapsed="false">
      <c r="A274" s="55" t="s">
        <v>476</v>
      </c>
      <c r="B274" s="56"/>
      <c r="C274" s="56"/>
      <c r="D274" s="56"/>
      <c r="E274" s="100"/>
      <c r="F274" s="100"/>
    </row>
    <row r="275" customFormat="false" ht="16.8" hidden="false" customHeight="false" outlineLevel="0" collapsed="false">
      <c r="A275" s="13" t="s">
        <v>20</v>
      </c>
      <c r="B275" s="1"/>
      <c r="C275" s="1"/>
      <c r="D275" s="1"/>
      <c r="E275" s="1"/>
      <c r="F275" s="1"/>
    </row>
    <row r="276" customFormat="false" ht="16.8" hidden="false" customHeight="false" outlineLevel="0" collapsed="false">
      <c r="A276" s="17" t="s">
        <v>13</v>
      </c>
      <c r="B276" s="17" t="s">
        <v>21</v>
      </c>
      <c r="C276" s="18"/>
      <c r="D276" s="18"/>
      <c r="E276" s="18"/>
      <c r="F276" s="39"/>
    </row>
    <row r="277" customFormat="false" ht="23.25" hidden="false" customHeight="true" outlineLevel="0" collapsed="false">
      <c r="A277" s="49" t="s">
        <v>420</v>
      </c>
      <c r="B277" s="20" t="n">
        <v>37170</v>
      </c>
      <c r="C277" s="18"/>
      <c r="D277" s="18"/>
      <c r="E277" s="18"/>
      <c r="F277" s="39"/>
    </row>
    <row r="278" customFormat="false" ht="16.8" hidden="false" customHeight="false" outlineLevel="0" collapsed="false">
      <c r="A278" s="49" t="s">
        <v>466</v>
      </c>
      <c r="B278" s="20" t="n">
        <v>26005</v>
      </c>
      <c r="C278" s="18"/>
      <c r="D278" s="18"/>
      <c r="E278" s="18"/>
      <c r="F278" s="39"/>
    </row>
    <row r="279" customFormat="false" ht="16.8" hidden="false" customHeight="false" outlineLevel="0" collapsed="false">
      <c r="A279" s="49" t="s">
        <v>432</v>
      </c>
      <c r="B279" s="20"/>
      <c r="C279" s="18"/>
      <c r="D279" s="18"/>
      <c r="E279" s="18"/>
      <c r="F279" s="39"/>
    </row>
    <row r="280" customFormat="false" ht="16.8" hidden="false" customHeight="false" outlineLevel="0" collapsed="false">
      <c r="A280" s="49" t="s">
        <v>403</v>
      </c>
      <c r="B280" s="20"/>
      <c r="C280" s="18"/>
      <c r="D280" s="18"/>
      <c r="E280" s="18"/>
      <c r="F280" s="39"/>
    </row>
    <row r="281" customFormat="false" ht="16.8" hidden="false" customHeight="false" outlineLevel="0" collapsed="false">
      <c r="A281" s="49" t="s">
        <v>401</v>
      </c>
      <c r="B281" s="20"/>
      <c r="C281" s="18"/>
      <c r="D281" s="18"/>
      <c r="E281" s="18"/>
      <c r="F281" s="39"/>
    </row>
    <row r="282" customFormat="false" ht="16.8" hidden="false" customHeight="false" outlineLevel="0" collapsed="false">
      <c r="A282" s="49" t="s">
        <v>433</v>
      </c>
      <c r="B282" s="20" t="n">
        <v>5650</v>
      </c>
      <c r="C282" s="18"/>
      <c r="D282" s="18"/>
      <c r="E282" s="18"/>
      <c r="F282" s="39"/>
    </row>
    <row r="283" customFormat="false" ht="16.8" hidden="false" customHeight="false" outlineLevel="0" collapsed="false">
      <c r="A283" s="49" t="s">
        <v>434</v>
      </c>
      <c r="B283" s="20"/>
      <c r="C283" s="18"/>
      <c r="D283" s="18"/>
      <c r="E283" s="18"/>
      <c r="F283" s="39"/>
    </row>
    <row r="284" customFormat="false" ht="16.8" hidden="false" customHeight="false" outlineLevel="0" collapsed="false">
      <c r="A284" s="49" t="s">
        <v>399</v>
      </c>
      <c r="B284" s="20" t="n">
        <v>16800</v>
      </c>
      <c r="C284" s="18"/>
      <c r="D284" s="18"/>
      <c r="E284" s="18"/>
      <c r="F284" s="39"/>
    </row>
    <row r="285" customFormat="false" ht="16.8" hidden="false" customHeight="false" outlineLevel="0" collapsed="false">
      <c r="A285" s="49" t="s">
        <v>435</v>
      </c>
      <c r="B285" s="20" t="n">
        <v>23050</v>
      </c>
      <c r="C285" s="18"/>
      <c r="D285" s="18"/>
      <c r="E285" s="18"/>
      <c r="F285" s="39"/>
    </row>
    <row r="286" customFormat="false" ht="16.8" hidden="false" customHeight="false" outlineLevel="0" collapsed="false">
      <c r="A286" s="49" t="s">
        <v>436</v>
      </c>
      <c r="B286" s="20" t="n">
        <v>1200</v>
      </c>
      <c r="C286" s="18"/>
      <c r="D286" s="18"/>
      <c r="E286" s="18"/>
      <c r="F286" s="39"/>
    </row>
    <row r="287" customFormat="false" ht="16.8" hidden="false" customHeight="false" outlineLevel="0" collapsed="false">
      <c r="A287" s="49" t="s">
        <v>398</v>
      </c>
      <c r="B287" s="20"/>
      <c r="C287" s="1"/>
      <c r="D287" s="1"/>
      <c r="E287" s="1"/>
      <c r="F287" s="26"/>
    </row>
    <row r="288" customFormat="false" ht="16.8" hidden="false" customHeight="false" outlineLevel="0" collapsed="false">
      <c r="A288" s="49" t="s">
        <v>384</v>
      </c>
      <c r="B288" s="20"/>
      <c r="C288" s="1"/>
      <c r="D288" s="1"/>
      <c r="E288" s="1"/>
      <c r="F288" s="26"/>
    </row>
    <row r="289" customFormat="false" ht="16.8" hidden="false" customHeight="false" outlineLevel="0" collapsed="false">
      <c r="A289" s="49" t="s">
        <v>390</v>
      </c>
      <c r="B289" s="20"/>
      <c r="C289" s="1"/>
      <c r="D289" s="1"/>
      <c r="E289" s="1"/>
      <c r="F289" s="26"/>
    </row>
    <row r="290" customFormat="false" ht="16.8" hidden="false" customHeight="false" outlineLevel="0" collapsed="false">
      <c r="A290" s="25" t="s">
        <v>11</v>
      </c>
      <c r="B290" s="35" t="n">
        <f aca="false">SUM(B277:B289)</f>
        <v>109875</v>
      </c>
      <c r="C290" s="1"/>
      <c r="D290" s="45"/>
      <c r="E290" s="45"/>
      <c r="F290" s="26"/>
    </row>
    <row r="291" customFormat="false" ht="13.2" hidden="false" customHeight="false" outlineLevel="0" collapsed="false">
      <c r="A291" s="1"/>
      <c r="B291" s="1"/>
      <c r="C291" s="1"/>
      <c r="D291" s="1"/>
      <c r="E291" s="1"/>
      <c r="F291" s="39"/>
    </row>
    <row r="292" customFormat="false" ht="16.8" hidden="false" customHeight="false" outlineLevel="0" collapsed="false">
      <c r="A292" s="39"/>
      <c r="B292" s="39"/>
      <c r="C292" s="141"/>
      <c r="D292" s="140" t="s">
        <v>396</v>
      </c>
      <c r="E292" s="140"/>
      <c r="F292" s="140"/>
    </row>
    <row r="298" customFormat="false" ht="18.6" hidden="false" customHeight="true" outlineLevel="0" collapsed="false">
      <c r="A298" s="118" t="s">
        <v>542</v>
      </c>
      <c r="B298" s="118"/>
      <c r="C298" s="118"/>
      <c r="D298" s="118"/>
      <c r="E298" s="118"/>
      <c r="F298" s="118"/>
    </row>
    <row r="299" customFormat="false" ht="13.8" hidden="false" customHeight="true" outlineLevel="0" collapsed="false">
      <c r="A299" s="119" t="s">
        <v>2</v>
      </c>
      <c r="B299" s="119"/>
      <c r="C299" s="119"/>
      <c r="D299" s="119"/>
      <c r="E299" s="119"/>
      <c r="F299" s="119"/>
    </row>
    <row r="300" customFormat="false" ht="16.8" hidden="false" customHeight="false" outlineLevel="0" collapsed="false">
      <c r="A300" s="13" t="s">
        <v>3</v>
      </c>
      <c r="B300" s="14"/>
      <c r="C300" s="14"/>
      <c r="D300" s="46"/>
      <c r="E300" s="66" t="s">
        <v>4</v>
      </c>
      <c r="F300" s="66"/>
    </row>
    <row r="301" customFormat="false" ht="33.6" hidden="false" customHeight="false" outlineLevel="0" collapsed="false">
      <c r="A301" s="17" t="s">
        <v>5</v>
      </c>
      <c r="B301" s="17" t="s">
        <v>5</v>
      </c>
      <c r="C301" s="17" t="s">
        <v>543</v>
      </c>
      <c r="D301" s="17" t="s">
        <v>7</v>
      </c>
      <c r="E301" s="17" t="s">
        <v>8</v>
      </c>
      <c r="F301" s="150"/>
    </row>
    <row r="302" customFormat="false" ht="16.8" hidden="false" customHeight="false" outlineLevel="0" collapsed="false">
      <c r="A302" s="19" t="s">
        <v>9</v>
      </c>
      <c r="B302" s="20" t="n">
        <f aca="false">E252</f>
        <v>0</v>
      </c>
      <c r="C302" s="98" t="n">
        <v>975</v>
      </c>
      <c r="D302" s="20"/>
      <c r="E302" s="47" t="n">
        <f aca="false">B302+C302-D302</f>
        <v>975</v>
      </c>
    </row>
    <row r="303" customFormat="false" ht="33.6" hidden="false" customHeight="false" outlineLevel="0" collapsed="false">
      <c r="A303" s="97" t="s">
        <v>159</v>
      </c>
      <c r="B303" s="20" t="n">
        <f aca="false">E253</f>
        <v>0</v>
      </c>
      <c r="C303" s="20" t="n">
        <f aca="false">39335+30460</f>
        <v>69795</v>
      </c>
      <c r="D303" s="20"/>
      <c r="E303" s="47" t="n">
        <f aca="false">B303+C303-D303</f>
        <v>69795</v>
      </c>
    </row>
    <row r="304" customFormat="false" ht="33.6" hidden="false" customHeight="false" outlineLevel="0" collapsed="false">
      <c r="A304" s="97" t="s">
        <v>414</v>
      </c>
      <c r="B304" s="20" t="n">
        <f aca="false">E254</f>
        <v>0</v>
      </c>
      <c r="C304" s="20"/>
      <c r="D304" s="20"/>
      <c r="E304" s="47" t="n">
        <f aca="false">B304+C304-D304</f>
        <v>0</v>
      </c>
    </row>
    <row r="305" customFormat="false" ht="33.6" hidden="false" customHeight="false" outlineLevel="0" collapsed="false">
      <c r="A305" s="97" t="s">
        <v>202</v>
      </c>
      <c r="B305" s="20" t="n">
        <f aca="false">E255</f>
        <v>0</v>
      </c>
      <c r="C305" s="20" t="n">
        <v>465</v>
      </c>
      <c r="D305" s="20"/>
      <c r="E305" s="47" t="n">
        <f aca="false">B305+C305-D305</f>
        <v>465</v>
      </c>
    </row>
    <row r="306" customFormat="false" ht="16.8" hidden="false" customHeight="false" outlineLevel="0" collapsed="false">
      <c r="A306" s="19" t="s">
        <v>10</v>
      </c>
      <c r="B306" s="20" t="n">
        <f aca="false">E256</f>
        <v>0</v>
      </c>
      <c r="C306" s="20" t="n">
        <f aca="false">104035-C302</f>
        <v>103060</v>
      </c>
      <c r="D306" s="20"/>
      <c r="E306" s="47" t="n">
        <f aca="false">B306+C306-D306</f>
        <v>103060</v>
      </c>
    </row>
    <row r="307" customFormat="false" ht="16.8" hidden="false" customHeight="false" outlineLevel="0" collapsed="false">
      <c r="A307" s="21" t="s">
        <v>11</v>
      </c>
      <c r="B307" s="22" t="n">
        <f aca="false">SUM(B302:B306)</f>
        <v>0</v>
      </c>
      <c r="C307" s="22" t="n">
        <f aca="false">SUM(C303:C306)</f>
        <v>173320</v>
      </c>
      <c r="D307" s="22" t="n">
        <f aca="false">SUM(D302:D306)</f>
        <v>0</v>
      </c>
      <c r="E307" s="22" t="n">
        <f aca="false">SUM(E302:E306)</f>
        <v>174295</v>
      </c>
    </row>
    <row r="308" customFormat="false" ht="16.8" hidden="false" customHeight="false" outlineLevel="0" collapsed="false">
      <c r="A308" s="13" t="s">
        <v>12</v>
      </c>
      <c r="B308" s="13"/>
      <c r="C308" s="13"/>
      <c r="D308" s="13"/>
      <c r="E308" s="13"/>
      <c r="F308" s="13"/>
    </row>
    <row r="309" customFormat="false" ht="33.6" hidden="false" customHeight="false" outlineLevel="0" collapsed="false">
      <c r="A309" s="25" t="s">
        <v>13</v>
      </c>
      <c r="B309" s="17" t="s">
        <v>544</v>
      </c>
      <c r="C309" s="17" t="s">
        <v>545</v>
      </c>
      <c r="D309" s="120" t="s">
        <v>418</v>
      </c>
      <c r="E309" s="143" t="s">
        <v>419</v>
      </c>
      <c r="F309" s="120" t="s">
        <v>16</v>
      </c>
    </row>
    <row r="310" customFormat="false" ht="33.6" hidden="false" customHeight="false" outlineLevel="0" collapsed="false">
      <c r="A310" s="49" t="s">
        <v>49</v>
      </c>
      <c r="B310" s="20" t="n">
        <v>2730</v>
      </c>
      <c r="C310" s="20" t="n">
        <v>2200</v>
      </c>
      <c r="D310" s="144" t="n">
        <f aca="false">C310+C311+B310+B311</f>
        <v>17330</v>
      </c>
      <c r="E310" s="144" t="n">
        <f aca="false">D302+D303</f>
        <v>0</v>
      </c>
      <c r="F310" s="145" t="n">
        <f aca="false">E310/D310</f>
        <v>0</v>
      </c>
    </row>
    <row r="311" customFormat="false" ht="16.8" hidden="false" customHeight="false" outlineLevel="0" collapsed="false">
      <c r="A311" s="49" t="s">
        <v>466</v>
      </c>
      <c r="B311" s="20" t="n">
        <v>6440</v>
      </c>
      <c r="C311" s="20" t="n">
        <v>5960</v>
      </c>
      <c r="D311" s="146"/>
      <c r="E311" s="146"/>
      <c r="F311" s="147"/>
    </row>
    <row r="312" customFormat="false" ht="16.8" hidden="false" customHeight="false" outlineLevel="0" collapsed="false">
      <c r="A312" s="49" t="s">
        <v>432</v>
      </c>
      <c r="B312" s="20"/>
      <c r="C312" s="20"/>
      <c r="D312" s="34" t="n">
        <f aca="false">SUM(B312:C322)</f>
        <v>22950</v>
      </c>
      <c r="E312" s="34" t="n">
        <f aca="false">D306</f>
        <v>0</v>
      </c>
      <c r="F312" s="122" t="n">
        <f aca="false">E312/D312</f>
        <v>0</v>
      </c>
    </row>
    <row r="313" customFormat="false" ht="16.8" hidden="false" customHeight="false" outlineLevel="0" collapsed="false">
      <c r="A313" s="49" t="s">
        <v>403</v>
      </c>
      <c r="B313" s="20"/>
      <c r="C313" s="20"/>
      <c r="D313" s="34"/>
      <c r="E313" s="34"/>
      <c r="F313" s="122"/>
    </row>
    <row r="314" customFormat="false" ht="16.8" hidden="false" customHeight="false" outlineLevel="0" collapsed="false">
      <c r="A314" s="49" t="s">
        <v>401</v>
      </c>
      <c r="B314" s="20"/>
      <c r="C314" s="20"/>
      <c r="D314" s="34"/>
      <c r="E314" s="34"/>
      <c r="F314" s="122"/>
    </row>
    <row r="315" customFormat="false" ht="16.8" hidden="false" customHeight="false" outlineLevel="0" collapsed="false">
      <c r="A315" s="49" t="s">
        <v>433</v>
      </c>
      <c r="B315" s="20"/>
      <c r="C315" s="20"/>
      <c r="D315" s="34"/>
      <c r="E315" s="34"/>
      <c r="F315" s="122"/>
    </row>
    <row r="316" customFormat="false" ht="16.8" hidden="false" customHeight="false" outlineLevel="0" collapsed="false">
      <c r="A316" s="49" t="s">
        <v>434</v>
      </c>
      <c r="B316" s="20"/>
      <c r="C316" s="20"/>
      <c r="D316" s="34"/>
      <c r="E316" s="34"/>
      <c r="F316" s="122"/>
    </row>
    <row r="317" customFormat="false" ht="16.8" hidden="false" customHeight="false" outlineLevel="0" collapsed="false">
      <c r="A317" s="49" t="s">
        <v>399</v>
      </c>
      <c r="B317" s="20"/>
      <c r="C317" s="20"/>
      <c r="D317" s="34"/>
      <c r="E317" s="34"/>
      <c r="F317" s="122"/>
    </row>
    <row r="318" customFormat="false" ht="16.8" hidden="false" customHeight="false" outlineLevel="0" collapsed="false">
      <c r="A318" s="49" t="s">
        <v>435</v>
      </c>
      <c r="B318" s="20" t="n">
        <v>10750</v>
      </c>
      <c r="C318" s="20"/>
      <c r="D318" s="34"/>
      <c r="E318" s="34"/>
      <c r="F318" s="122"/>
    </row>
    <row r="319" customFormat="false" ht="16.8" hidden="false" customHeight="false" outlineLevel="0" collapsed="false">
      <c r="A319" s="49" t="s">
        <v>436</v>
      </c>
      <c r="B319" s="20"/>
      <c r="C319" s="20" t="n">
        <v>12200</v>
      </c>
      <c r="D319" s="34"/>
      <c r="E319" s="34"/>
      <c r="F319" s="122"/>
    </row>
    <row r="320" customFormat="false" ht="16.8" hidden="false" customHeight="false" outlineLevel="0" collapsed="false">
      <c r="A320" s="49" t="s">
        <v>398</v>
      </c>
      <c r="B320" s="20"/>
      <c r="C320" s="20"/>
      <c r="D320" s="34"/>
      <c r="E320" s="34"/>
      <c r="F320" s="122"/>
    </row>
    <row r="321" customFormat="false" ht="16.8" hidden="false" customHeight="false" outlineLevel="0" collapsed="false">
      <c r="A321" s="49" t="s">
        <v>384</v>
      </c>
      <c r="B321" s="20"/>
      <c r="C321" s="20"/>
      <c r="D321" s="34"/>
      <c r="E321" s="34"/>
      <c r="F321" s="122"/>
    </row>
    <row r="322" customFormat="false" ht="16.8" hidden="false" customHeight="false" outlineLevel="0" collapsed="false">
      <c r="A322" s="49" t="s">
        <v>390</v>
      </c>
      <c r="B322" s="20"/>
      <c r="C322" s="20"/>
      <c r="D322" s="34"/>
      <c r="E322" s="34"/>
      <c r="F322" s="122"/>
    </row>
    <row r="323" customFormat="false" ht="16.8" hidden="false" customHeight="false" outlineLevel="0" collapsed="false">
      <c r="A323" s="30" t="s">
        <v>11</v>
      </c>
      <c r="B323" s="94" t="n">
        <f aca="false">SUM(B310:B322)</f>
        <v>19920</v>
      </c>
      <c r="C323" s="94" t="n">
        <f aca="false">SUM(C310:C322)</f>
        <v>20360</v>
      </c>
      <c r="D323" s="94" t="n">
        <f aca="false">SUM(D310:D322)</f>
        <v>40280</v>
      </c>
      <c r="E323" s="94" t="n">
        <f aca="false">E310+E312</f>
        <v>0</v>
      </c>
      <c r="F323" s="89" t="n">
        <f aca="false">E323/D323</f>
        <v>0</v>
      </c>
    </row>
    <row r="324" customFormat="false" ht="16.8" hidden="false" customHeight="false" outlineLevel="0" collapsed="false">
      <c r="A324" s="55" t="s">
        <v>476</v>
      </c>
      <c r="B324" s="56"/>
      <c r="C324" s="56"/>
      <c r="D324" s="56"/>
      <c r="E324" s="100"/>
      <c r="F324" s="100"/>
    </row>
    <row r="325" customFormat="false" ht="16.8" hidden="false" customHeight="false" outlineLevel="0" collapsed="false">
      <c r="A325" s="13" t="s">
        <v>20</v>
      </c>
      <c r="B325" s="1"/>
      <c r="C325" s="1"/>
      <c r="D325" s="1"/>
      <c r="E325" s="1"/>
      <c r="F325" s="1"/>
    </row>
    <row r="326" customFormat="false" ht="16.8" hidden="false" customHeight="false" outlineLevel="0" collapsed="false">
      <c r="A326" s="17" t="s">
        <v>13</v>
      </c>
      <c r="B326" s="17" t="s">
        <v>21</v>
      </c>
      <c r="C326" s="18"/>
      <c r="D326" s="18"/>
      <c r="E326" s="18"/>
      <c r="F326" s="39"/>
    </row>
    <row r="327" customFormat="false" ht="20.25" hidden="false" customHeight="true" outlineLevel="0" collapsed="false">
      <c r="A327" s="49" t="s">
        <v>420</v>
      </c>
      <c r="B327" s="20" t="n">
        <v>32100</v>
      </c>
      <c r="C327" s="18"/>
      <c r="D327" s="18"/>
      <c r="E327" s="18"/>
      <c r="F327" s="39"/>
    </row>
    <row r="328" customFormat="false" ht="16.8" hidden="false" customHeight="false" outlineLevel="0" collapsed="false">
      <c r="A328" s="49" t="s">
        <v>466</v>
      </c>
      <c r="B328" s="20" t="n">
        <v>38405</v>
      </c>
      <c r="C328" s="18"/>
      <c r="D328" s="18"/>
      <c r="E328" s="18"/>
      <c r="F328" s="39"/>
    </row>
    <row r="329" customFormat="false" ht="16.8" hidden="false" customHeight="false" outlineLevel="0" collapsed="false">
      <c r="A329" s="49" t="s">
        <v>432</v>
      </c>
      <c r="B329" s="20"/>
      <c r="C329" s="18"/>
      <c r="D329" s="18"/>
      <c r="E329" s="18"/>
      <c r="F329" s="39"/>
    </row>
    <row r="330" customFormat="false" ht="16.8" hidden="false" customHeight="false" outlineLevel="0" collapsed="false">
      <c r="A330" s="49" t="s">
        <v>403</v>
      </c>
      <c r="B330" s="20"/>
      <c r="C330" s="18"/>
      <c r="D330" s="18"/>
      <c r="E330" s="18"/>
      <c r="F330" s="39"/>
    </row>
    <row r="331" customFormat="false" ht="16.8" hidden="false" customHeight="false" outlineLevel="0" collapsed="false">
      <c r="A331" s="49" t="s">
        <v>401</v>
      </c>
      <c r="B331" s="20"/>
      <c r="C331" s="18"/>
      <c r="D331" s="18"/>
      <c r="E331" s="18"/>
      <c r="F331" s="39"/>
    </row>
    <row r="332" customFormat="false" ht="16.8" hidden="false" customHeight="false" outlineLevel="0" collapsed="false">
      <c r="A332" s="49" t="s">
        <v>433</v>
      </c>
      <c r="B332" s="20" t="n">
        <v>16400</v>
      </c>
      <c r="C332" s="18"/>
      <c r="D332" s="18"/>
      <c r="E332" s="18"/>
      <c r="F332" s="39"/>
    </row>
    <row r="333" customFormat="false" ht="16.8" hidden="false" customHeight="false" outlineLevel="0" collapsed="false">
      <c r="A333" s="49" t="s">
        <v>434</v>
      </c>
      <c r="B333" s="20"/>
      <c r="C333" s="18"/>
      <c r="D333" s="18"/>
      <c r="E333" s="18"/>
      <c r="F333" s="39"/>
    </row>
    <row r="334" customFormat="false" ht="16.8" hidden="false" customHeight="false" outlineLevel="0" collapsed="false">
      <c r="A334" s="49" t="s">
        <v>399</v>
      </c>
      <c r="B334" s="20" t="n">
        <v>16800</v>
      </c>
      <c r="C334" s="18"/>
      <c r="D334" s="18"/>
      <c r="E334" s="18"/>
      <c r="F334" s="39"/>
    </row>
    <row r="335" customFormat="false" ht="16.8" hidden="false" customHeight="false" outlineLevel="0" collapsed="false">
      <c r="A335" s="49" t="s">
        <v>435</v>
      </c>
      <c r="B335" s="20" t="n">
        <v>2050</v>
      </c>
      <c r="C335" s="18"/>
      <c r="D335" s="18"/>
      <c r="E335" s="18"/>
      <c r="F335" s="39"/>
    </row>
    <row r="336" customFormat="false" ht="16.8" hidden="false" customHeight="false" outlineLevel="0" collapsed="false">
      <c r="A336" s="49" t="s">
        <v>436</v>
      </c>
      <c r="B336" s="20" t="n">
        <v>13400</v>
      </c>
      <c r="C336" s="18"/>
      <c r="D336" s="18"/>
      <c r="E336" s="18"/>
      <c r="F336" s="39"/>
    </row>
    <row r="337" customFormat="false" ht="16.8" hidden="false" customHeight="false" outlineLevel="0" collapsed="false">
      <c r="A337" s="49" t="s">
        <v>398</v>
      </c>
      <c r="B337" s="20"/>
      <c r="C337" s="1"/>
      <c r="D337" s="1"/>
      <c r="E337" s="1"/>
      <c r="F337" s="26"/>
    </row>
    <row r="338" customFormat="false" ht="16.8" hidden="false" customHeight="false" outlineLevel="0" collapsed="false">
      <c r="A338" s="49" t="s">
        <v>384</v>
      </c>
      <c r="B338" s="20"/>
      <c r="C338" s="1"/>
      <c r="D338" s="1"/>
      <c r="E338" s="1"/>
      <c r="F338" s="26"/>
    </row>
    <row r="339" customFormat="false" ht="16.8" hidden="false" customHeight="false" outlineLevel="0" collapsed="false">
      <c r="A339" s="49" t="s">
        <v>390</v>
      </c>
      <c r="B339" s="20"/>
      <c r="C339" s="1"/>
      <c r="D339" s="1"/>
      <c r="E339" s="1"/>
      <c r="F339" s="26"/>
    </row>
    <row r="340" customFormat="false" ht="16.8" hidden="false" customHeight="false" outlineLevel="0" collapsed="false">
      <c r="A340" s="25" t="s">
        <v>11</v>
      </c>
      <c r="B340" s="35" t="n">
        <f aca="false">SUM(B327:B339)</f>
        <v>119155</v>
      </c>
      <c r="C340" s="1"/>
      <c r="D340" s="45"/>
      <c r="E340" s="45"/>
      <c r="F340" s="26"/>
    </row>
    <row r="341" customFormat="false" ht="13.2" hidden="false" customHeight="false" outlineLevel="0" collapsed="false">
      <c r="A341" s="1"/>
      <c r="B341" s="1"/>
      <c r="C341" s="1"/>
      <c r="D341" s="1"/>
      <c r="E341" s="1"/>
      <c r="F341" s="39"/>
    </row>
    <row r="342" customFormat="false" ht="16.8" hidden="false" customHeight="false" outlineLevel="0" collapsed="false">
      <c r="A342" s="39"/>
      <c r="B342" s="39"/>
      <c r="C342" s="141"/>
      <c r="D342" s="140" t="s">
        <v>396</v>
      </c>
      <c r="E342" s="140"/>
      <c r="F342" s="140"/>
    </row>
    <row r="346" customFormat="false" ht="18.6" hidden="false" customHeight="true" outlineLevel="0" collapsed="false">
      <c r="A346" s="118" t="s">
        <v>546</v>
      </c>
      <c r="B346" s="118"/>
      <c r="C346" s="118"/>
      <c r="D346" s="118"/>
      <c r="E346" s="118"/>
      <c r="F346" s="118"/>
    </row>
    <row r="347" customFormat="false" ht="13.8" hidden="false" customHeight="true" outlineLevel="0" collapsed="false">
      <c r="A347" s="119" t="s">
        <v>2</v>
      </c>
      <c r="B347" s="119"/>
      <c r="C347" s="119"/>
      <c r="D347" s="119"/>
      <c r="E347" s="119"/>
      <c r="F347" s="119"/>
    </row>
    <row r="348" customFormat="false" ht="16.8" hidden="false" customHeight="false" outlineLevel="0" collapsed="false">
      <c r="A348" s="13" t="s">
        <v>3</v>
      </c>
      <c r="B348" s="14"/>
      <c r="C348" s="14"/>
      <c r="D348" s="46"/>
      <c r="E348" s="66" t="s">
        <v>4</v>
      </c>
      <c r="F348" s="66"/>
    </row>
    <row r="349" customFormat="false" ht="33.6" hidden="false" customHeight="false" outlineLevel="0" collapsed="false">
      <c r="A349" s="17" t="s">
        <v>5</v>
      </c>
      <c r="B349" s="17" t="s">
        <v>5</v>
      </c>
      <c r="C349" s="17" t="s">
        <v>547</v>
      </c>
      <c r="D349" s="17" t="s">
        <v>7</v>
      </c>
      <c r="E349" s="17" t="s">
        <v>8</v>
      </c>
      <c r="F349" s="150"/>
    </row>
    <row r="350" customFormat="false" ht="16.8" hidden="false" customHeight="false" outlineLevel="0" collapsed="false">
      <c r="A350" s="19" t="s">
        <v>9</v>
      </c>
      <c r="B350" s="20" t="n">
        <f aca="false">E302</f>
        <v>975</v>
      </c>
      <c r="C350" s="98" t="n">
        <v>210</v>
      </c>
      <c r="D350" s="20" t="n">
        <v>1185</v>
      </c>
      <c r="E350" s="47" t="n">
        <f aca="false">B350+C350-D350</f>
        <v>0</v>
      </c>
    </row>
    <row r="351" customFormat="false" ht="33.6" hidden="false" customHeight="false" outlineLevel="0" collapsed="false">
      <c r="A351" s="97" t="s">
        <v>159</v>
      </c>
      <c r="B351" s="20" t="n">
        <f aca="false">E303</f>
        <v>69795</v>
      </c>
      <c r="C351" s="20" t="n">
        <v>31045</v>
      </c>
      <c r="D351" s="20" t="n">
        <f aca="false">100840-2580</f>
        <v>98260</v>
      </c>
      <c r="E351" s="47" t="n">
        <f aca="false">B351+C351-D351</f>
        <v>2580</v>
      </c>
    </row>
    <row r="352" customFormat="false" ht="33.6" hidden="false" customHeight="false" outlineLevel="0" collapsed="false">
      <c r="A352" s="97" t="s">
        <v>414</v>
      </c>
      <c r="B352" s="20" t="n">
        <f aca="false">E304</f>
        <v>0</v>
      </c>
      <c r="C352" s="20"/>
      <c r="D352" s="20"/>
      <c r="E352" s="47" t="n">
        <f aca="false">B352+C352-D352</f>
        <v>0</v>
      </c>
    </row>
    <row r="353" customFormat="false" ht="33.6" hidden="false" customHeight="false" outlineLevel="0" collapsed="false">
      <c r="A353" s="97" t="s">
        <v>202</v>
      </c>
      <c r="B353" s="20" t="n">
        <f aca="false">E305</f>
        <v>465</v>
      </c>
      <c r="C353" s="20" t="n">
        <v>65</v>
      </c>
      <c r="D353" s="20" t="n">
        <v>530</v>
      </c>
      <c r="E353" s="47" t="n">
        <f aca="false">B353+C353-D353</f>
        <v>0</v>
      </c>
    </row>
    <row r="354" customFormat="false" ht="16.8" hidden="false" customHeight="false" outlineLevel="0" collapsed="false">
      <c r="A354" s="19" t="s">
        <v>10</v>
      </c>
      <c r="B354" s="20" t="n">
        <f aca="false">E306</f>
        <v>103060</v>
      </c>
      <c r="C354" s="20" t="n">
        <f aca="false">70506-C350</f>
        <v>70296</v>
      </c>
      <c r="D354" s="20" t="n">
        <f aca="false">173356-805</f>
        <v>172551</v>
      </c>
      <c r="E354" s="47" t="n">
        <f aca="false">B354+C354-D354</f>
        <v>805</v>
      </c>
    </row>
    <row r="355" customFormat="false" ht="16.8" hidden="false" customHeight="false" outlineLevel="0" collapsed="false">
      <c r="A355" s="21" t="s">
        <v>11</v>
      </c>
      <c r="B355" s="22" t="n">
        <f aca="false">SUM(B350:B354)</f>
        <v>174295</v>
      </c>
      <c r="C355" s="22" t="n">
        <f aca="false">SUM(C351:C354)</f>
        <v>101406</v>
      </c>
      <c r="D355" s="22" t="n">
        <f aca="false">SUM(D350:D354)</f>
        <v>272526</v>
      </c>
      <c r="E355" s="22" t="n">
        <f aca="false">SUM(E350:E354)</f>
        <v>3385</v>
      </c>
    </row>
    <row r="356" customFormat="false" ht="16.8" hidden="false" customHeight="false" outlineLevel="0" collapsed="false">
      <c r="A356" s="13" t="s">
        <v>12</v>
      </c>
      <c r="B356" s="13"/>
      <c r="C356" s="13"/>
      <c r="D356" s="13"/>
      <c r="E356" s="13"/>
      <c r="F356" s="13"/>
    </row>
    <row r="357" customFormat="false" ht="33.6" hidden="false" customHeight="false" outlineLevel="0" collapsed="false">
      <c r="A357" s="25" t="s">
        <v>13</v>
      </c>
      <c r="B357" s="17" t="s">
        <v>548</v>
      </c>
      <c r="C357" s="17" t="s">
        <v>549</v>
      </c>
      <c r="D357" s="120" t="s">
        <v>418</v>
      </c>
      <c r="E357" s="143" t="s">
        <v>419</v>
      </c>
      <c r="F357" s="120" t="s">
        <v>16</v>
      </c>
    </row>
    <row r="358" customFormat="false" ht="33.6" hidden="false" customHeight="false" outlineLevel="0" collapsed="false">
      <c r="A358" s="49" t="s">
        <v>49</v>
      </c>
      <c r="B358" s="20" t="n">
        <f aca="false">B310+C310</f>
        <v>4930</v>
      </c>
      <c r="C358" s="20" t="n">
        <v>11040</v>
      </c>
      <c r="D358" s="144" t="n">
        <f aca="false">C358+C359+B358+B359</f>
        <v>34650</v>
      </c>
      <c r="E358" s="144" t="n">
        <f aca="false">D350+D351</f>
        <v>99445</v>
      </c>
      <c r="F358" s="145" t="n">
        <f aca="false">E358/D358</f>
        <v>2.86998556998557</v>
      </c>
    </row>
    <row r="359" customFormat="false" ht="16.8" hidden="false" customHeight="false" outlineLevel="0" collapsed="false">
      <c r="A359" s="49" t="s">
        <v>466</v>
      </c>
      <c r="B359" s="20" t="n">
        <f aca="false">B311+C311</f>
        <v>12400</v>
      </c>
      <c r="C359" s="20" t="n">
        <v>6280</v>
      </c>
      <c r="D359" s="146"/>
      <c r="E359" s="146"/>
      <c r="F359" s="147"/>
    </row>
    <row r="360" customFormat="false" ht="16.8" hidden="false" customHeight="false" outlineLevel="0" collapsed="false">
      <c r="A360" s="49" t="s">
        <v>432</v>
      </c>
      <c r="B360" s="20" t="n">
        <f aca="false">B312+C312</f>
        <v>0</v>
      </c>
      <c r="C360" s="20"/>
      <c r="D360" s="34" t="n">
        <f aca="false">SUM(B360:C370)</f>
        <v>46000</v>
      </c>
      <c r="E360" s="34" t="n">
        <f aca="false">D354</f>
        <v>172551</v>
      </c>
      <c r="F360" s="122" t="n">
        <f aca="false">E360/D360</f>
        <v>3.75110869565217</v>
      </c>
    </row>
    <row r="361" customFormat="false" ht="16.8" hidden="false" customHeight="false" outlineLevel="0" collapsed="false">
      <c r="A361" s="49" t="s">
        <v>403</v>
      </c>
      <c r="B361" s="20" t="n">
        <f aca="false">B313+C313</f>
        <v>0</v>
      </c>
      <c r="C361" s="20"/>
      <c r="D361" s="34"/>
      <c r="E361" s="34"/>
      <c r="F361" s="122"/>
    </row>
    <row r="362" customFormat="false" ht="16.8" hidden="false" customHeight="false" outlineLevel="0" collapsed="false">
      <c r="A362" s="49" t="s">
        <v>401</v>
      </c>
      <c r="B362" s="20" t="n">
        <f aca="false">B314+C314</f>
        <v>0</v>
      </c>
      <c r="C362" s="20"/>
      <c r="D362" s="34"/>
      <c r="E362" s="34"/>
      <c r="F362" s="122"/>
    </row>
    <row r="363" customFormat="false" ht="16.8" hidden="false" customHeight="false" outlineLevel="0" collapsed="false">
      <c r="A363" s="49" t="s">
        <v>433</v>
      </c>
      <c r="B363" s="20" t="n">
        <f aca="false">B315+C315</f>
        <v>0</v>
      </c>
      <c r="C363" s="20"/>
      <c r="D363" s="34"/>
      <c r="E363" s="34"/>
      <c r="F363" s="122"/>
    </row>
    <row r="364" customFormat="false" ht="16.8" hidden="false" customHeight="false" outlineLevel="0" collapsed="false">
      <c r="A364" s="49" t="s">
        <v>434</v>
      </c>
      <c r="B364" s="20" t="n">
        <f aca="false">B316+C316</f>
        <v>0</v>
      </c>
      <c r="C364" s="20"/>
      <c r="D364" s="34"/>
      <c r="E364" s="34"/>
      <c r="F364" s="122"/>
    </row>
    <row r="365" customFormat="false" ht="16.8" hidden="false" customHeight="false" outlineLevel="0" collapsed="false">
      <c r="A365" s="49" t="s">
        <v>399</v>
      </c>
      <c r="B365" s="20" t="n">
        <f aca="false">B317+C317</f>
        <v>0</v>
      </c>
      <c r="C365" s="20" t="n">
        <v>4550</v>
      </c>
      <c r="D365" s="34"/>
      <c r="E365" s="34"/>
      <c r="F365" s="122"/>
    </row>
    <row r="366" customFormat="false" ht="16.8" hidden="false" customHeight="false" outlineLevel="0" collapsed="false">
      <c r="A366" s="49" t="s">
        <v>435</v>
      </c>
      <c r="B366" s="20" t="n">
        <f aca="false">B318+C318</f>
        <v>10750</v>
      </c>
      <c r="C366" s="20"/>
      <c r="D366" s="34"/>
      <c r="E366" s="34"/>
      <c r="F366" s="122"/>
    </row>
    <row r="367" customFormat="false" ht="16.8" hidden="false" customHeight="false" outlineLevel="0" collapsed="false">
      <c r="A367" s="49" t="s">
        <v>436</v>
      </c>
      <c r="B367" s="20" t="n">
        <f aca="false">B319+C319</f>
        <v>12200</v>
      </c>
      <c r="C367" s="20" t="n">
        <v>18500</v>
      </c>
      <c r="D367" s="34"/>
      <c r="E367" s="34"/>
      <c r="F367" s="122"/>
    </row>
    <row r="368" customFormat="false" ht="16.8" hidden="false" customHeight="false" outlineLevel="0" collapsed="false">
      <c r="A368" s="49" t="s">
        <v>398</v>
      </c>
      <c r="B368" s="20" t="n">
        <f aca="false">B320+C320</f>
        <v>0</v>
      </c>
      <c r="C368" s="20"/>
      <c r="D368" s="34"/>
      <c r="E368" s="34"/>
      <c r="F368" s="122"/>
    </row>
    <row r="369" customFormat="false" ht="16.8" hidden="false" customHeight="false" outlineLevel="0" collapsed="false">
      <c r="A369" s="49" t="s">
        <v>384</v>
      </c>
      <c r="B369" s="20" t="n">
        <f aca="false">B321+C321</f>
        <v>0</v>
      </c>
      <c r="C369" s="20"/>
      <c r="D369" s="34"/>
      <c r="E369" s="34"/>
      <c r="F369" s="122"/>
    </row>
    <row r="370" customFormat="false" ht="16.8" hidden="false" customHeight="false" outlineLevel="0" collapsed="false">
      <c r="A370" s="49" t="s">
        <v>390</v>
      </c>
      <c r="B370" s="20" t="n">
        <f aca="false">B322+C322</f>
        <v>0</v>
      </c>
      <c r="C370" s="20"/>
      <c r="D370" s="34"/>
      <c r="E370" s="34"/>
      <c r="F370" s="122"/>
    </row>
    <row r="371" customFormat="false" ht="16.8" hidden="false" customHeight="false" outlineLevel="0" collapsed="false">
      <c r="A371" s="30" t="s">
        <v>11</v>
      </c>
      <c r="B371" s="94" t="n">
        <f aca="false">SUM(B358:B370)</f>
        <v>40280</v>
      </c>
      <c r="C371" s="94" t="n">
        <f aca="false">SUM(C358:C370)</f>
        <v>40370</v>
      </c>
      <c r="D371" s="94" t="n">
        <f aca="false">SUM(D358:D370)</f>
        <v>80650</v>
      </c>
      <c r="E371" s="94" t="n">
        <f aca="false">E358+E360</f>
        <v>271996</v>
      </c>
      <c r="F371" s="89" t="n">
        <f aca="false">E371/D371</f>
        <v>3.37254804711717</v>
      </c>
    </row>
    <row r="372" customFormat="false" ht="16.8" hidden="false" customHeight="false" outlineLevel="0" collapsed="false">
      <c r="A372" s="55" t="s">
        <v>476</v>
      </c>
      <c r="B372" s="56"/>
      <c r="C372" s="56"/>
      <c r="D372" s="56"/>
      <c r="E372" s="100"/>
      <c r="F372" s="100"/>
    </row>
    <row r="373" customFormat="false" ht="16.8" hidden="false" customHeight="false" outlineLevel="0" collapsed="false">
      <c r="A373" s="55" t="s">
        <v>550</v>
      </c>
      <c r="B373" s="56"/>
      <c r="C373" s="56"/>
      <c r="D373" s="56"/>
      <c r="E373" s="100"/>
      <c r="F373" s="100"/>
    </row>
    <row r="374" customFormat="false" ht="16.8" hidden="false" customHeight="false" outlineLevel="0" collapsed="false">
      <c r="A374" s="13" t="s">
        <v>20</v>
      </c>
      <c r="B374" s="1"/>
      <c r="C374" s="1"/>
      <c r="D374" s="1"/>
      <c r="E374" s="1"/>
      <c r="F374" s="1"/>
    </row>
    <row r="375" customFormat="false" ht="16.8" hidden="false" customHeight="false" outlineLevel="0" collapsed="false">
      <c r="A375" s="17" t="s">
        <v>13</v>
      </c>
      <c r="B375" s="17" t="s">
        <v>21</v>
      </c>
      <c r="C375" s="18"/>
      <c r="D375" s="18"/>
      <c r="E375" s="18"/>
      <c r="F375" s="39"/>
    </row>
    <row r="376" customFormat="false" ht="18" hidden="false" customHeight="true" outlineLevel="0" collapsed="false">
      <c r="A376" s="49" t="s">
        <v>420</v>
      </c>
      <c r="B376" s="20" t="n">
        <v>43140</v>
      </c>
      <c r="C376" s="18"/>
      <c r="D376" s="18"/>
      <c r="E376" s="18"/>
      <c r="F376" s="39"/>
    </row>
    <row r="377" customFormat="false" ht="16.8" hidden="false" customHeight="false" outlineLevel="0" collapsed="false">
      <c r="A377" s="49" t="s">
        <v>466</v>
      </c>
      <c r="B377" s="20" t="n">
        <v>44685</v>
      </c>
      <c r="C377" s="18"/>
      <c r="D377" s="18"/>
      <c r="E377" s="18"/>
      <c r="F377" s="39"/>
    </row>
    <row r="378" customFormat="false" ht="16.8" hidden="false" customHeight="false" outlineLevel="0" collapsed="false">
      <c r="A378" s="49" t="s">
        <v>432</v>
      </c>
      <c r="B378" s="20"/>
      <c r="C378" s="18"/>
      <c r="D378" s="18"/>
      <c r="E378" s="18"/>
      <c r="F378" s="39"/>
    </row>
    <row r="379" customFormat="false" ht="16.8" hidden="false" customHeight="false" outlineLevel="0" collapsed="false">
      <c r="A379" s="49" t="s">
        <v>403</v>
      </c>
      <c r="B379" s="20"/>
      <c r="C379" s="18"/>
      <c r="D379" s="18"/>
      <c r="E379" s="18"/>
      <c r="F379" s="39"/>
    </row>
    <row r="380" customFormat="false" ht="16.8" hidden="false" customHeight="false" outlineLevel="0" collapsed="false">
      <c r="A380" s="49" t="s">
        <v>401</v>
      </c>
      <c r="B380" s="20"/>
      <c r="C380" s="18"/>
      <c r="D380" s="18"/>
      <c r="E380" s="18"/>
      <c r="F380" s="39"/>
    </row>
    <row r="381" customFormat="false" ht="16.8" hidden="false" customHeight="false" outlineLevel="0" collapsed="false">
      <c r="A381" s="49" t="s">
        <v>433</v>
      </c>
      <c r="B381" s="20" t="n">
        <v>16400</v>
      </c>
      <c r="C381" s="18"/>
      <c r="D381" s="18"/>
      <c r="E381" s="18"/>
      <c r="F381" s="39"/>
    </row>
    <row r="382" customFormat="false" ht="16.8" hidden="false" customHeight="false" outlineLevel="0" collapsed="false">
      <c r="A382" s="49" t="s">
        <v>434</v>
      </c>
      <c r="B382" s="20"/>
      <c r="C382" s="18"/>
      <c r="D382" s="18"/>
      <c r="E382" s="18"/>
      <c r="F382" s="39"/>
    </row>
    <row r="383" customFormat="false" ht="16.8" hidden="false" customHeight="false" outlineLevel="0" collapsed="false">
      <c r="A383" s="49" t="s">
        <v>399</v>
      </c>
      <c r="B383" s="20" t="n">
        <v>21350</v>
      </c>
      <c r="C383" s="18"/>
      <c r="D383" s="18"/>
      <c r="E383" s="18"/>
      <c r="F383" s="39"/>
    </row>
    <row r="384" customFormat="false" ht="16.8" hidden="false" customHeight="false" outlineLevel="0" collapsed="false">
      <c r="A384" s="49" t="s">
        <v>435</v>
      </c>
      <c r="B384" s="20" t="n">
        <v>2050</v>
      </c>
      <c r="C384" s="18"/>
      <c r="D384" s="18"/>
      <c r="E384" s="18"/>
      <c r="F384" s="39"/>
    </row>
    <row r="385" customFormat="false" ht="16.8" hidden="false" customHeight="false" outlineLevel="0" collapsed="false">
      <c r="A385" s="49" t="s">
        <v>436</v>
      </c>
      <c r="B385" s="20" t="n">
        <v>31900</v>
      </c>
      <c r="C385" s="18"/>
      <c r="D385" s="18"/>
      <c r="E385" s="18"/>
      <c r="F385" s="39"/>
    </row>
    <row r="386" customFormat="false" ht="16.8" hidden="false" customHeight="false" outlineLevel="0" collapsed="false">
      <c r="A386" s="49" t="s">
        <v>398</v>
      </c>
      <c r="B386" s="20"/>
      <c r="C386" s="1"/>
      <c r="D386" s="1"/>
      <c r="E386" s="1"/>
      <c r="F386" s="26"/>
    </row>
    <row r="387" customFormat="false" ht="16.8" hidden="false" customHeight="false" outlineLevel="0" collapsed="false">
      <c r="A387" s="49" t="s">
        <v>384</v>
      </c>
      <c r="B387" s="20"/>
      <c r="C387" s="1"/>
      <c r="D387" s="1"/>
      <c r="E387" s="1"/>
      <c r="F387" s="26"/>
    </row>
    <row r="388" customFormat="false" ht="16.8" hidden="false" customHeight="false" outlineLevel="0" collapsed="false">
      <c r="A388" s="49" t="s">
        <v>390</v>
      </c>
      <c r="B388" s="20"/>
      <c r="C388" s="1"/>
      <c r="D388" s="1"/>
      <c r="E388" s="1"/>
      <c r="F388" s="26"/>
    </row>
    <row r="389" customFormat="false" ht="16.8" hidden="false" customHeight="false" outlineLevel="0" collapsed="false">
      <c r="A389" s="25" t="s">
        <v>11</v>
      </c>
      <c r="B389" s="35" t="n">
        <f aca="false">SUM(B376:B388)</f>
        <v>159525</v>
      </c>
      <c r="C389" s="1"/>
      <c r="D389" s="45"/>
      <c r="E389" s="45"/>
      <c r="F389" s="26"/>
    </row>
    <row r="390" customFormat="false" ht="13.2" hidden="false" customHeight="false" outlineLevel="0" collapsed="false">
      <c r="A390" s="1"/>
      <c r="B390" s="1"/>
      <c r="C390" s="1"/>
      <c r="D390" s="1"/>
      <c r="E390" s="1"/>
      <c r="F390" s="39"/>
    </row>
    <row r="391" customFormat="false" ht="16.8" hidden="false" customHeight="false" outlineLevel="0" collapsed="false">
      <c r="A391" s="39"/>
      <c r="B391" s="39"/>
      <c r="C391" s="141"/>
      <c r="D391" s="140" t="s">
        <v>396</v>
      </c>
      <c r="E391" s="140"/>
      <c r="F391" s="140"/>
    </row>
    <row r="396" customFormat="false" ht="18.6" hidden="false" customHeight="true" outlineLevel="0" collapsed="false">
      <c r="A396" s="118" t="s">
        <v>551</v>
      </c>
      <c r="B396" s="118"/>
      <c r="C396" s="118"/>
      <c r="D396" s="118"/>
      <c r="E396" s="118"/>
      <c r="F396" s="118"/>
    </row>
    <row r="397" customFormat="false" ht="13.8" hidden="false" customHeight="true" outlineLevel="0" collapsed="false">
      <c r="A397" s="119" t="s">
        <v>2</v>
      </c>
      <c r="B397" s="119"/>
      <c r="C397" s="119"/>
      <c r="D397" s="119"/>
      <c r="E397" s="119"/>
      <c r="F397" s="119"/>
    </row>
    <row r="398" customFormat="false" ht="16.8" hidden="false" customHeight="false" outlineLevel="0" collapsed="false">
      <c r="A398" s="13" t="s">
        <v>3</v>
      </c>
      <c r="B398" s="14"/>
      <c r="C398" s="14"/>
      <c r="D398" s="46"/>
      <c r="E398" s="66" t="s">
        <v>4</v>
      </c>
      <c r="F398" s="66"/>
    </row>
    <row r="399" customFormat="false" ht="33.6" hidden="false" customHeight="false" outlineLevel="0" collapsed="false">
      <c r="A399" s="17" t="s">
        <v>5</v>
      </c>
      <c r="B399" s="17" t="s">
        <v>5</v>
      </c>
      <c r="C399" s="17" t="s">
        <v>552</v>
      </c>
      <c r="D399" s="17" t="s">
        <v>7</v>
      </c>
      <c r="E399" s="17" t="s">
        <v>8</v>
      </c>
      <c r="F399" s="150"/>
    </row>
    <row r="400" customFormat="false" ht="16.8" hidden="false" customHeight="false" outlineLevel="0" collapsed="false">
      <c r="A400" s="19" t="s">
        <v>9</v>
      </c>
      <c r="B400" s="20" t="n">
        <f aca="false">E350</f>
        <v>0</v>
      </c>
      <c r="C400" s="98"/>
      <c r="D400" s="20"/>
      <c r="E400" s="47" t="n">
        <f aca="false">B400+C400-D400</f>
        <v>0</v>
      </c>
    </row>
    <row r="401" customFormat="false" ht="33.6" hidden="false" customHeight="false" outlineLevel="0" collapsed="false">
      <c r="A401" s="97" t="s">
        <v>159</v>
      </c>
      <c r="B401" s="20" t="n">
        <f aca="false">E351</f>
        <v>2580</v>
      </c>
      <c r="C401" s="20" t="n">
        <v>26160</v>
      </c>
      <c r="D401" s="20" t="n">
        <v>28740</v>
      </c>
      <c r="E401" s="47" t="n">
        <f aca="false">B401+C401-D401</f>
        <v>0</v>
      </c>
    </row>
    <row r="402" customFormat="false" ht="33.6" hidden="false" customHeight="false" outlineLevel="0" collapsed="false">
      <c r="A402" s="97" t="s">
        <v>414</v>
      </c>
      <c r="B402" s="20" t="n">
        <f aca="false">E352</f>
        <v>0</v>
      </c>
      <c r="C402" s="20"/>
      <c r="D402" s="20"/>
      <c r="E402" s="47" t="n">
        <f aca="false">B402+C402-D402</f>
        <v>0</v>
      </c>
    </row>
    <row r="403" customFormat="false" ht="33.6" hidden="false" customHeight="false" outlineLevel="0" collapsed="false">
      <c r="A403" s="97" t="s">
        <v>202</v>
      </c>
      <c r="B403" s="20" t="n">
        <f aca="false">E353</f>
        <v>0</v>
      </c>
      <c r="C403" s="20"/>
      <c r="D403" s="20"/>
      <c r="E403" s="47" t="n">
        <f aca="false">B403+C403-D403</f>
        <v>0</v>
      </c>
    </row>
    <row r="404" customFormat="false" ht="16.8" hidden="false" customHeight="false" outlineLevel="0" collapsed="false">
      <c r="A404" s="19" t="s">
        <v>10</v>
      </c>
      <c r="B404" s="20" t="n">
        <f aca="false">E354</f>
        <v>805</v>
      </c>
      <c r="C404" s="20" t="n">
        <v>41767</v>
      </c>
      <c r="D404" s="20" t="n">
        <v>42572</v>
      </c>
      <c r="E404" s="47" t="n">
        <f aca="false">B404+C404-D404</f>
        <v>0</v>
      </c>
    </row>
    <row r="405" customFormat="false" ht="16.8" hidden="false" customHeight="false" outlineLevel="0" collapsed="false">
      <c r="A405" s="21" t="s">
        <v>11</v>
      </c>
      <c r="B405" s="22" t="n">
        <f aca="false">SUM(B400:B404)</f>
        <v>3385</v>
      </c>
      <c r="C405" s="22" t="n">
        <f aca="false">SUM(C401:C404)</f>
        <v>67927</v>
      </c>
      <c r="D405" s="22" t="n">
        <f aca="false">SUM(D400:D404)</f>
        <v>71312</v>
      </c>
      <c r="E405" s="22" t="n">
        <f aca="false">SUM(E400:E404)</f>
        <v>0</v>
      </c>
    </row>
    <row r="406" customFormat="false" ht="16.8" hidden="false" customHeight="false" outlineLevel="0" collapsed="false">
      <c r="A406" s="13" t="s">
        <v>12</v>
      </c>
      <c r="B406" s="13"/>
      <c r="C406" s="13"/>
      <c r="D406" s="13"/>
      <c r="E406" s="13"/>
      <c r="F406" s="13"/>
    </row>
    <row r="407" customFormat="false" ht="33.6" hidden="false" customHeight="false" outlineLevel="0" collapsed="false">
      <c r="A407" s="25" t="s">
        <v>13</v>
      </c>
      <c r="B407" s="17" t="s">
        <v>553</v>
      </c>
      <c r="C407" s="120" t="s">
        <v>418</v>
      </c>
      <c r="D407" s="143" t="s">
        <v>419</v>
      </c>
      <c r="E407" s="120" t="s">
        <v>16</v>
      </c>
    </row>
    <row r="408" customFormat="false" ht="33.6" hidden="false" customHeight="false" outlineLevel="0" collapsed="false">
      <c r="A408" s="49" t="s">
        <v>49</v>
      </c>
      <c r="B408" s="20" t="n">
        <v>6250</v>
      </c>
      <c r="C408" s="144" t="n">
        <f aca="false">B408+B409</f>
        <v>12050</v>
      </c>
      <c r="D408" s="144" t="n">
        <f aca="false">D400+D401</f>
        <v>28740</v>
      </c>
      <c r="E408" s="145" t="n">
        <f aca="false">D408/C408</f>
        <v>2.3850622406639</v>
      </c>
    </row>
    <row r="409" customFormat="false" ht="16.8" hidden="false" customHeight="false" outlineLevel="0" collapsed="false">
      <c r="A409" s="49" t="s">
        <v>466</v>
      </c>
      <c r="B409" s="20" t="n">
        <v>5800</v>
      </c>
      <c r="C409" s="146"/>
      <c r="D409" s="146"/>
      <c r="E409" s="147"/>
    </row>
    <row r="410" customFormat="false" ht="16.8" hidden="false" customHeight="false" outlineLevel="0" collapsed="false">
      <c r="A410" s="49" t="s">
        <v>432</v>
      </c>
      <c r="B410" s="20"/>
      <c r="C410" s="34" t="n">
        <f aca="false">SUM(B410:B420)</f>
        <v>11250</v>
      </c>
      <c r="D410" s="34" t="n">
        <f aca="false">D404</f>
        <v>42572</v>
      </c>
      <c r="E410" s="122" t="n">
        <f aca="false">D410/C410</f>
        <v>3.78417777777778</v>
      </c>
    </row>
    <row r="411" customFormat="false" ht="16.8" hidden="false" customHeight="false" outlineLevel="0" collapsed="false">
      <c r="A411" s="49" t="s">
        <v>403</v>
      </c>
      <c r="B411" s="20"/>
      <c r="C411" s="34"/>
      <c r="D411" s="34"/>
      <c r="E411" s="122"/>
    </row>
    <row r="412" customFormat="false" ht="16.8" hidden="false" customHeight="false" outlineLevel="0" collapsed="false">
      <c r="A412" s="49" t="s">
        <v>401</v>
      </c>
      <c r="B412" s="20"/>
      <c r="C412" s="34"/>
      <c r="D412" s="34"/>
      <c r="E412" s="122"/>
    </row>
    <row r="413" customFormat="false" ht="16.8" hidden="false" customHeight="false" outlineLevel="0" collapsed="false">
      <c r="A413" s="49" t="s">
        <v>433</v>
      </c>
      <c r="B413" s="20"/>
      <c r="C413" s="34"/>
      <c r="D413" s="34"/>
      <c r="E413" s="122"/>
    </row>
    <row r="414" customFormat="false" ht="16.8" hidden="false" customHeight="false" outlineLevel="0" collapsed="false">
      <c r="A414" s="49" t="s">
        <v>434</v>
      </c>
      <c r="B414" s="20"/>
      <c r="C414" s="34"/>
      <c r="D414" s="34"/>
      <c r="E414" s="122"/>
    </row>
    <row r="415" customFormat="false" ht="16.8" hidden="false" customHeight="false" outlineLevel="0" collapsed="false">
      <c r="A415" s="49" t="s">
        <v>399</v>
      </c>
      <c r="B415" s="20"/>
      <c r="C415" s="34"/>
      <c r="D415" s="34"/>
      <c r="E415" s="122"/>
    </row>
    <row r="416" customFormat="false" ht="16.8" hidden="false" customHeight="false" outlineLevel="0" collapsed="false">
      <c r="A416" s="49" t="s">
        <v>435</v>
      </c>
      <c r="B416" s="20"/>
      <c r="C416" s="34"/>
      <c r="D416" s="34"/>
      <c r="E416" s="122"/>
    </row>
    <row r="417" customFormat="false" ht="16.8" hidden="false" customHeight="false" outlineLevel="0" collapsed="false">
      <c r="A417" s="49" t="s">
        <v>436</v>
      </c>
      <c r="B417" s="20" t="n">
        <v>9300</v>
      </c>
      <c r="C417" s="34"/>
      <c r="D417" s="34"/>
      <c r="E417" s="122"/>
    </row>
    <row r="418" customFormat="false" ht="16.8" hidden="false" customHeight="false" outlineLevel="0" collapsed="false">
      <c r="A418" s="49" t="s">
        <v>398</v>
      </c>
      <c r="B418" s="20"/>
      <c r="C418" s="34"/>
      <c r="D418" s="34"/>
      <c r="E418" s="122"/>
    </row>
    <row r="419" customFormat="false" ht="16.8" hidden="false" customHeight="false" outlineLevel="0" collapsed="false">
      <c r="A419" s="49" t="s">
        <v>384</v>
      </c>
      <c r="B419" s="20"/>
      <c r="C419" s="34"/>
      <c r="D419" s="34"/>
      <c r="E419" s="122"/>
    </row>
    <row r="420" customFormat="false" ht="16.8" hidden="false" customHeight="false" outlineLevel="0" collapsed="false">
      <c r="A420" s="49" t="s">
        <v>390</v>
      </c>
      <c r="B420" s="20" t="n">
        <v>1950</v>
      </c>
      <c r="C420" s="34"/>
      <c r="D420" s="34"/>
      <c r="E420" s="122"/>
    </row>
    <row r="421" customFormat="false" ht="16.8" hidden="false" customHeight="false" outlineLevel="0" collapsed="false">
      <c r="A421" s="30" t="s">
        <v>11</v>
      </c>
      <c r="B421" s="94" t="n">
        <f aca="false">SUM(B408:B420)</f>
        <v>23300</v>
      </c>
      <c r="C421" s="94" t="n">
        <f aca="false">SUM(C408:C420)</f>
        <v>23300</v>
      </c>
      <c r="D421" s="94" t="n">
        <f aca="false">D408+D410</f>
        <v>71312</v>
      </c>
      <c r="E421" s="89" t="n">
        <f aca="false">D421/C421</f>
        <v>3.0606008583691</v>
      </c>
    </row>
    <row r="422" customFormat="false" ht="16.8" hidden="false" customHeight="false" outlineLevel="0" collapsed="false">
      <c r="A422" s="55" t="s">
        <v>476</v>
      </c>
      <c r="B422" s="56"/>
      <c r="C422" s="56"/>
      <c r="D422" s="56"/>
      <c r="E422" s="100"/>
      <c r="F422" s="100"/>
    </row>
    <row r="423" customFormat="false" ht="16.8" hidden="false" customHeight="false" outlineLevel="0" collapsed="false">
      <c r="A423" s="55" t="s">
        <v>550</v>
      </c>
      <c r="B423" s="56"/>
      <c r="C423" s="56"/>
      <c r="D423" s="56"/>
      <c r="E423" s="100"/>
      <c r="F423" s="100"/>
    </row>
    <row r="424" customFormat="false" ht="16.8" hidden="false" customHeight="false" outlineLevel="0" collapsed="false">
      <c r="A424" s="13" t="s">
        <v>20</v>
      </c>
      <c r="B424" s="1"/>
      <c r="C424" s="1"/>
      <c r="D424" s="1"/>
      <c r="E424" s="1"/>
      <c r="F424" s="1"/>
    </row>
    <row r="425" customFormat="false" ht="16.8" hidden="false" customHeight="false" outlineLevel="0" collapsed="false">
      <c r="A425" s="17" t="s">
        <v>13</v>
      </c>
      <c r="B425" s="17" t="s">
        <v>21</v>
      </c>
      <c r="C425" s="18"/>
      <c r="D425" s="18"/>
      <c r="E425" s="18"/>
      <c r="F425" s="39"/>
    </row>
    <row r="426" customFormat="false" ht="18" hidden="false" customHeight="true" outlineLevel="0" collapsed="false">
      <c r="A426" s="49" t="s">
        <v>420</v>
      </c>
      <c r="B426" s="20" t="n">
        <v>56170</v>
      </c>
      <c r="C426" s="18"/>
      <c r="D426" s="18"/>
      <c r="E426" s="18"/>
      <c r="F426" s="39"/>
    </row>
    <row r="427" customFormat="false" ht="16.8" hidden="false" customHeight="false" outlineLevel="0" collapsed="false">
      <c r="A427" s="49" t="s">
        <v>466</v>
      </c>
      <c r="B427" s="20" t="n">
        <v>17725</v>
      </c>
      <c r="C427" s="18"/>
      <c r="D427" s="18"/>
      <c r="E427" s="18"/>
      <c r="F427" s="39"/>
    </row>
    <row r="428" customFormat="false" ht="16.8" hidden="false" customHeight="false" outlineLevel="0" collapsed="false">
      <c r="A428" s="49" t="s">
        <v>432</v>
      </c>
      <c r="B428" s="20"/>
      <c r="C428" s="18"/>
      <c r="D428" s="18"/>
      <c r="E428" s="18"/>
      <c r="F428" s="39"/>
    </row>
    <row r="429" customFormat="false" ht="16.8" hidden="false" customHeight="false" outlineLevel="0" collapsed="false">
      <c r="A429" s="49" t="s">
        <v>403</v>
      </c>
      <c r="B429" s="20"/>
      <c r="C429" s="18"/>
      <c r="D429" s="18"/>
      <c r="E429" s="18"/>
      <c r="F429" s="39"/>
    </row>
    <row r="430" customFormat="false" ht="16.8" hidden="false" customHeight="false" outlineLevel="0" collapsed="false">
      <c r="A430" s="49" t="s">
        <v>401</v>
      </c>
      <c r="B430" s="20"/>
      <c r="C430" s="18"/>
      <c r="D430" s="18"/>
      <c r="E430" s="18"/>
      <c r="F430" s="39"/>
    </row>
    <row r="431" customFormat="false" ht="16.8" hidden="false" customHeight="false" outlineLevel="0" collapsed="false">
      <c r="A431" s="49" t="s">
        <v>433</v>
      </c>
      <c r="B431" s="20"/>
      <c r="C431" s="18"/>
      <c r="D431" s="18"/>
      <c r="E431" s="18"/>
      <c r="F431" s="39"/>
    </row>
    <row r="432" customFormat="false" ht="16.8" hidden="false" customHeight="false" outlineLevel="0" collapsed="false">
      <c r="A432" s="49" t="s">
        <v>434</v>
      </c>
      <c r="B432" s="20"/>
      <c r="C432" s="18"/>
      <c r="D432" s="18"/>
      <c r="E432" s="18"/>
      <c r="F432" s="39"/>
    </row>
    <row r="433" customFormat="false" ht="16.8" hidden="false" customHeight="false" outlineLevel="0" collapsed="false">
      <c r="A433" s="49" t="s">
        <v>399</v>
      </c>
      <c r="B433" s="20"/>
      <c r="C433" s="18"/>
      <c r="D433" s="18"/>
      <c r="E433" s="18"/>
      <c r="F433" s="39"/>
    </row>
    <row r="434" customFormat="false" ht="16.8" hidden="false" customHeight="false" outlineLevel="0" collapsed="false">
      <c r="A434" s="49" t="s">
        <v>435</v>
      </c>
      <c r="B434" s="20" t="n">
        <v>19600</v>
      </c>
      <c r="C434" s="18"/>
      <c r="D434" s="18"/>
      <c r="E434" s="18"/>
      <c r="F434" s="39"/>
    </row>
    <row r="435" customFormat="false" ht="16.8" hidden="false" customHeight="false" outlineLevel="0" collapsed="false">
      <c r="A435" s="49" t="s">
        <v>436</v>
      </c>
      <c r="B435" s="20" t="n">
        <v>21300</v>
      </c>
      <c r="C435" s="18"/>
      <c r="D435" s="18"/>
      <c r="E435" s="18"/>
      <c r="F435" s="39"/>
    </row>
    <row r="436" customFormat="false" ht="16.8" hidden="false" customHeight="false" outlineLevel="0" collapsed="false">
      <c r="A436" s="49" t="s">
        <v>398</v>
      </c>
      <c r="B436" s="20" t="n">
        <v>2900</v>
      </c>
      <c r="C436" s="1"/>
      <c r="D436" s="1"/>
      <c r="E436" s="1"/>
      <c r="F436" s="26"/>
    </row>
    <row r="437" customFormat="false" ht="16.8" hidden="false" customHeight="false" outlineLevel="0" collapsed="false">
      <c r="A437" s="49" t="s">
        <v>384</v>
      </c>
      <c r="B437" s="20"/>
      <c r="C437" s="1"/>
      <c r="D437" s="1"/>
      <c r="E437" s="1"/>
      <c r="F437" s="26"/>
    </row>
    <row r="438" customFormat="false" ht="16.8" hidden="false" customHeight="false" outlineLevel="0" collapsed="false">
      <c r="A438" s="49" t="s">
        <v>390</v>
      </c>
      <c r="B438" s="20" t="n">
        <v>1950</v>
      </c>
      <c r="C438" s="1"/>
      <c r="D438" s="1"/>
      <c r="E438" s="1"/>
      <c r="F438" s="26"/>
    </row>
    <row r="439" customFormat="false" ht="16.8" hidden="false" customHeight="false" outlineLevel="0" collapsed="false">
      <c r="A439" s="25" t="s">
        <v>11</v>
      </c>
      <c r="B439" s="35" t="n">
        <f aca="false">SUM(B426:B438)</f>
        <v>119645</v>
      </c>
      <c r="C439" s="1"/>
      <c r="D439" s="45"/>
      <c r="E439" s="45"/>
      <c r="F439" s="26"/>
    </row>
    <row r="440" customFormat="false" ht="13.2" hidden="false" customHeight="false" outlineLevel="0" collapsed="false">
      <c r="A440" s="1"/>
      <c r="B440" s="1"/>
      <c r="C440" s="1"/>
      <c r="D440" s="1"/>
      <c r="E440" s="1"/>
      <c r="F440" s="39"/>
    </row>
    <row r="441" customFormat="false" ht="16.8" hidden="false" customHeight="false" outlineLevel="0" collapsed="false">
      <c r="A441" s="39"/>
      <c r="B441" s="39"/>
      <c r="C441" s="141"/>
      <c r="D441" s="140" t="s">
        <v>396</v>
      </c>
      <c r="E441" s="140"/>
      <c r="F441" s="140"/>
    </row>
    <row r="444" customFormat="false" ht="18.6" hidden="false" customHeight="true" outlineLevel="0" collapsed="false">
      <c r="A444" s="118" t="s">
        <v>554</v>
      </c>
      <c r="B444" s="118"/>
      <c r="C444" s="118"/>
      <c r="D444" s="118"/>
      <c r="E444" s="118"/>
      <c r="F444" s="118"/>
    </row>
    <row r="445" customFormat="false" ht="13.8" hidden="false" customHeight="true" outlineLevel="0" collapsed="false">
      <c r="A445" s="119" t="s">
        <v>2</v>
      </c>
      <c r="B445" s="119"/>
      <c r="C445" s="119"/>
      <c r="D445" s="119"/>
      <c r="E445" s="119"/>
      <c r="F445" s="119"/>
    </row>
    <row r="446" customFormat="false" ht="16.8" hidden="false" customHeight="false" outlineLevel="0" collapsed="false">
      <c r="A446" s="13" t="s">
        <v>3</v>
      </c>
      <c r="B446" s="14"/>
      <c r="C446" s="14"/>
      <c r="D446" s="46"/>
      <c r="E446" s="66" t="s">
        <v>4</v>
      </c>
      <c r="F446" s="66"/>
    </row>
    <row r="447" customFormat="false" ht="33.6" hidden="false" customHeight="false" outlineLevel="0" collapsed="false">
      <c r="A447" s="17" t="s">
        <v>5</v>
      </c>
      <c r="B447" s="17" t="s">
        <v>5</v>
      </c>
      <c r="C447" s="17" t="s">
        <v>555</v>
      </c>
      <c r="D447" s="17" t="s">
        <v>7</v>
      </c>
      <c r="E447" s="17" t="s">
        <v>8</v>
      </c>
      <c r="F447" s="150"/>
    </row>
    <row r="448" customFormat="false" ht="16.8" hidden="false" customHeight="false" outlineLevel="0" collapsed="false">
      <c r="A448" s="19" t="s">
        <v>9</v>
      </c>
      <c r="B448" s="20"/>
      <c r="C448" s="98" t="n">
        <v>360</v>
      </c>
      <c r="D448" s="20"/>
      <c r="E448" s="47" t="n">
        <f aca="false">B448+C448-D448</f>
        <v>360</v>
      </c>
    </row>
    <row r="449" customFormat="false" ht="33.6" hidden="false" customHeight="false" outlineLevel="0" collapsed="false">
      <c r="A449" s="97" t="s">
        <v>159</v>
      </c>
      <c r="B449" s="20"/>
      <c r="C449" s="20" t="n">
        <v>25205</v>
      </c>
      <c r="D449" s="20"/>
      <c r="E449" s="47" t="n">
        <f aca="false">B449+C449-D449</f>
        <v>25205</v>
      </c>
    </row>
    <row r="450" customFormat="false" ht="33.6" hidden="false" customHeight="false" outlineLevel="0" collapsed="false">
      <c r="A450" s="97" t="s">
        <v>414</v>
      </c>
      <c r="B450" s="20"/>
      <c r="C450" s="20"/>
      <c r="D450" s="20"/>
      <c r="E450" s="47" t="n">
        <f aca="false">B450+C450-D450</f>
        <v>0</v>
      </c>
    </row>
    <row r="451" customFormat="false" ht="33.6" hidden="false" customHeight="false" outlineLevel="0" collapsed="false">
      <c r="A451" s="97" t="s">
        <v>202</v>
      </c>
      <c r="B451" s="20"/>
      <c r="C451" s="20" t="n">
        <v>2105</v>
      </c>
      <c r="D451" s="20"/>
      <c r="E451" s="47" t="n">
        <f aca="false">B451+C451-D451</f>
        <v>2105</v>
      </c>
    </row>
    <row r="452" customFormat="false" ht="16.8" hidden="false" customHeight="false" outlineLevel="0" collapsed="false">
      <c r="A452" s="19" t="s">
        <v>10</v>
      </c>
      <c r="B452" s="20"/>
      <c r="C452" s="20" t="n">
        <f aca="false">2334-C448</f>
        <v>1974</v>
      </c>
      <c r="D452" s="20"/>
      <c r="E452" s="47" t="n">
        <f aca="false">B452+C452-D452</f>
        <v>1974</v>
      </c>
    </row>
    <row r="453" customFormat="false" ht="16.8" hidden="false" customHeight="false" outlineLevel="0" collapsed="false">
      <c r="A453" s="21" t="s">
        <v>11</v>
      </c>
      <c r="B453" s="22" t="n">
        <f aca="false">SUM(B448:B452)</f>
        <v>0</v>
      </c>
      <c r="C453" s="22" t="n">
        <f aca="false">SUM(C449:C452)</f>
        <v>29284</v>
      </c>
      <c r="D453" s="22" t="n">
        <f aca="false">SUM(D448:D452)</f>
        <v>0</v>
      </c>
      <c r="E453" s="22" t="n">
        <f aca="false">SUM(E448:E452)</f>
        <v>29644</v>
      </c>
    </row>
    <row r="454" customFormat="false" ht="16.8" hidden="false" customHeight="false" outlineLevel="0" collapsed="false">
      <c r="A454" s="13" t="s">
        <v>12</v>
      </c>
      <c r="B454" s="13"/>
      <c r="C454" s="13"/>
      <c r="D454" s="13"/>
      <c r="E454" s="13"/>
      <c r="F454" s="13"/>
    </row>
    <row r="455" customFormat="false" ht="33.6" hidden="false" customHeight="false" outlineLevel="0" collapsed="false">
      <c r="A455" s="25" t="s">
        <v>13</v>
      </c>
      <c r="B455" s="17" t="s">
        <v>556</v>
      </c>
      <c r="C455" s="120" t="s">
        <v>418</v>
      </c>
      <c r="D455" s="143" t="s">
        <v>419</v>
      </c>
      <c r="E455" s="120" t="s">
        <v>16</v>
      </c>
    </row>
    <row r="456" customFormat="false" ht="33.6" hidden="false" customHeight="false" outlineLevel="0" collapsed="false">
      <c r="A456" s="49" t="s">
        <v>49</v>
      </c>
      <c r="B456" s="20" t="n">
        <v>5550</v>
      </c>
      <c r="C456" s="144" t="n">
        <f aca="false">B456+B457</f>
        <v>9110</v>
      </c>
      <c r="D456" s="144" t="n">
        <f aca="false">D448+D449</f>
        <v>0</v>
      </c>
      <c r="E456" s="145" t="n">
        <f aca="false">D456/C456</f>
        <v>0</v>
      </c>
    </row>
    <row r="457" customFormat="false" ht="16.8" hidden="false" customHeight="false" outlineLevel="0" collapsed="false">
      <c r="A457" s="49" t="s">
        <v>466</v>
      </c>
      <c r="B457" s="20" t="n">
        <v>3560</v>
      </c>
      <c r="C457" s="146"/>
      <c r="D457" s="146"/>
      <c r="E457" s="147"/>
    </row>
    <row r="458" customFormat="false" ht="16.8" hidden="false" customHeight="false" outlineLevel="0" collapsed="false">
      <c r="A458" s="49" t="s">
        <v>432</v>
      </c>
      <c r="B458" s="20"/>
      <c r="C458" s="34" t="n">
        <f aca="false">SUM(B458:B468)</f>
        <v>650</v>
      </c>
      <c r="D458" s="34" t="n">
        <f aca="false">D452</f>
        <v>0</v>
      </c>
      <c r="E458" s="122" t="n">
        <f aca="false">D458/C458</f>
        <v>0</v>
      </c>
    </row>
    <row r="459" customFormat="false" ht="16.8" hidden="false" customHeight="false" outlineLevel="0" collapsed="false">
      <c r="A459" s="49" t="s">
        <v>403</v>
      </c>
      <c r="B459" s="20"/>
      <c r="C459" s="34"/>
      <c r="D459" s="34"/>
      <c r="E459" s="122"/>
    </row>
    <row r="460" customFormat="false" ht="16.8" hidden="false" customHeight="false" outlineLevel="0" collapsed="false">
      <c r="A460" s="49" t="s">
        <v>401</v>
      </c>
      <c r="B460" s="20"/>
      <c r="C460" s="34"/>
      <c r="D460" s="34"/>
      <c r="E460" s="122"/>
    </row>
    <row r="461" customFormat="false" ht="16.8" hidden="false" customHeight="false" outlineLevel="0" collapsed="false">
      <c r="A461" s="49" t="s">
        <v>433</v>
      </c>
      <c r="B461" s="20"/>
      <c r="C461" s="34"/>
      <c r="D461" s="34"/>
      <c r="E461" s="122"/>
    </row>
    <row r="462" customFormat="false" ht="16.8" hidden="false" customHeight="false" outlineLevel="0" collapsed="false">
      <c r="A462" s="49" t="s">
        <v>434</v>
      </c>
      <c r="B462" s="20"/>
      <c r="C462" s="34"/>
      <c r="D462" s="34"/>
      <c r="E462" s="122"/>
    </row>
    <row r="463" customFormat="false" ht="16.8" hidden="false" customHeight="false" outlineLevel="0" collapsed="false">
      <c r="A463" s="49" t="s">
        <v>399</v>
      </c>
      <c r="B463" s="20"/>
      <c r="C463" s="34"/>
      <c r="D463" s="34"/>
      <c r="E463" s="122"/>
    </row>
    <row r="464" customFormat="false" ht="16.8" hidden="false" customHeight="false" outlineLevel="0" collapsed="false">
      <c r="A464" s="49" t="s">
        <v>435</v>
      </c>
      <c r="B464" s="20"/>
      <c r="C464" s="34"/>
      <c r="D464" s="34"/>
      <c r="E464" s="122"/>
    </row>
    <row r="465" customFormat="false" ht="16.8" hidden="false" customHeight="false" outlineLevel="0" collapsed="false">
      <c r="A465" s="49" t="s">
        <v>436</v>
      </c>
      <c r="B465" s="20" t="n">
        <v>650</v>
      </c>
      <c r="C465" s="34"/>
      <c r="D465" s="34"/>
      <c r="E465" s="122"/>
    </row>
    <row r="466" customFormat="false" ht="16.8" hidden="false" customHeight="false" outlineLevel="0" collapsed="false">
      <c r="A466" s="49" t="s">
        <v>398</v>
      </c>
      <c r="B466" s="20"/>
      <c r="C466" s="34"/>
      <c r="D466" s="34"/>
      <c r="E466" s="122"/>
    </row>
    <row r="467" customFormat="false" ht="16.8" hidden="false" customHeight="false" outlineLevel="0" collapsed="false">
      <c r="A467" s="49" t="s">
        <v>384</v>
      </c>
      <c r="B467" s="20"/>
      <c r="C467" s="34"/>
      <c r="D467" s="34"/>
      <c r="E467" s="122"/>
    </row>
    <row r="468" customFormat="false" ht="16.8" hidden="false" customHeight="false" outlineLevel="0" collapsed="false">
      <c r="A468" s="49" t="s">
        <v>390</v>
      </c>
      <c r="B468" s="20"/>
      <c r="C468" s="34"/>
      <c r="D468" s="34"/>
      <c r="E468" s="122"/>
    </row>
    <row r="469" customFormat="false" ht="16.8" hidden="false" customHeight="false" outlineLevel="0" collapsed="false">
      <c r="A469" s="30" t="s">
        <v>11</v>
      </c>
      <c r="B469" s="94" t="n">
        <f aca="false">SUM(B456:B468)</f>
        <v>9760</v>
      </c>
      <c r="C469" s="94" t="n">
        <f aca="false">SUM(C456:C468)</f>
        <v>9760</v>
      </c>
      <c r="D469" s="94" t="n">
        <f aca="false">D456+D458</f>
        <v>0</v>
      </c>
      <c r="E469" s="89"/>
    </row>
    <row r="470" customFormat="false" ht="16.8" hidden="false" customHeight="false" outlineLevel="0" collapsed="false">
      <c r="A470" s="55" t="s">
        <v>476</v>
      </c>
      <c r="B470" s="56"/>
      <c r="C470" s="56"/>
      <c r="D470" s="56"/>
      <c r="E470" s="100"/>
      <c r="F470" s="100"/>
    </row>
    <row r="471" customFormat="false" ht="16.8" hidden="false" customHeight="false" outlineLevel="0" collapsed="false">
      <c r="A471" s="13" t="s">
        <v>20</v>
      </c>
      <c r="B471" s="1"/>
      <c r="C471" s="1"/>
      <c r="D471" s="1"/>
      <c r="E471" s="1"/>
      <c r="F471" s="1"/>
    </row>
    <row r="472" customFormat="false" ht="16.8" hidden="false" customHeight="false" outlineLevel="0" collapsed="false">
      <c r="A472" s="17" t="s">
        <v>13</v>
      </c>
      <c r="B472" s="17" t="s">
        <v>21</v>
      </c>
      <c r="C472" s="18"/>
      <c r="D472" s="18"/>
      <c r="E472" s="18"/>
      <c r="F472" s="39"/>
    </row>
    <row r="473" customFormat="false" ht="20.25" hidden="false" customHeight="true" outlineLevel="0" collapsed="false">
      <c r="A473" s="49" t="s">
        <v>420</v>
      </c>
      <c r="B473" s="20" t="n">
        <v>61720</v>
      </c>
      <c r="C473" s="18"/>
      <c r="D473" s="18"/>
      <c r="E473" s="18"/>
      <c r="F473" s="39"/>
    </row>
    <row r="474" customFormat="false" ht="16.8" hidden="false" customHeight="false" outlineLevel="0" collapsed="false">
      <c r="A474" s="49" t="s">
        <v>466</v>
      </c>
      <c r="B474" s="20" t="n">
        <v>21285</v>
      </c>
      <c r="C474" s="18"/>
      <c r="D474" s="18"/>
      <c r="E474" s="18"/>
      <c r="F474" s="39"/>
    </row>
    <row r="475" customFormat="false" ht="16.8" hidden="false" customHeight="false" outlineLevel="0" collapsed="false">
      <c r="A475" s="49" t="s">
        <v>432</v>
      </c>
      <c r="B475" s="20"/>
      <c r="C475" s="18"/>
      <c r="D475" s="18"/>
      <c r="E475" s="18"/>
      <c r="F475" s="39"/>
    </row>
    <row r="476" customFormat="false" ht="16.8" hidden="false" customHeight="false" outlineLevel="0" collapsed="false">
      <c r="A476" s="49" t="s">
        <v>403</v>
      </c>
      <c r="B476" s="20"/>
      <c r="C476" s="18"/>
      <c r="D476" s="18"/>
      <c r="E476" s="18"/>
      <c r="F476" s="39"/>
    </row>
    <row r="477" customFormat="false" ht="16.8" hidden="false" customHeight="false" outlineLevel="0" collapsed="false">
      <c r="A477" s="49" t="s">
        <v>401</v>
      </c>
      <c r="B477" s="20"/>
      <c r="C477" s="18"/>
      <c r="D477" s="18"/>
      <c r="E477" s="18"/>
      <c r="F477" s="39"/>
    </row>
    <row r="478" customFormat="false" ht="16.8" hidden="false" customHeight="false" outlineLevel="0" collapsed="false">
      <c r="A478" s="49" t="s">
        <v>433</v>
      </c>
      <c r="B478" s="20"/>
      <c r="C478" s="18"/>
      <c r="D478" s="18"/>
      <c r="E478" s="18"/>
      <c r="F478" s="39"/>
    </row>
    <row r="479" customFormat="false" ht="16.8" hidden="false" customHeight="false" outlineLevel="0" collapsed="false">
      <c r="A479" s="49" t="s">
        <v>434</v>
      </c>
      <c r="B479" s="20"/>
      <c r="C479" s="18"/>
      <c r="D479" s="18"/>
      <c r="E479" s="18"/>
      <c r="F479" s="39"/>
    </row>
    <row r="480" customFormat="false" ht="16.8" hidden="false" customHeight="false" outlineLevel="0" collapsed="false">
      <c r="A480" s="49" t="s">
        <v>399</v>
      </c>
      <c r="B480" s="20"/>
      <c r="C480" s="18"/>
      <c r="D480" s="18"/>
      <c r="E480" s="18"/>
      <c r="F480" s="39"/>
    </row>
    <row r="481" customFormat="false" ht="16.8" hidden="false" customHeight="false" outlineLevel="0" collapsed="false">
      <c r="A481" s="49" t="s">
        <v>435</v>
      </c>
      <c r="B481" s="20" t="n">
        <f aca="false">19600-3050</f>
        <v>16550</v>
      </c>
      <c r="C481" s="18"/>
      <c r="D481" s="18"/>
      <c r="E481" s="18"/>
      <c r="F481" s="39"/>
    </row>
    <row r="482" customFormat="false" ht="16.8" hidden="false" customHeight="false" outlineLevel="0" collapsed="false">
      <c r="A482" s="49" t="s">
        <v>436</v>
      </c>
      <c r="B482" s="20"/>
      <c r="C482" s="18"/>
      <c r="D482" s="18"/>
      <c r="E482" s="18"/>
      <c r="F482" s="39"/>
    </row>
    <row r="483" customFormat="false" ht="16.8" hidden="false" customHeight="false" outlineLevel="0" collapsed="false">
      <c r="A483" s="49" t="s">
        <v>398</v>
      </c>
      <c r="B483" s="20" t="n">
        <v>2900</v>
      </c>
      <c r="C483" s="1"/>
      <c r="D483" s="1"/>
      <c r="E483" s="1"/>
      <c r="F483" s="26"/>
    </row>
    <row r="484" customFormat="false" ht="16.8" hidden="false" customHeight="false" outlineLevel="0" collapsed="false">
      <c r="A484" s="49" t="s">
        <v>384</v>
      </c>
      <c r="B484" s="20"/>
      <c r="C484" s="1"/>
      <c r="D484" s="1"/>
      <c r="E484" s="1"/>
      <c r="F484" s="26"/>
    </row>
    <row r="485" customFormat="false" ht="16.8" hidden="false" customHeight="false" outlineLevel="0" collapsed="false">
      <c r="A485" s="49" t="s">
        <v>390</v>
      </c>
      <c r="B485" s="20" t="n">
        <v>1950</v>
      </c>
      <c r="C485" s="1"/>
      <c r="D485" s="1"/>
      <c r="E485" s="1"/>
      <c r="F485" s="26"/>
    </row>
    <row r="486" customFormat="false" ht="16.8" hidden="false" customHeight="false" outlineLevel="0" collapsed="false">
      <c r="A486" s="25" t="s">
        <v>11</v>
      </c>
      <c r="B486" s="35" t="n">
        <f aca="false">SUM(B473:B485)</f>
        <v>104405</v>
      </c>
      <c r="C486" s="1"/>
      <c r="D486" s="45"/>
      <c r="E486" s="45"/>
      <c r="F486" s="26"/>
    </row>
    <row r="487" customFormat="false" ht="13.2" hidden="false" customHeight="false" outlineLevel="0" collapsed="false">
      <c r="A487" s="1"/>
      <c r="B487" s="1"/>
      <c r="C487" s="1"/>
      <c r="D487" s="1"/>
      <c r="E487" s="1"/>
      <c r="F487" s="39"/>
    </row>
    <row r="488" customFormat="false" ht="16.8" hidden="false" customHeight="false" outlineLevel="0" collapsed="false">
      <c r="A488" s="39"/>
      <c r="B488" s="39"/>
      <c r="C488" s="141"/>
      <c r="D488" s="140" t="s">
        <v>396</v>
      </c>
      <c r="E488" s="140"/>
      <c r="F488" s="140"/>
    </row>
    <row r="492" customFormat="false" ht="18.6" hidden="false" customHeight="true" outlineLevel="0" collapsed="false">
      <c r="A492" s="118" t="s">
        <v>557</v>
      </c>
      <c r="B492" s="118"/>
      <c r="C492" s="118"/>
      <c r="D492" s="118"/>
      <c r="E492" s="118"/>
      <c r="F492" s="118"/>
    </row>
    <row r="493" customFormat="false" ht="13.8" hidden="false" customHeight="true" outlineLevel="0" collapsed="false">
      <c r="A493" s="119" t="s">
        <v>2</v>
      </c>
      <c r="B493" s="119"/>
      <c r="C493" s="119"/>
      <c r="D493" s="119"/>
      <c r="E493" s="119"/>
      <c r="F493" s="119"/>
    </row>
    <row r="494" customFormat="false" ht="16.8" hidden="false" customHeight="false" outlineLevel="0" collapsed="false">
      <c r="A494" s="13" t="s">
        <v>3</v>
      </c>
      <c r="B494" s="14"/>
      <c r="C494" s="14"/>
      <c r="D494" s="46"/>
      <c r="E494" s="66" t="s">
        <v>4</v>
      </c>
      <c r="F494" s="66"/>
    </row>
    <row r="495" customFormat="false" ht="33.6" hidden="false" customHeight="false" outlineLevel="0" collapsed="false">
      <c r="A495" s="17" t="s">
        <v>5</v>
      </c>
      <c r="B495" s="17" t="s">
        <v>5</v>
      </c>
      <c r="C495" s="17" t="s">
        <v>558</v>
      </c>
      <c r="D495" s="17" t="s">
        <v>7</v>
      </c>
      <c r="E495" s="17" t="s">
        <v>8</v>
      </c>
      <c r="F495" s="150"/>
    </row>
    <row r="496" customFormat="false" ht="16.8" hidden="false" customHeight="false" outlineLevel="0" collapsed="false">
      <c r="A496" s="19" t="s">
        <v>9</v>
      </c>
      <c r="B496" s="20" t="n">
        <f aca="false">E448</f>
        <v>360</v>
      </c>
      <c r="C496" s="98" t="n">
        <v>330</v>
      </c>
      <c r="D496" s="20"/>
      <c r="E496" s="47" t="n">
        <f aca="false">B496+C496-D496</f>
        <v>690</v>
      </c>
    </row>
    <row r="497" customFormat="false" ht="33.6" hidden="false" customHeight="false" outlineLevel="0" collapsed="false">
      <c r="A497" s="97" t="s">
        <v>159</v>
      </c>
      <c r="B497" s="20" t="n">
        <f aca="false">E449</f>
        <v>25205</v>
      </c>
      <c r="C497" s="20" t="n">
        <f aca="false">21910+21820</f>
        <v>43730</v>
      </c>
      <c r="D497" s="20"/>
      <c r="E497" s="47" t="n">
        <f aca="false">B497+C497-D497</f>
        <v>68935</v>
      </c>
    </row>
    <row r="498" customFormat="false" ht="33.6" hidden="false" customHeight="false" outlineLevel="0" collapsed="false">
      <c r="A498" s="97" t="s">
        <v>414</v>
      </c>
      <c r="B498" s="20" t="n">
        <f aca="false">E450</f>
        <v>0</v>
      </c>
      <c r="C498" s="20"/>
      <c r="D498" s="20"/>
      <c r="E498" s="47" t="n">
        <f aca="false">B498+C498-D498</f>
        <v>0</v>
      </c>
    </row>
    <row r="499" customFormat="false" ht="33.6" hidden="false" customHeight="false" outlineLevel="0" collapsed="false">
      <c r="A499" s="97" t="s">
        <v>202</v>
      </c>
      <c r="B499" s="20" t="n">
        <f aca="false">E451</f>
        <v>2105</v>
      </c>
      <c r="C499" s="20" t="n">
        <f aca="false">1980+4610</f>
        <v>6590</v>
      </c>
      <c r="D499" s="20" t="n">
        <v>8695</v>
      </c>
      <c r="E499" s="47" t="n">
        <f aca="false">B499+C499-D499</f>
        <v>0</v>
      </c>
    </row>
    <row r="500" customFormat="false" ht="16.8" hidden="false" customHeight="false" outlineLevel="0" collapsed="false">
      <c r="A500" s="19" t="s">
        <v>10</v>
      </c>
      <c r="B500" s="20" t="n">
        <f aca="false">E452</f>
        <v>1974</v>
      </c>
      <c r="C500" s="20" t="n">
        <f aca="false">33260-C496</f>
        <v>32930</v>
      </c>
      <c r="D500" s="20" t="n">
        <v>34904</v>
      </c>
      <c r="E500" s="47" t="n">
        <f aca="false">B500+C500-D500</f>
        <v>0</v>
      </c>
    </row>
    <row r="501" customFormat="false" ht="16.8" hidden="false" customHeight="false" outlineLevel="0" collapsed="false">
      <c r="A501" s="21" t="s">
        <v>11</v>
      </c>
      <c r="B501" s="22" t="n">
        <f aca="false">SUM(B496:B500)</f>
        <v>29644</v>
      </c>
      <c r="C501" s="22" t="n">
        <f aca="false">SUM(C497:C500)</f>
        <v>83250</v>
      </c>
      <c r="D501" s="22" t="n">
        <f aca="false">SUM(D496:D500)</f>
        <v>43599</v>
      </c>
      <c r="E501" s="22" t="n">
        <f aca="false">SUM(E496:E500)</f>
        <v>69625</v>
      </c>
    </row>
    <row r="502" customFormat="false" ht="16.8" hidden="false" customHeight="false" outlineLevel="0" collapsed="false">
      <c r="A502" s="13" t="s">
        <v>12</v>
      </c>
      <c r="B502" s="13"/>
      <c r="C502" s="13"/>
      <c r="D502" s="13"/>
      <c r="E502" s="13"/>
      <c r="F502" s="13"/>
    </row>
    <row r="503" customFormat="false" ht="33.6" hidden="false" customHeight="false" outlineLevel="0" collapsed="false">
      <c r="A503" s="25" t="s">
        <v>13</v>
      </c>
      <c r="B503" s="17" t="s">
        <v>556</v>
      </c>
      <c r="C503" s="17" t="s">
        <v>559</v>
      </c>
      <c r="D503" s="120" t="s">
        <v>418</v>
      </c>
      <c r="E503" s="143" t="s">
        <v>419</v>
      </c>
      <c r="F503" s="120" t="s">
        <v>16</v>
      </c>
    </row>
    <row r="504" customFormat="false" ht="33.6" hidden="false" customHeight="false" outlineLevel="0" collapsed="false">
      <c r="A504" s="49" t="s">
        <v>49</v>
      </c>
      <c r="B504" s="20" t="n">
        <f aca="false">B456</f>
        <v>5550</v>
      </c>
      <c r="C504" s="20" t="n">
        <v>4550</v>
      </c>
      <c r="D504" s="144" t="n">
        <f aca="false">C504+C505+B504+B505</f>
        <v>27460</v>
      </c>
      <c r="E504" s="34" t="n">
        <f aca="false">D496+D497</f>
        <v>0</v>
      </c>
      <c r="F504" s="122" t="n">
        <f aca="false">E504/D504</f>
        <v>0</v>
      </c>
    </row>
    <row r="505" customFormat="false" ht="16.8" hidden="false" customHeight="false" outlineLevel="0" collapsed="false">
      <c r="A505" s="49" t="s">
        <v>466</v>
      </c>
      <c r="B505" s="20" t="n">
        <f aca="false">B457</f>
        <v>3560</v>
      </c>
      <c r="C505" s="20" t="n">
        <v>13800</v>
      </c>
      <c r="D505" s="146"/>
      <c r="E505" s="34"/>
      <c r="F505" s="122"/>
    </row>
    <row r="506" customFormat="false" ht="16.8" hidden="false" customHeight="false" outlineLevel="0" collapsed="false">
      <c r="A506" s="49" t="s">
        <v>432</v>
      </c>
      <c r="B506" s="20" t="n">
        <f aca="false">B458</f>
        <v>0</v>
      </c>
      <c r="C506" s="20"/>
      <c r="D506" s="34" t="n">
        <f aca="false">SUM(B506:C516)</f>
        <v>11250</v>
      </c>
      <c r="E506" s="34" t="n">
        <f aca="false">D499+D500</f>
        <v>43599</v>
      </c>
      <c r="F506" s="122" t="n">
        <f aca="false">E506/D506</f>
        <v>3.87546666666667</v>
      </c>
    </row>
    <row r="507" customFormat="false" ht="16.8" hidden="false" customHeight="false" outlineLevel="0" collapsed="false">
      <c r="A507" s="49" t="s">
        <v>403</v>
      </c>
      <c r="B507" s="20" t="n">
        <f aca="false">B459</f>
        <v>0</v>
      </c>
      <c r="C507" s="20"/>
      <c r="D507" s="34"/>
      <c r="E507" s="34"/>
      <c r="F507" s="122"/>
    </row>
    <row r="508" customFormat="false" ht="16.8" hidden="false" customHeight="false" outlineLevel="0" collapsed="false">
      <c r="A508" s="49" t="s">
        <v>401</v>
      </c>
      <c r="B508" s="20" t="n">
        <f aca="false">B460</f>
        <v>0</v>
      </c>
      <c r="C508" s="20"/>
      <c r="D508" s="34"/>
      <c r="E508" s="34"/>
      <c r="F508" s="122"/>
    </row>
    <row r="509" customFormat="false" ht="16.8" hidden="false" customHeight="false" outlineLevel="0" collapsed="false">
      <c r="A509" s="49" t="s">
        <v>433</v>
      </c>
      <c r="B509" s="20" t="n">
        <f aca="false">B461</f>
        <v>0</v>
      </c>
      <c r="C509" s="20"/>
      <c r="D509" s="34"/>
      <c r="E509" s="34"/>
      <c r="F509" s="122"/>
    </row>
    <row r="510" customFormat="false" ht="16.8" hidden="false" customHeight="false" outlineLevel="0" collapsed="false">
      <c r="A510" s="49" t="s">
        <v>434</v>
      </c>
      <c r="B510" s="20" t="n">
        <f aca="false">B462</f>
        <v>0</v>
      </c>
      <c r="C510" s="20"/>
      <c r="D510" s="34"/>
      <c r="E510" s="34"/>
      <c r="F510" s="122"/>
    </row>
    <row r="511" customFormat="false" ht="16.8" hidden="false" customHeight="false" outlineLevel="0" collapsed="false">
      <c r="A511" s="49" t="s">
        <v>399</v>
      </c>
      <c r="B511" s="20" t="n">
        <f aca="false">B463</f>
        <v>0</v>
      </c>
      <c r="C511" s="20"/>
      <c r="D511" s="34"/>
      <c r="E511" s="34"/>
      <c r="F511" s="122"/>
    </row>
    <row r="512" customFormat="false" ht="16.8" hidden="false" customHeight="false" outlineLevel="0" collapsed="false">
      <c r="A512" s="49" t="s">
        <v>435</v>
      </c>
      <c r="B512" s="20" t="n">
        <f aca="false">B464</f>
        <v>0</v>
      </c>
      <c r="C512" s="20" t="n">
        <v>3600</v>
      </c>
      <c r="D512" s="34"/>
      <c r="E512" s="34"/>
      <c r="F512" s="122"/>
    </row>
    <row r="513" customFormat="false" ht="16.8" hidden="false" customHeight="false" outlineLevel="0" collapsed="false">
      <c r="A513" s="49" t="s">
        <v>436</v>
      </c>
      <c r="B513" s="20" t="n">
        <f aca="false">B465</f>
        <v>650</v>
      </c>
      <c r="C513" s="20" t="n">
        <v>7000</v>
      </c>
      <c r="D513" s="34"/>
      <c r="E513" s="34"/>
      <c r="F513" s="122"/>
    </row>
    <row r="514" customFormat="false" ht="16.8" hidden="false" customHeight="false" outlineLevel="0" collapsed="false">
      <c r="A514" s="49" t="s">
        <v>398</v>
      </c>
      <c r="B514" s="20" t="n">
        <f aca="false">B466</f>
        <v>0</v>
      </c>
      <c r="C514" s="20"/>
      <c r="D514" s="34"/>
      <c r="E514" s="34"/>
      <c r="F514" s="122"/>
    </row>
    <row r="515" customFormat="false" ht="16.8" hidden="false" customHeight="false" outlineLevel="0" collapsed="false">
      <c r="A515" s="49" t="s">
        <v>384</v>
      </c>
      <c r="B515" s="20" t="n">
        <f aca="false">B467</f>
        <v>0</v>
      </c>
      <c r="C515" s="20"/>
      <c r="D515" s="34"/>
      <c r="E515" s="34"/>
      <c r="F515" s="122"/>
    </row>
    <row r="516" customFormat="false" ht="16.8" hidden="false" customHeight="false" outlineLevel="0" collapsed="false">
      <c r="A516" s="49" t="s">
        <v>390</v>
      </c>
      <c r="B516" s="20" t="n">
        <f aca="false">B468</f>
        <v>0</v>
      </c>
      <c r="C516" s="20"/>
      <c r="D516" s="34"/>
      <c r="E516" s="34"/>
      <c r="F516" s="122"/>
    </row>
    <row r="517" customFormat="false" ht="16.8" hidden="false" customHeight="false" outlineLevel="0" collapsed="false">
      <c r="A517" s="30" t="s">
        <v>11</v>
      </c>
      <c r="B517" s="94" t="n">
        <f aca="false">SUM(B504:B516)</f>
        <v>9760</v>
      </c>
      <c r="C517" s="94" t="n">
        <f aca="false">SUM(C504:C516)</f>
        <v>28950</v>
      </c>
      <c r="D517" s="94" t="n">
        <f aca="false">SUM(D504:D516)</f>
        <v>38710</v>
      </c>
      <c r="E517" s="94" t="n">
        <f aca="false">E504+E506</f>
        <v>43599</v>
      </c>
      <c r="F517" s="89"/>
    </row>
    <row r="518" customFormat="false" ht="16.8" hidden="false" customHeight="false" outlineLevel="0" collapsed="false">
      <c r="A518" s="55" t="s">
        <v>476</v>
      </c>
      <c r="B518" s="56"/>
      <c r="C518" s="56"/>
      <c r="D518" s="56"/>
      <c r="E518" s="100"/>
      <c r="F518" s="100"/>
    </row>
    <row r="519" customFormat="false" ht="16.8" hidden="false" customHeight="false" outlineLevel="0" collapsed="false">
      <c r="A519" s="13" t="s">
        <v>20</v>
      </c>
      <c r="B519" s="1"/>
      <c r="C519" s="1"/>
      <c r="D519" s="1"/>
      <c r="E519" s="1"/>
      <c r="F519" s="1"/>
    </row>
    <row r="520" customFormat="false" ht="16.8" hidden="false" customHeight="false" outlineLevel="0" collapsed="false">
      <c r="A520" s="17" t="s">
        <v>13</v>
      </c>
      <c r="B520" s="17" t="s">
        <v>21</v>
      </c>
      <c r="C520" s="18"/>
      <c r="D520" s="18"/>
      <c r="E520" s="18"/>
      <c r="F520" s="39"/>
    </row>
    <row r="521" customFormat="false" ht="21" hidden="false" customHeight="true" outlineLevel="0" collapsed="false">
      <c r="A521" s="49" t="s">
        <v>420</v>
      </c>
      <c r="B521" s="20" t="n">
        <v>78710</v>
      </c>
      <c r="C521" s="18"/>
      <c r="D521" s="18"/>
      <c r="E521" s="18"/>
      <c r="F521" s="39"/>
    </row>
    <row r="522" customFormat="false" ht="16.8" hidden="false" customHeight="false" outlineLevel="0" collapsed="false">
      <c r="A522" s="49" t="s">
        <v>466</v>
      </c>
      <c r="B522" s="20" t="n">
        <v>18285</v>
      </c>
      <c r="C522" s="18"/>
      <c r="D522" s="18"/>
      <c r="E522" s="18"/>
      <c r="F522" s="39"/>
    </row>
    <row r="523" customFormat="false" ht="16.8" hidden="false" customHeight="false" outlineLevel="0" collapsed="false">
      <c r="A523" s="49" t="s">
        <v>432</v>
      </c>
      <c r="B523" s="20"/>
      <c r="C523" s="18"/>
      <c r="D523" s="18"/>
      <c r="E523" s="18"/>
      <c r="F523" s="39"/>
    </row>
    <row r="524" customFormat="false" ht="16.8" hidden="false" customHeight="false" outlineLevel="0" collapsed="false">
      <c r="A524" s="49" t="s">
        <v>403</v>
      </c>
      <c r="B524" s="20"/>
      <c r="C524" s="18"/>
      <c r="D524" s="18"/>
      <c r="E524" s="18"/>
      <c r="F524" s="39"/>
    </row>
    <row r="525" customFormat="false" ht="16.8" hidden="false" customHeight="false" outlineLevel="0" collapsed="false">
      <c r="A525" s="49" t="s">
        <v>401</v>
      </c>
      <c r="B525" s="20"/>
      <c r="C525" s="18"/>
      <c r="D525" s="18"/>
      <c r="E525" s="18"/>
      <c r="F525" s="39"/>
    </row>
    <row r="526" customFormat="false" ht="16.8" hidden="false" customHeight="false" outlineLevel="0" collapsed="false">
      <c r="A526" s="49" t="s">
        <v>433</v>
      </c>
      <c r="B526" s="20"/>
      <c r="C526" s="18"/>
      <c r="D526" s="18"/>
      <c r="E526" s="18"/>
      <c r="F526" s="39"/>
    </row>
    <row r="527" customFormat="false" ht="16.8" hidden="false" customHeight="false" outlineLevel="0" collapsed="false">
      <c r="A527" s="49" t="s">
        <v>434</v>
      </c>
      <c r="B527" s="20"/>
      <c r="C527" s="18"/>
      <c r="D527" s="18"/>
      <c r="E527" s="18"/>
      <c r="F527" s="39"/>
    </row>
    <row r="528" customFormat="false" ht="16.8" hidden="false" customHeight="false" outlineLevel="0" collapsed="false">
      <c r="A528" s="49" t="s">
        <v>399</v>
      </c>
      <c r="B528" s="20"/>
      <c r="C528" s="18"/>
      <c r="D528" s="18"/>
      <c r="E528" s="18"/>
      <c r="F528" s="39"/>
    </row>
    <row r="529" customFormat="false" ht="16.8" hidden="false" customHeight="false" outlineLevel="0" collapsed="false">
      <c r="A529" s="49" t="s">
        <v>435</v>
      </c>
      <c r="B529" s="20" t="n">
        <v>7450</v>
      </c>
      <c r="C529" s="18"/>
      <c r="D529" s="18"/>
      <c r="E529" s="18"/>
      <c r="F529" s="39"/>
    </row>
    <row r="530" customFormat="false" ht="16.8" hidden="false" customHeight="false" outlineLevel="0" collapsed="false">
      <c r="A530" s="49" t="s">
        <v>436</v>
      </c>
      <c r="B530" s="20" t="n">
        <v>27810</v>
      </c>
      <c r="C530" s="18"/>
      <c r="D530" s="18"/>
      <c r="E530" s="18"/>
      <c r="F530" s="39"/>
    </row>
    <row r="531" customFormat="false" ht="16.8" hidden="false" customHeight="false" outlineLevel="0" collapsed="false">
      <c r="A531" s="49" t="s">
        <v>398</v>
      </c>
      <c r="B531" s="20"/>
      <c r="C531" s="1"/>
      <c r="D531" s="1"/>
      <c r="E531" s="1"/>
      <c r="F531" s="26"/>
    </row>
    <row r="532" customFormat="false" ht="16.8" hidden="false" customHeight="false" outlineLevel="0" collapsed="false">
      <c r="A532" s="49" t="s">
        <v>384</v>
      </c>
      <c r="B532" s="20"/>
      <c r="C532" s="1"/>
      <c r="D532" s="1"/>
      <c r="E532" s="1"/>
      <c r="F532" s="26"/>
    </row>
    <row r="533" customFormat="false" ht="16.8" hidden="false" customHeight="false" outlineLevel="0" collapsed="false">
      <c r="A533" s="49" t="s">
        <v>390</v>
      </c>
      <c r="B533" s="20" t="n">
        <v>1100</v>
      </c>
      <c r="C533" s="1"/>
      <c r="D533" s="1"/>
      <c r="E533" s="1"/>
      <c r="F533" s="26"/>
    </row>
    <row r="534" customFormat="false" ht="16.8" hidden="false" customHeight="false" outlineLevel="0" collapsed="false">
      <c r="A534" s="25" t="s">
        <v>11</v>
      </c>
      <c r="B534" s="35" t="n">
        <f aca="false">SUM(B521:B533)</f>
        <v>133355</v>
      </c>
      <c r="C534" s="1"/>
      <c r="D534" s="45"/>
      <c r="E534" s="45"/>
      <c r="F534" s="26"/>
    </row>
    <row r="535" customFormat="false" ht="13.2" hidden="false" customHeight="false" outlineLevel="0" collapsed="false">
      <c r="A535" s="1"/>
      <c r="B535" s="1"/>
      <c r="C535" s="1"/>
      <c r="D535" s="1"/>
      <c r="E535" s="1"/>
      <c r="F535" s="39"/>
    </row>
    <row r="536" customFormat="false" ht="16.8" hidden="false" customHeight="false" outlineLevel="0" collapsed="false">
      <c r="A536" s="39"/>
      <c r="B536" s="39"/>
      <c r="C536" s="141"/>
      <c r="D536" s="140" t="s">
        <v>396</v>
      </c>
      <c r="E536" s="140"/>
      <c r="F536" s="140"/>
    </row>
    <row r="539" customFormat="false" ht="18.6" hidden="false" customHeight="true" outlineLevel="0" collapsed="false">
      <c r="A539" s="118" t="s">
        <v>560</v>
      </c>
      <c r="B539" s="118"/>
      <c r="C539" s="118"/>
      <c r="D539" s="118"/>
      <c r="E539" s="118"/>
      <c r="F539" s="118"/>
    </row>
    <row r="540" customFormat="false" ht="13.8" hidden="false" customHeight="true" outlineLevel="0" collapsed="false">
      <c r="A540" s="119" t="s">
        <v>2</v>
      </c>
      <c r="B540" s="119"/>
      <c r="C540" s="119"/>
      <c r="D540" s="119"/>
      <c r="E540" s="119"/>
      <c r="F540" s="119"/>
    </row>
    <row r="541" customFormat="false" ht="16.8" hidden="false" customHeight="false" outlineLevel="0" collapsed="false">
      <c r="A541" s="13" t="s">
        <v>3</v>
      </c>
      <c r="B541" s="14"/>
      <c r="C541" s="14"/>
      <c r="D541" s="46"/>
      <c r="E541" s="66" t="s">
        <v>4</v>
      </c>
      <c r="F541" s="66"/>
    </row>
    <row r="542" customFormat="false" ht="33.6" hidden="false" customHeight="false" outlineLevel="0" collapsed="false">
      <c r="A542" s="17" t="s">
        <v>5</v>
      </c>
      <c r="B542" s="17" t="s">
        <v>5</v>
      </c>
      <c r="C542" s="17" t="s">
        <v>561</v>
      </c>
      <c r="D542" s="17" t="s">
        <v>7</v>
      </c>
      <c r="E542" s="17" t="s">
        <v>8</v>
      </c>
      <c r="F542" s="150"/>
    </row>
    <row r="543" customFormat="false" ht="16.8" hidden="false" customHeight="false" outlineLevel="0" collapsed="false">
      <c r="A543" s="19" t="s">
        <v>9</v>
      </c>
      <c r="B543" s="20" t="n">
        <f aca="false">E496</f>
        <v>690</v>
      </c>
      <c r="C543" s="98" t="n">
        <v>92</v>
      </c>
      <c r="D543" s="20" t="n">
        <v>782</v>
      </c>
      <c r="E543" s="47" t="n">
        <f aca="false">B543+C543-D543</f>
        <v>0</v>
      </c>
    </row>
    <row r="544" customFormat="false" ht="33.6" hidden="false" customHeight="false" outlineLevel="0" collapsed="false">
      <c r="A544" s="97" t="s">
        <v>159</v>
      </c>
      <c r="B544" s="20" t="n">
        <f aca="false">E497</f>
        <v>68935</v>
      </c>
      <c r="C544" s="20" t="n">
        <v>2410</v>
      </c>
      <c r="D544" s="20" t="n">
        <v>71345</v>
      </c>
      <c r="E544" s="47" t="n">
        <f aca="false">B544+C544-D544</f>
        <v>0</v>
      </c>
    </row>
    <row r="545" customFormat="false" ht="33.6" hidden="false" customHeight="false" outlineLevel="0" collapsed="false">
      <c r="A545" s="97" t="s">
        <v>414</v>
      </c>
      <c r="B545" s="20" t="n">
        <f aca="false">E498</f>
        <v>0</v>
      </c>
      <c r="C545" s="20"/>
      <c r="D545" s="20"/>
      <c r="E545" s="47" t="n">
        <f aca="false">B545+C545-D545</f>
        <v>0</v>
      </c>
    </row>
    <row r="546" customFormat="false" ht="33.6" hidden="false" customHeight="false" outlineLevel="0" collapsed="false">
      <c r="A546" s="97" t="s">
        <v>202</v>
      </c>
      <c r="B546" s="20" t="n">
        <f aca="false">E499</f>
        <v>0</v>
      </c>
      <c r="C546" s="20"/>
      <c r="D546" s="20"/>
      <c r="E546" s="47" t="n">
        <f aca="false">B546+C546-D546</f>
        <v>0</v>
      </c>
    </row>
    <row r="547" customFormat="false" ht="16.8" hidden="false" customHeight="false" outlineLevel="0" collapsed="false">
      <c r="A547" s="19" t="s">
        <v>10</v>
      </c>
      <c r="B547" s="20" t="n">
        <f aca="false">E500</f>
        <v>0</v>
      </c>
      <c r="C547" s="20" t="n">
        <f aca="false">20669-C543</f>
        <v>20577</v>
      </c>
      <c r="D547" s="20" t="n">
        <v>20577</v>
      </c>
      <c r="E547" s="47" t="n">
        <f aca="false">B547+C547-D547</f>
        <v>0</v>
      </c>
    </row>
    <row r="548" customFormat="false" ht="16.8" hidden="false" customHeight="false" outlineLevel="0" collapsed="false">
      <c r="A548" s="21" t="s">
        <v>11</v>
      </c>
      <c r="B548" s="22" t="n">
        <f aca="false">SUM(B543:B547)</f>
        <v>69625</v>
      </c>
      <c r="C548" s="22" t="n">
        <f aca="false">SUM(C544:C547)</f>
        <v>22987</v>
      </c>
      <c r="D548" s="22" t="n">
        <f aca="false">SUM(D543:D547)</f>
        <v>92704</v>
      </c>
      <c r="E548" s="22" t="n">
        <f aca="false">SUM(E543:E547)</f>
        <v>0</v>
      </c>
    </row>
    <row r="549" customFormat="false" ht="16.8" hidden="false" customHeight="false" outlineLevel="0" collapsed="false">
      <c r="A549" s="13" t="s">
        <v>12</v>
      </c>
      <c r="B549" s="13"/>
      <c r="C549" s="13"/>
      <c r="D549" s="13"/>
      <c r="E549" s="13"/>
      <c r="F549" s="13"/>
    </row>
    <row r="550" customFormat="false" ht="33.6" hidden="false" customHeight="false" outlineLevel="0" collapsed="false">
      <c r="A550" s="25" t="s">
        <v>13</v>
      </c>
      <c r="B550" s="17" t="s">
        <v>562</v>
      </c>
      <c r="C550" s="17" t="s">
        <v>563</v>
      </c>
      <c r="D550" s="120" t="s">
        <v>418</v>
      </c>
      <c r="E550" s="143" t="s">
        <v>419</v>
      </c>
      <c r="F550" s="120" t="s">
        <v>16</v>
      </c>
    </row>
    <row r="551" customFormat="false" ht="33.6" hidden="false" customHeight="false" outlineLevel="0" collapsed="false">
      <c r="A551" s="49" t="s">
        <v>49</v>
      </c>
      <c r="B551" s="20" t="n">
        <f aca="false">B504+C504</f>
        <v>10100</v>
      </c>
      <c r="C551" s="20" t="n">
        <v>2325</v>
      </c>
      <c r="D551" s="144" t="n">
        <f aca="false">C551+C552+B551+B552</f>
        <v>29785</v>
      </c>
      <c r="E551" s="144" t="n">
        <f aca="false">D543+D544</f>
        <v>72127</v>
      </c>
      <c r="F551" s="145" t="n">
        <f aca="false">E551/D551</f>
        <v>2.421588047675</v>
      </c>
    </row>
    <row r="552" customFormat="false" ht="16.8" hidden="false" customHeight="false" outlineLevel="0" collapsed="false">
      <c r="A552" s="49" t="s">
        <v>466</v>
      </c>
      <c r="B552" s="20" t="n">
        <f aca="false">B505+C505</f>
        <v>17360</v>
      </c>
      <c r="C552" s="20"/>
      <c r="D552" s="146"/>
      <c r="E552" s="146"/>
      <c r="F552" s="147"/>
    </row>
    <row r="553" customFormat="false" ht="16.8" hidden="false" customHeight="false" outlineLevel="0" collapsed="false">
      <c r="A553" s="49" t="s">
        <v>432</v>
      </c>
      <c r="B553" s="20"/>
      <c r="C553" s="20"/>
      <c r="D553" s="34" t="n">
        <f aca="false">SUM(C553:C563)</f>
        <v>5990</v>
      </c>
      <c r="E553" s="34" t="n">
        <f aca="false">D547</f>
        <v>20577</v>
      </c>
      <c r="F553" s="122" t="n">
        <f aca="false">E553/D553</f>
        <v>3.43522537562604</v>
      </c>
    </row>
    <row r="554" customFormat="false" ht="16.8" hidden="false" customHeight="false" outlineLevel="0" collapsed="false">
      <c r="A554" s="49" t="s">
        <v>403</v>
      </c>
      <c r="B554" s="20"/>
      <c r="C554" s="20"/>
      <c r="D554" s="34"/>
      <c r="E554" s="34"/>
      <c r="F554" s="122"/>
    </row>
    <row r="555" customFormat="false" ht="16.8" hidden="false" customHeight="false" outlineLevel="0" collapsed="false">
      <c r="A555" s="49" t="s">
        <v>401</v>
      </c>
      <c r="B555" s="20"/>
      <c r="C555" s="20"/>
      <c r="D555" s="34"/>
      <c r="E555" s="34"/>
      <c r="F555" s="122"/>
    </row>
    <row r="556" customFormat="false" ht="16.8" hidden="false" customHeight="false" outlineLevel="0" collapsed="false">
      <c r="A556" s="49" t="s">
        <v>433</v>
      </c>
      <c r="B556" s="20"/>
      <c r="C556" s="20"/>
      <c r="D556" s="34"/>
      <c r="E556" s="34"/>
      <c r="F556" s="122"/>
    </row>
    <row r="557" customFormat="false" ht="16.8" hidden="false" customHeight="false" outlineLevel="0" collapsed="false">
      <c r="A557" s="49" t="s">
        <v>434</v>
      </c>
      <c r="B557" s="20"/>
      <c r="C557" s="20"/>
      <c r="D557" s="34"/>
      <c r="E557" s="34"/>
      <c r="F557" s="122"/>
    </row>
    <row r="558" customFormat="false" ht="16.8" hidden="false" customHeight="false" outlineLevel="0" collapsed="false">
      <c r="A558" s="49" t="s">
        <v>399</v>
      </c>
      <c r="B558" s="20"/>
      <c r="C558" s="20"/>
      <c r="D558" s="34"/>
      <c r="E558" s="34"/>
      <c r="F558" s="122"/>
    </row>
    <row r="559" customFormat="false" ht="16.8" hidden="false" customHeight="false" outlineLevel="0" collapsed="false">
      <c r="A559" s="49" t="s">
        <v>435</v>
      </c>
      <c r="B559" s="20"/>
      <c r="C559" s="20"/>
      <c r="D559" s="34"/>
      <c r="E559" s="34"/>
      <c r="F559" s="122"/>
    </row>
    <row r="560" customFormat="false" ht="16.8" hidden="false" customHeight="false" outlineLevel="0" collapsed="false">
      <c r="A560" s="49" t="s">
        <v>436</v>
      </c>
      <c r="B560" s="20"/>
      <c r="C560" s="20" t="n">
        <v>5990</v>
      </c>
      <c r="D560" s="34"/>
      <c r="E560" s="34"/>
      <c r="F560" s="122"/>
    </row>
    <row r="561" customFormat="false" ht="16.8" hidden="false" customHeight="false" outlineLevel="0" collapsed="false">
      <c r="A561" s="49" t="s">
        <v>398</v>
      </c>
      <c r="B561" s="20"/>
      <c r="C561" s="20"/>
      <c r="D561" s="34"/>
      <c r="E561" s="34"/>
      <c r="F561" s="122"/>
    </row>
    <row r="562" customFormat="false" ht="16.8" hidden="false" customHeight="false" outlineLevel="0" collapsed="false">
      <c r="A562" s="49" t="s">
        <v>384</v>
      </c>
      <c r="B562" s="20"/>
      <c r="C562" s="20"/>
      <c r="D562" s="34"/>
      <c r="E562" s="34"/>
      <c r="F562" s="122"/>
    </row>
    <row r="563" customFormat="false" ht="16.8" hidden="false" customHeight="false" outlineLevel="0" collapsed="false">
      <c r="A563" s="49" t="s">
        <v>390</v>
      </c>
      <c r="B563" s="20"/>
      <c r="C563" s="20"/>
      <c r="D563" s="34"/>
      <c r="E563" s="34"/>
      <c r="F563" s="122"/>
    </row>
    <row r="564" customFormat="false" ht="16.8" hidden="false" customHeight="false" outlineLevel="0" collapsed="false">
      <c r="A564" s="30" t="s">
        <v>11</v>
      </c>
      <c r="B564" s="94" t="n">
        <f aca="false">SUM(B551:B563)</f>
        <v>27460</v>
      </c>
      <c r="C564" s="94" t="n">
        <f aca="false">SUM(C551:C563)</f>
        <v>8315</v>
      </c>
      <c r="D564" s="94" t="n">
        <f aca="false">SUM(D551:D563)</f>
        <v>35775</v>
      </c>
      <c r="E564" s="94" t="n">
        <f aca="false">E551+E553</f>
        <v>92704</v>
      </c>
      <c r="F564" s="89"/>
    </row>
    <row r="565" customFormat="false" ht="16.8" hidden="false" customHeight="false" outlineLevel="0" collapsed="false">
      <c r="A565" s="55" t="s">
        <v>476</v>
      </c>
      <c r="B565" s="56"/>
      <c r="C565" s="56"/>
      <c r="D565" s="56"/>
      <c r="E565" s="100"/>
      <c r="F565" s="100"/>
    </row>
    <row r="566" customFormat="false" ht="16.8" hidden="false" customHeight="false" outlineLevel="0" collapsed="false">
      <c r="A566" s="13" t="s">
        <v>20</v>
      </c>
      <c r="B566" s="1"/>
      <c r="C566" s="1"/>
      <c r="D566" s="1"/>
      <c r="E566" s="1"/>
      <c r="F566" s="1"/>
    </row>
    <row r="567" customFormat="false" ht="16.8" hidden="false" customHeight="false" outlineLevel="0" collapsed="false">
      <c r="A567" s="17" t="s">
        <v>13</v>
      </c>
      <c r="B567" s="17" t="s">
        <v>21</v>
      </c>
      <c r="C567" s="18"/>
      <c r="D567" s="18"/>
      <c r="E567" s="18"/>
      <c r="F567" s="39"/>
    </row>
    <row r="568" customFormat="false" ht="16.5" hidden="false" customHeight="true" outlineLevel="0" collapsed="false">
      <c r="A568" s="49" t="s">
        <v>420</v>
      </c>
      <c r="B568" s="20" t="n">
        <v>12660</v>
      </c>
      <c r="C568" s="18"/>
      <c r="D568" s="18"/>
      <c r="E568" s="18"/>
      <c r="F568" s="39"/>
    </row>
    <row r="569" customFormat="false" ht="16.8" hidden="false" customHeight="false" outlineLevel="0" collapsed="false">
      <c r="A569" s="49" t="s">
        <v>466</v>
      </c>
      <c r="B569" s="20" t="n">
        <v>6960</v>
      </c>
      <c r="C569" s="18"/>
      <c r="D569" s="18"/>
      <c r="E569" s="18"/>
      <c r="F569" s="39"/>
    </row>
    <row r="570" customFormat="false" ht="16.8" hidden="false" customHeight="false" outlineLevel="0" collapsed="false">
      <c r="A570" s="49" t="s">
        <v>432</v>
      </c>
      <c r="B570" s="20"/>
      <c r="C570" s="18"/>
      <c r="D570" s="18"/>
      <c r="E570" s="18"/>
      <c r="F570" s="39"/>
    </row>
    <row r="571" customFormat="false" ht="16.8" hidden="false" customHeight="false" outlineLevel="0" collapsed="false">
      <c r="A571" s="49" t="s">
        <v>403</v>
      </c>
      <c r="B571" s="20"/>
      <c r="C571" s="18"/>
      <c r="D571" s="18"/>
      <c r="E571" s="18"/>
      <c r="F571" s="39"/>
    </row>
    <row r="572" customFormat="false" ht="16.8" hidden="false" customHeight="false" outlineLevel="0" collapsed="false">
      <c r="A572" s="49" t="s">
        <v>401</v>
      </c>
      <c r="B572" s="20"/>
      <c r="C572" s="18"/>
      <c r="D572" s="18"/>
      <c r="E572" s="18"/>
      <c r="F572" s="39"/>
    </row>
    <row r="573" customFormat="false" ht="16.8" hidden="false" customHeight="false" outlineLevel="0" collapsed="false">
      <c r="A573" s="49" t="s">
        <v>433</v>
      </c>
      <c r="B573" s="20"/>
      <c r="C573" s="18"/>
      <c r="D573" s="18"/>
      <c r="E573" s="18"/>
      <c r="F573" s="39"/>
    </row>
    <row r="574" customFormat="false" ht="16.8" hidden="false" customHeight="false" outlineLevel="0" collapsed="false">
      <c r="A574" s="49" t="s">
        <v>434</v>
      </c>
      <c r="B574" s="20"/>
      <c r="C574" s="18"/>
      <c r="D574" s="18"/>
      <c r="E574" s="18"/>
      <c r="F574" s="39"/>
    </row>
    <row r="575" customFormat="false" ht="16.8" hidden="false" customHeight="false" outlineLevel="0" collapsed="false">
      <c r="A575" s="49" t="s">
        <v>399</v>
      </c>
      <c r="B575" s="20"/>
      <c r="C575" s="18"/>
      <c r="D575" s="18"/>
      <c r="E575" s="18"/>
      <c r="F575" s="39"/>
    </row>
    <row r="576" customFormat="false" ht="16.8" hidden="false" customHeight="false" outlineLevel="0" collapsed="false">
      <c r="A576" s="49" t="s">
        <v>435</v>
      </c>
      <c r="B576" s="20" t="n">
        <v>850</v>
      </c>
      <c r="C576" s="18"/>
      <c r="D576" s="18"/>
      <c r="E576" s="18"/>
      <c r="F576" s="39"/>
    </row>
    <row r="577" customFormat="false" ht="16.8" hidden="false" customHeight="false" outlineLevel="0" collapsed="false">
      <c r="A577" s="49" t="s">
        <v>436</v>
      </c>
      <c r="B577" s="20" t="n">
        <v>12400</v>
      </c>
      <c r="C577" s="18"/>
      <c r="D577" s="18"/>
      <c r="E577" s="18"/>
      <c r="F577" s="39"/>
    </row>
    <row r="578" customFormat="false" ht="16.8" hidden="false" customHeight="false" outlineLevel="0" collapsed="false">
      <c r="A578" s="49" t="s">
        <v>398</v>
      </c>
      <c r="B578" s="20"/>
      <c r="C578" s="1"/>
      <c r="D578" s="1"/>
      <c r="E578" s="1"/>
      <c r="F578" s="26"/>
    </row>
    <row r="579" customFormat="false" ht="16.8" hidden="false" customHeight="false" outlineLevel="0" collapsed="false">
      <c r="A579" s="49" t="s">
        <v>384</v>
      </c>
      <c r="B579" s="20"/>
      <c r="C579" s="1"/>
      <c r="D579" s="1"/>
      <c r="E579" s="1"/>
      <c r="F579" s="26"/>
    </row>
    <row r="580" customFormat="false" ht="16.8" hidden="false" customHeight="false" outlineLevel="0" collapsed="false">
      <c r="A580" s="49" t="s">
        <v>390</v>
      </c>
      <c r="B580" s="20" t="n">
        <v>800</v>
      </c>
      <c r="C580" s="1"/>
      <c r="D580" s="1"/>
      <c r="E580" s="1"/>
      <c r="F580" s="26"/>
    </row>
    <row r="581" customFormat="false" ht="16.8" hidden="false" customHeight="false" outlineLevel="0" collapsed="false">
      <c r="A581" s="25" t="s">
        <v>11</v>
      </c>
      <c r="B581" s="35" t="n">
        <f aca="false">SUM(B568:B580)</f>
        <v>33670</v>
      </c>
      <c r="C581" s="1"/>
      <c r="D581" s="45"/>
      <c r="E581" s="45"/>
      <c r="F581" s="26"/>
    </row>
    <row r="582" customFormat="false" ht="13.2" hidden="false" customHeight="false" outlineLevel="0" collapsed="false">
      <c r="A582" s="1"/>
      <c r="B582" s="1"/>
      <c r="C582" s="1"/>
      <c r="D582" s="1"/>
      <c r="E582" s="1"/>
      <c r="F582" s="39"/>
    </row>
    <row r="583" customFormat="false" ht="16.8" hidden="false" customHeight="false" outlineLevel="0" collapsed="false">
      <c r="A583" s="39"/>
      <c r="B583" s="39"/>
      <c r="C583" s="141"/>
      <c r="D583" s="140" t="s">
        <v>396</v>
      </c>
      <c r="E583" s="140"/>
      <c r="F583" s="140"/>
    </row>
    <row r="588" customFormat="false" ht="18.6" hidden="false" customHeight="true" outlineLevel="0" collapsed="false">
      <c r="A588" s="118" t="s">
        <v>564</v>
      </c>
      <c r="B588" s="118"/>
      <c r="C588" s="118"/>
      <c r="D588" s="118"/>
      <c r="E588" s="118"/>
      <c r="F588" s="118"/>
    </row>
    <row r="589" customFormat="false" ht="13.8" hidden="false" customHeight="true" outlineLevel="0" collapsed="false">
      <c r="A589" s="119" t="s">
        <v>2</v>
      </c>
      <c r="B589" s="119"/>
      <c r="C589" s="119"/>
      <c r="D589" s="119"/>
      <c r="E589" s="119"/>
      <c r="F589" s="119"/>
    </row>
    <row r="590" customFormat="false" ht="16.8" hidden="false" customHeight="false" outlineLevel="0" collapsed="false">
      <c r="A590" s="13" t="s">
        <v>3</v>
      </c>
      <c r="B590" s="14"/>
      <c r="C590" s="14"/>
      <c r="D590" s="46"/>
      <c r="E590" s="66" t="s">
        <v>4</v>
      </c>
      <c r="F590" s="66"/>
    </row>
    <row r="591" customFormat="false" ht="33.6" hidden="false" customHeight="false" outlineLevel="0" collapsed="false">
      <c r="A591" s="17" t="s">
        <v>5</v>
      </c>
      <c r="B591" s="17" t="s">
        <v>5</v>
      </c>
      <c r="C591" s="17" t="s">
        <v>565</v>
      </c>
      <c r="D591" s="17" t="s">
        <v>7</v>
      </c>
      <c r="E591" s="17" t="s">
        <v>8</v>
      </c>
      <c r="F591" s="150"/>
    </row>
    <row r="592" customFormat="false" ht="16.8" hidden="false" customHeight="false" outlineLevel="0" collapsed="false">
      <c r="A592" s="19" t="s">
        <v>9</v>
      </c>
      <c r="B592" s="20" t="n">
        <f aca="false">E545</f>
        <v>0</v>
      </c>
      <c r="C592" s="98" t="n">
        <v>4063</v>
      </c>
      <c r="D592" s="20" t="n">
        <f aca="false">C592</f>
        <v>4063</v>
      </c>
      <c r="E592" s="47" t="n">
        <f aca="false">B592+C592-D592</f>
        <v>0</v>
      </c>
    </row>
    <row r="593" customFormat="false" ht="33.6" hidden="false" customHeight="false" outlineLevel="0" collapsed="false">
      <c r="A593" s="97" t="s">
        <v>159</v>
      </c>
      <c r="B593" s="20" t="n">
        <f aca="false">E546</f>
        <v>0</v>
      </c>
      <c r="C593" s="20" t="n">
        <v>546519</v>
      </c>
      <c r="D593" s="20" t="n">
        <f aca="false">C593-E593</f>
        <v>542134</v>
      </c>
      <c r="E593" s="47" t="n">
        <v>4385</v>
      </c>
    </row>
    <row r="594" customFormat="false" ht="33.6" hidden="false" customHeight="false" outlineLevel="0" collapsed="false">
      <c r="A594" s="97" t="s">
        <v>414</v>
      </c>
      <c r="B594" s="20" t="n">
        <f aca="false">E547</f>
        <v>0</v>
      </c>
      <c r="C594" s="20"/>
      <c r="D594" s="20"/>
      <c r="E594" s="47" t="n">
        <f aca="false">B594+C594-D594</f>
        <v>0</v>
      </c>
    </row>
    <row r="595" customFormat="false" ht="33.6" hidden="false" customHeight="false" outlineLevel="0" collapsed="false">
      <c r="A595" s="97" t="s">
        <v>202</v>
      </c>
      <c r="B595" s="20" t="n">
        <f aca="false">E548</f>
        <v>0</v>
      </c>
      <c r="C595" s="20" t="n">
        <v>12165</v>
      </c>
      <c r="D595" s="20" t="n">
        <f aca="false">C595</f>
        <v>12165</v>
      </c>
      <c r="E595" s="47" t="n">
        <f aca="false">B595+C595-D595</f>
        <v>0</v>
      </c>
    </row>
    <row r="596" customFormat="false" ht="16.8" hidden="false" customHeight="false" outlineLevel="0" collapsed="false">
      <c r="A596" s="19" t="s">
        <v>10</v>
      </c>
      <c r="B596" s="20" t="n">
        <f aca="false">E549</f>
        <v>0</v>
      </c>
      <c r="C596" s="20" t="n">
        <v>683126</v>
      </c>
      <c r="D596" s="20" t="n">
        <f aca="false">C596</f>
        <v>683126</v>
      </c>
      <c r="E596" s="47" t="n">
        <f aca="false">B596+C596-D596</f>
        <v>0</v>
      </c>
    </row>
    <row r="597" customFormat="false" ht="16.8" hidden="false" customHeight="false" outlineLevel="0" collapsed="false">
      <c r="A597" s="21" t="s">
        <v>11</v>
      </c>
      <c r="B597" s="22" t="n">
        <f aca="false">SUM(B592:B596)</f>
        <v>0</v>
      </c>
      <c r="C597" s="22" t="n">
        <f aca="false">SUM(C593:C596)</f>
        <v>1241810</v>
      </c>
      <c r="D597" s="22" t="n">
        <f aca="false">SUM(D592:D596)</f>
        <v>1241488</v>
      </c>
      <c r="E597" s="22" t="n">
        <f aca="false">SUM(E592:E596)</f>
        <v>4385</v>
      </c>
    </row>
    <row r="598" customFormat="false" ht="16.8" hidden="false" customHeight="false" outlineLevel="0" collapsed="false">
      <c r="A598" s="13" t="s">
        <v>12</v>
      </c>
      <c r="B598" s="13"/>
      <c r="C598" s="13"/>
      <c r="D598" s="13"/>
      <c r="E598" s="13"/>
      <c r="F598" s="13"/>
    </row>
    <row r="599" customFormat="false" ht="33.6" hidden="false" customHeight="false" outlineLevel="0" collapsed="false">
      <c r="A599" s="25" t="s">
        <v>13</v>
      </c>
      <c r="B599" s="17" t="s">
        <v>562</v>
      </c>
      <c r="C599" s="17" t="s">
        <v>566</v>
      </c>
      <c r="D599" s="120" t="s">
        <v>418</v>
      </c>
      <c r="E599" s="143" t="s">
        <v>419</v>
      </c>
      <c r="F599" s="120" t="s">
        <v>16</v>
      </c>
    </row>
    <row r="600" customFormat="false" ht="24" hidden="false" customHeight="true" outlineLevel="0" collapsed="false">
      <c r="A600" s="49" t="s">
        <v>49</v>
      </c>
      <c r="B600" s="20" t="n">
        <f aca="false">B553+C553</f>
        <v>0</v>
      </c>
      <c r="C600" s="20" t="n">
        <v>13910</v>
      </c>
      <c r="D600" s="34" t="n">
        <f aca="false">C600+C601+B600+B601</f>
        <v>168890</v>
      </c>
      <c r="E600" s="34" t="n">
        <f aca="false">D592+D593</f>
        <v>546197</v>
      </c>
      <c r="F600" s="122" t="n">
        <f aca="false">E600/D600</f>
        <v>3.23403990763219</v>
      </c>
    </row>
    <row r="601" customFormat="false" ht="16.8" hidden="false" customHeight="false" outlineLevel="0" collapsed="false">
      <c r="A601" s="49" t="s">
        <v>466</v>
      </c>
      <c r="B601" s="20" t="n">
        <f aca="false">B554+C554</f>
        <v>0</v>
      </c>
      <c r="C601" s="20" t="n">
        <v>154980</v>
      </c>
      <c r="D601" s="34"/>
      <c r="E601" s="34"/>
      <c r="F601" s="122"/>
    </row>
    <row r="602" customFormat="false" ht="16.8" hidden="false" customHeight="false" outlineLevel="0" collapsed="false">
      <c r="A602" s="49" t="s">
        <v>432</v>
      </c>
      <c r="B602" s="20"/>
      <c r="C602" s="20"/>
      <c r="D602" s="34" t="n">
        <f aca="false">SUM(C602:C612)</f>
        <v>192417</v>
      </c>
      <c r="E602" s="34" t="n">
        <f aca="false">D596+D595</f>
        <v>695291</v>
      </c>
      <c r="F602" s="122" t="n">
        <f aca="false">E602/D602</f>
        <v>3.61345930972835</v>
      </c>
    </row>
    <row r="603" customFormat="false" ht="16.8" hidden="false" customHeight="false" outlineLevel="0" collapsed="false">
      <c r="A603" s="49" t="s">
        <v>403</v>
      </c>
      <c r="B603" s="20"/>
      <c r="C603" s="20"/>
      <c r="D603" s="34"/>
      <c r="E603" s="34"/>
      <c r="F603" s="122"/>
    </row>
    <row r="604" customFormat="false" ht="16.8" hidden="false" customHeight="false" outlineLevel="0" collapsed="false">
      <c r="A604" s="49" t="s">
        <v>401</v>
      </c>
      <c r="B604" s="20"/>
      <c r="C604" s="20"/>
      <c r="D604" s="34"/>
      <c r="E604" s="34"/>
      <c r="F604" s="122"/>
    </row>
    <row r="605" customFormat="false" ht="16.8" hidden="false" customHeight="false" outlineLevel="0" collapsed="false">
      <c r="A605" s="49" t="s">
        <v>433</v>
      </c>
      <c r="B605" s="20"/>
      <c r="C605" s="20"/>
      <c r="D605" s="34"/>
      <c r="E605" s="34"/>
      <c r="F605" s="122"/>
    </row>
    <row r="606" customFormat="false" ht="16.8" hidden="false" customHeight="false" outlineLevel="0" collapsed="false">
      <c r="A606" s="49" t="s">
        <v>434</v>
      </c>
      <c r="B606" s="20"/>
      <c r="C606" s="20" t="n">
        <v>8000</v>
      </c>
      <c r="D606" s="34"/>
      <c r="E606" s="34"/>
      <c r="F606" s="122"/>
    </row>
    <row r="607" customFormat="false" ht="16.8" hidden="false" customHeight="false" outlineLevel="0" collapsed="false">
      <c r="A607" s="49" t="s">
        <v>399</v>
      </c>
      <c r="B607" s="20"/>
      <c r="C607" s="20" t="n">
        <v>4200</v>
      </c>
      <c r="D607" s="34"/>
      <c r="E607" s="34"/>
      <c r="F607" s="122"/>
    </row>
    <row r="608" customFormat="false" ht="16.8" hidden="false" customHeight="false" outlineLevel="0" collapsed="false">
      <c r="A608" s="49" t="s">
        <v>435</v>
      </c>
      <c r="B608" s="20"/>
      <c r="C608" s="20" t="n">
        <v>32700</v>
      </c>
      <c r="D608" s="34"/>
      <c r="E608" s="34"/>
      <c r="F608" s="122"/>
    </row>
    <row r="609" customFormat="false" ht="16.8" hidden="false" customHeight="false" outlineLevel="0" collapsed="false">
      <c r="A609" s="49" t="s">
        <v>436</v>
      </c>
      <c r="B609" s="20"/>
      <c r="C609" s="20" t="n">
        <v>101917</v>
      </c>
      <c r="D609" s="34"/>
      <c r="E609" s="34"/>
      <c r="F609" s="122"/>
    </row>
    <row r="610" customFormat="false" ht="16.8" hidden="false" customHeight="false" outlineLevel="0" collapsed="false">
      <c r="A610" s="49" t="s">
        <v>398</v>
      </c>
      <c r="B610" s="20"/>
      <c r="C610" s="20" t="n">
        <v>22490</v>
      </c>
      <c r="D610" s="34"/>
      <c r="E610" s="34"/>
      <c r="F610" s="122"/>
    </row>
    <row r="611" customFormat="false" ht="16.8" hidden="false" customHeight="false" outlineLevel="0" collapsed="false">
      <c r="A611" s="49" t="s">
        <v>384</v>
      </c>
      <c r="B611" s="20"/>
      <c r="C611" s="20"/>
      <c r="D611" s="34"/>
      <c r="E611" s="34"/>
      <c r="F611" s="122"/>
    </row>
    <row r="612" customFormat="false" ht="16.8" hidden="false" customHeight="false" outlineLevel="0" collapsed="false">
      <c r="A612" s="49" t="s">
        <v>390</v>
      </c>
      <c r="B612" s="20"/>
      <c r="C612" s="20" t="n">
        <v>23110</v>
      </c>
      <c r="D612" s="34"/>
      <c r="E612" s="34"/>
      <c r="F612" s="122"/>
    </row>
    <row r="613" customFormat="false" ht="16.8" hidden="false" customHeight="false" outlineLevel="0" collapsed="false">
      <c r="A613" s="30" t="s">
        <v>11</v>
      </c>
      <c r="B613" s="94" t="n">
        <f aca="false">SUM(B600:B612)</f>
        <v>0</v>
      </c>
      <c r="C613" s="94" t="n">
        <f aca="false">SUM(C600:C612)</f>
        <v>361307</v>
      </c>
      <c r="D613" s="94" t="n">
        <f aca="false">SUM(D600:D612)</f>
        <v>361307</v>
      </c>
      <c r="E613" s="94" t="n">
        <f aca="false">E600+E602</f>
        <v>1241488</v>
      </c>
      <c r="F613" s="89"/>
    </row>
    <row r="614" customFormat="false" ht="16.8" hidden="false" customHeight="false" outlineLevel="0" collapsed="false">
      <c r="A614" s="55" t="s">
        <v>476</v>
      </c>
      <c r="B614" s="56"/>
      <c r="C614" s="56"/>
      <c r="D614" s="56"/>
      <c r="E614" s="100"/>
      <c r="F614" s="100"/>
    </row>
    <row r="615" customFormat="false" ht="16.8" hidden="false" customHeight="false" outlineLevel="0" collapsed="false">
      <c r="A615" s="13" t="s">
        <v>20</v>
      </c>
      <c r="B615" s="1"/>
      <c r="C615" s="1"/>
      <c r="D615" s="1"/>
      <c r="E615" s="1"/>
      <c r="F615" s="1"/>
    </row>
    <row r="616" customFormat="false" ht="16.8" hidden="false" customHeight="false" outlineLevel="0" collapsed="false">
      <c r="A616" s="17" t="s">
        <v>13</v>
      </c>
      <c r="B616" s="17" t="s">
        <v>21</v>
      </c>
      <c r="C616" s="18"/>
      <c r="D616" s="18"/>
      <c r="E616" s="18"/>
      <c r="F616" s="39"/>
    </row>
    <row r="617" customFormat="false" ht="16.5" hidden="false" customHeight="true" outlineLevel="0" collapsed="false">
      <c r="A617" s="49" t="s">
        <v>420</v>
      </c>
      <c r="B617" s="20" t="n">
        <v>8900</v>
      </c>
      <c r="C617" s="18"/>
      <c r="D617" s="18"/>
      <c r="E617" s="18"/>
      <c r="F617" s="39"/>
    </row>
    <row r="618" customFormat="false" ht="16.8" hidden="false" customHeight="false" outlineLevel="0" collapsed="false">
      <c r="A618" s="49" t="s">
        <v>466</v>
      </c>
      <c r="B618" s="20" t="n">
        <v>19760</v>
      </c>
      <c r="C618" s="18"/>
      <c r="D618" s="18"/>
      <c r="E618" s="18"/>
      <c r="F618" s="39"/>
    </row>
    <row r="619" customFormat="false" ht="16.8" hidden="false" customHeight="false" outlineLevel="0" collapsed="false">
      <c r="A619" s="49" t="s">
        <v>432</v>
      </c>
      <c r="B619" s="20"/>
      <c r="C619" s="18"/>
      <c r="D619" s="18"/>
      <c r="E619" s="18"/>
      <c r="F619" s="39"/>
    </row>
    <row r="620" customFormat="false" ht="16.8" hidden="false" customHeight="false" outlineLevel="0" collapsed="false">
      <c r="A620" s="49" t="s">
        <v>403</v>
      </c>
      <c r="B620" s="20"/>
      <c r="C620" s="18"/>
      <c r="D620" s="18"/>
      <c r="E620" s="18"/>
      <c r="F620" s="39"/>
    </row>
    <row r="621" customFormat="false" ht="16.8" hidden="false" customHeight="false" outlineLevel="0" collapsed="false">
      <c r="A621" s="49" t="s">
        <v>401</v>
      </c>
      <c r="B621" s="20"/>
      <c r="C621" s="18"/>
      <c r="D621" s="18"/>
      <c r="E621" s="18"/>
      <c r="F621" s="39"/>
    </row>
    <row r="622" customFormat="false" ht="16.8" hidden="false" customHeight="false" outlineLevel="0" collapsed="false">
      <c r="A622" s="49" t="s">
        <v>433</v>
      </c>
      <c r="B622" s="20"/>
      <c r="C622" s="18"/>
      <c r="D622" s="18"/>
      <c r="E622" s="18"/>
      <c r="F622" s="39"/>
    </row>
    <row r="623" customFormat="false" ht="16.8" hidden="false" customHeight="false" outlineLevel="0" collapsed="false">
      <c r="A623" s="49" t="s">
        <v>434</v>
      </c>
      <c r="B623" s="20"/>
      <c r="C623" s="18"/>
      <c r="D623" s="18"/>
      <c r="E623" s="18"/>
      <c r="F623" s="39"/>
    </row>
    <row r="624" customFormat="false" ht="16.8" hidden="false" customHeight="false" outlineLevel="0" collapsed="false">
      <c r="A624" s="49" t="s">
        <v>399</v>
      </c>
      <c r="B624" s="20"/>
      <c r="C624" s="18"/>
      <c r="D624" s="18"/>
      <c r="E624" s="18"/>
      <c r="F624" s="39"/>
    </row>
    <row r="625" customFormat="false" ht="16.8" hidden="false" customHeight="false" outlineLevel="0" collapsed="false">
      <c r="A625" s="49" t="s">
        <v>435</v>
      </c>
      <c r="B625" s="20" t="n">
        <v>950</v>
      </c>
      <c r="C625" s="18"/>
      <c r="D625" s="18"/>
      <c r="E625" s="18"/>
      <c r="F625" s="39"/>
    </row>
    <row r="626" customFormat="false" ht="16.8" hidden="false" customHeight="false" outlineLevel="0" collapsed="false">
      <c r="A626" s="49" t="s">
        <v>436</v>
      </c>
      <c r="B626" s="20" t="n">
        <v>5294</v>
      </c>
      <c r="C626" s="18"/>
      <c r="D626" s="18"/>
      <c r="E626" s="18"/>
      <c r="F626" s="39"/>
    </row>
    <row r="627" customFormat="false" ht="16.8" hidden="false" customHeight="false" outlineLevel="0" collapsed="false">
      <c r="A627" s="49" t="s">
        <v>398</v>
      </c>
      <c r="B627" s="20" t="n">
        <v>1600</v>
      </c>
      <c r="C627" s="1"/>
      <c r="D627" s="1"/>
      <c r="E627" s="1"/>
      <c r="F627" s="26"/>
    </row>
    <row r="628" customFormat="false" ht="16.8" hidden="false" customHeight="false" outlineLevel="0" collapsed="false">
      <c r="A628" s="49" t="s">
        <v>384</v>
      </c>
      <c r="B628" s="20"/>
      <c r="C628" s="1"/>
      <c r="D628" s="1"/>
      <c r="E628" s="1"/>
      <c r="F628" s="26"/>
    </row>
    <row r="629" customFormat="false" ht="16.8" hidden="false" customHeight="false" outlineLevel="0" collapsed="false">
      <c r="A629" s="49" t="s">
        <v>390</v>
      </c>
      <c r="B629" s="20" t="n">
        <v>11890</v>
      </c>
      <c r="C629" s="1"/>
      <c r="D629" s="1"/>
      <c r="E629" s="1"/>
      <c r="F629" s="26"/>
    </row>
    <row r="630" customFormat="false" ht="16.8" hidden="false" customHeight="false" outlineLevel="0" collapsed="false">
      <c r="A630" s="25" t="s">
        <v>11</v>
      </c>
      <c r="B630" s="35" t="n">
        <f aca="false">SUM(B617:B629)</f>
        <v>48394</v>
      </c>
      <c r="C630" s="1"/>
      <c r="D630" s="45"/>
      <c r="E630" s="45"/>
      <c r="F630" s="26"/>
    </row>
    <row r="631" customFormat="false" ht="13.2" hidden="false" customHeight="false" outlineLevel="0" collapsed="false">
      <c r="A631" s="1"/>
      <c r="B631" s="1"/>
      <c r="C631" s="1"/>
      <c r="D631" s="1"/>
      <c r="E631" s="1"/>
      <c r="F631" s="39"/>
    </row>
    <row r="632" customFormat="false" ht="16.8" hidden="false" customHeight="false" outlineLevel="0" collapsed="false">
      <c r="A632" s="39"/>
      <c r="B632" s="39"/>
      <c r="C632" s="141"/>
      <c r="D632" s="140" t="s">
        <v>396</v>
      </c>
      <c r="E632" s="140"/>
      <c r="F632" s="140"/>
    </row>
  </sheetData>
  <mergeCells count="87">
    <mergeCell ref="A1:F1"/>
    <mergeCell ref="A2:F2"/>
    <mergeCell ref="C13:C14"/>
    <mergeCell ref="D13:D14"/>
    <mergeCell ref="E13:E14"/>
    <mergeCell ref="C15:C25"/>
    <mergeCell ref="D15:D25"/>
    <mergeCell ref="E15:E25"/>
    <mergeCell ref="D45:F45"/>
    <mergeCell ref="A51:F51"/>
    <mergeCell ref="A52:F52"/>
    <mergeCell ref="D65:D75"/>
    <mergeCell ref="D95:F95"/>
    <mergeCell ref="A99:F99"/>
    <mergeCell ref="A100:F100"/>
    <mergeCell ref="D111:D112"/>
    <mergeCell ref="D113:D123"/>
    <mergeCell ref="E113:E123"/>
    <mergeCell ref="F113:F123"/>
    <mergeCell ref="D143:F143"/>
    <mergeCell ref="A148:F148"/>
    <mergeCell ref="A149:F149"/>
    <mergeCell ref="D160:D161"/>
    <mergeCell ref="E160:E161"/>
    <mergeCell ref="D162:D172"/>
    <mergeCell ref="E162:E172"/>
    <mergeCell ref="F162:F172"/>
    <mergeCell ref="D192:F192"/>
    <mergeCell ref="A198:F198"/>
    <mergeCell ref="A199:F199"/>
    <mergeCell ref="D212:D222"/>
    <mergeCell ref="E212:E222"/>
    <mergeCell ref="F212:F222"/>
    <mergeCell ref="D243:F243"/>
    <mergeCell ref="A248:F248"/>
    <mergeCell ref="A249:F249"/>
    <mergeCell ref="D262:D272"/>
    <mergeCell ref="E262:E272"/>
    <mergeCell ref="F262:F272"/>
    <mergeCell ref="D292:F292"/>
    <mergeCell ref="A298:F298"/>
    <mergeCell ref="A299:F299"/>
    <mergeCell ref="D312:D322"/>
    <mergeCell ref="E312:E322"/>
    <mergeCell ref="F312:F322"/>
    <mergeCell ref="D342:F342"/>
    <mergeCell ref="A346:F346"/>
    <mergeCell ref="A347:F347"/>
    <mergeCell ref="D360:D370"/>
    <mergeCell ref="E360:E370"/>
    <mergeCell ref="F360:F370"/>
    <mergeCell ref="D391:F391"/>
    <mergeCell ref="A396:F396"/>
    <mergeCell ref="A397:F397"/>
    <mergeCell ref="C410:C420"/>
    <mergeCell ref="D410:D420"/>
    <mergeCell ref="E410:E420"/>
    <mergeCell ref="D441:F441"/>
    <mergeCell ref="A444:F444"/>
    <mergeCell ref="A445:F445"/>
    <mergeCell ref="C458:C468"/>
    <mergeCell ref="D458:D468"/>
    <mergeCell ref="E458:E468"/>
    <mergeCell ref="D488:F488"/>
    <mergeCell ref="A492:F492"/>
    <mergeCell ref="A493:F493"/>
    <mergeCell ref="E504:E505"/>
    <mergeCell ref="F504:F505"/>
    <mergeCell ref="D506:D516"/>
    <mergeCell ref="E506:E516"/>
    <mergeCell ref="F506:F516"/>
    <mergeCell ref="D536:F536"/>
    <mergeCell ref="A539:F539"/>
    <mergeCell ref="A540:F540"/>
    <mergeCell ref="D553:D563"/>
    <mergeCell ref="E553:E563"/>
    <mergeCell ref="F553:F563"/>
    <mergeCell ref="D583:F583"/>
    <mergeCell ref="A588:F588"/>
    <mergeCell ref="A589:F589"/>
    <mergeCell ref="D600:D601"/>
    <mergeCell ref="E600:E601"/>
    <mergeCell ref="F600:F601"/>
    <mergeCell ref="D602:D612"/>
    <mergeCell ref="E602:E612"/>
    <mergeCell ref="F602:F612"/>
    <mergeCell ref="D632:F63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47"/>
  <sheetViews>
    <sheetView windowProtection="false" showFormulas="false" showGridLines="true" showRowColHeaders="true" showZeros="true" rightToLeft="false" tabSelected="true" showOutlineSymbols="true" defaultGridColor="true" view="normal" topLeftCell="A4" colorId="64" zoomScale="100" zoomScaleNormal="100" zoomScalePageLayoutView="100" workbookViewId="0">
      <selection pane="topLeft" activeCell="G26" activeCellId="0" sqref="G26"/>
    </sheetView>
  </sheetViews>
  <sheetFormatPr defaultRowHeight="13.2"/>
  <cols>
    <col collapsed="false" hidden="false" max="1" min="1" style="1" width="4.45408163265306"/>
    <col collapsed="false" hidden="false" max="2" min="2" style="1" width="31.5867346938776"/>
    <col collapsed="false" hidden="false" max="3" min="3" style="1" width="30.1020408163265"/>
    <col collapsed="false" hidden="false" max="4" min="4" style="1" width="25.9183673469388"/>
    <col collapsed="false" hidden="false" max="5" min="5" style="1" width="18.4948979591837"/>
    <col collapsed="false" hidden="false" max="8" min="6" style="1" width="21.734693877551"/>
    <col collapsed="false" hidden="false" max="9" min="9" style="1" width="60.3418367346939"/>
    <col collapsed="false" hidden="false" max="10" min="10" style="1" width="31.5867346938776"/>
    <col collapsed="false" hidden="false" max="11" min="11" style="1" width="9.31632653061224"/>
    <col collapsed="false" hidden="false" max="1025" min="12" style="1" width="8.23469387755102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39"/>
      <c r="H1" s="39"/>
      <c r="I1" s="140"/>
      <c r="J1" s="140"/>
      <c r="K1" s="140"/>
    </row>
    <row r="2" customFormat="false" ht="13.2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</row>
    <row r="3" customFormat="false" ht="13.2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</row>
    <row r="4" customFormat="false" ht="15" hidden="false" customHeight="false" outlineLevel="0" collapsed="false">
      <c r="A4" s="0"/>
      <c r="B4" s="0"/>
      <c r="C4" s="1" t="s">
        <v>567</v>
      </c>
      <c r="D4" s="0"/>
      <c r="E4" s="0"/>
      <c r="F4" s="0"/>
      <c r="G4" s="0"/>
      <c r="H4" s="0"/>
      <c r="I4" s="157" t="s">
        <v>568</v>
      </c>
      <c r="J4" s="0"/>
    </row>
    <row r="5" customFormat="false" ht="13.2" hidden="false" customHeight="false" outlineLevel="0" collapsed="false">
      <c r="A5" s="0"/>
      <c r="B5" s="0"/>
      <c r="C5" s="1" t="s">
        <v>569</v>
      </c>
      <c r="D5" s="1" t="s">
        <v>570</v>
      </c>
      <c r="E5" s="0"/>
      <c r="F5" s="0"/>
      <c r="G5" s="0" t="s">
        <v>571</v>
      </c>
      <c r="H5" s="0"/>
      <c r="I5" s="0"/>
      <c r="J5" s="0"/>
    </row>
    <row r="6" customFormat="false" ht="13.2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</row>
    <row r="7" customFormat="false" ht="13.2" hidden="false" customHeight="false" outlineLevel="0" collapsed="false">
      <c r="A7" s="60" t="s">
        <v>572</v>
      </c>
      <c r="B7" s="60" t="s">
        <v>573</v>
      </c>
      <c r="C7" s="60" t="s">
        <v>574</v>
      </c>
      <c r="D7" s="60" t="s">
        <v>575</v>
      </c>
      <c r="E7" s="60" t="s">
        <v>576</v>
      </c>
      <c r="F7" s="60" t="s">
        <v>577</v>
      </c>
      <c r="G7" s="63"/>
      <c r="H7" s="63"/>
      <c r="I7" s="0"/>
      <c r="J7" s="0"/>
    </row>
    <row r="8" customFormat="false" ht="15" hidden="false" customHeight="false" outlineLevel="0" collapsed="false">
      <c r="A8" s="60" t="s">
        <v>578</v>
      </c>
      <c r="B8" s="60" t="s">
        <v>579</v>
      </c>
      <c r="C8" s="60"/>
      <c r="D8" s="60"/>
      <c r="E8" s="60"/>
      <c r="F8" s="60"/>
      <c r="G8" s="63" t="n">
        <v>1</v>
      </c>
      <c r="H8" s="63"/>
      <c r="I8" s="157" t="s">
        <v>580</v>
      </c>
      <c r="J8" s="1" t="s">
        <v>581</v>
      </c>
    </row>
    <row r="9" customFormat="false" ht="13.2" hidden="false" customHeight="false" outlineLevel="0" collapsed="false">
      <c r="A9" s="60"/>
      <c r="B9" s="60" t="s">
        <v>582</v>
      </c>
      <c r="C9" s="60"/>
      <c r="D9" s="60"/>
      <c r="E9" s="60"/>
      <c r="F9" s="60"/>
      <c r="G9" s="63"/>
      <c r="H9" s="63"/>
      <c r="I9" s="0"/>
      <c r="J9" s="0"/>
    </row>
    <row r="10" customFormat="false" ht="13.2" hidden="false" customHeight="false" outlineLevel="0" collapsed="false">
      <c r="A10" s="60"/>
      <c r="B10" s="60" t="s">
        <v>583</v>
      </c>
      <c r="C10" s="60"/>
      <c r="D10" s="60"/>
      <c r="E10" s="60"/>
      <c r="F10" s="60"/>
      <c r="G10" s="63"/>
      <c r="H10" s="63"/>
      <c r="I10" s="0"/>
      <c r="J10" s="0"/>
    </row>
    <row r="11" customFormat="false" ht="13.2" hidden="false" customHeight="false" outlineLevel="0" collapsed="false">
      <c r="A11" s="60"/>
      <c r="B11" s="60" t="s">
        <v>582</v>
      </c>
      <c r="C11" s="60"/>
      <c r="D11" s="60"/>
      <c r="E11" s="60"/>
      <c r="F11" s="60"/>
      <c r="G11" s="63"/>
      <c r="H11" s="63"/>
      <c r="I11" s="0"/>
      <c r="J11" s="0"/>
    </row>
    <row r="12" customFormat="false" ht="13.2" hidden="false" customHeight="false" outlineLevel="0" collapsed="false">
      <c r="A12" s="60"/>
      <c r="B12" s="60" t="s">
        <v>584</v>
      </c>
      <c r="C12" s="60"/>
      <c r="D12" s="60"/>
      <c r="E12" s="60"/>
      <c r="F12" s="60"/>
      <c r="G12" s="63"/>
      <c r="H12" s="63"/>
      <c r="I12" s="0"/>
      <c r="J12" s="0"/>
    </row>
    <row r="13" customFormat="false" ht="13.2" hidden="false" customHeight="false" outlineLevel="0" collapsed="false">
      <c r="A13" s="60"/>
      <c r="B13" s="60" t="s">
        <v>585</v>
      </c>
      <c r="C13" s="60"/>
      <c r="D13" s="60"/>
      <c r="E13" s="60"/>
      <c r="F13" s="60"/>
      <c r="G13" s="63"/>
      <c r="H13" s="63"/>
      <c r="I13" s="0"/>
      <c r="J13" s="0"/>
    </row>
    <row r="14" customFormat="false" ht="13.2" hidden="false" customHeight="false" outlineLevel="0" collapsed="false">
      <c r="A14" s="60" t="s">
        <v>586</v>
      </c>
      <c r="B14" s="60" t="s">
        <v>587</v>
      </c>
      <c r="C14" s="60"/>
      <c r="D14" s="60"/>
      <c r="E14" s="60"/>
      <c r="F14" s="60"/>
      <c r="G14" s="63" t="n">
        <v>2</v>
      </c>
      <c r="H14" s="63"/>
      <c r="I14" s="0"/>
      <c r="J14" s="0"/>
    </row>
    <row r="15" customFormat="false" ht="12.8" hidden="false" customHeight="false" outlineLevel="0" collapsed="false">
      <c r="A15" s="60" t="n">
        <v>1</v>
      </c>
      <c r="B15" s="60" t="s">
        <v>588</v>
      </c>
      <c r="C15" s="60"/>
      <c r="D15" s="60"/>
      <c r="E15" s="60"/>
      <c r="F15" s="60"/>
      <c r="G15" s="63" t="n">
        <v>3</v>
      </c>
      <c r="H15" s="63"/>
      <c r="I15" s="158" t="s">
        <v>589</v>
      </c>
      <c r="J15" s="1" t="s">
        <v>590</v>
      </c>
    </row>
    <row r="16" customFormat="false" ht="12.8" hidden="false" customHeight="false" outlineLevel="0" collapsed="false">
      <c r="A16" s="60" t="n">
        <v>2</v>
      </c>
      <c r="B16" s="60" t="s">
        <v>591</v>
      </c>
      <c r="C16" s="60"/>
      <c r="D16" s="60"/>
      <c r="E16" s="60"/>
      <c r="F16" s="60"/>
      <c r="G16" s="63" t="n">
        <v>4</v>
      </c>
      <c r="H16" s="63"/>
      <c r="I16" s="157" t="s">
        <v>592</v>
      </c>
      <c r="J16" s="1" t="s">
        <v>590</v>
      </c>
    </row>
    <row r="17" customFormat="false" ht="12.8" hidden="false" customHeight="false" outlineLevel="0" collapsed="false">
      <c r="A17" s="60" t="n">
        <v>3</v>
      </c>
      <c r="B17" s="60" t="s">
        <v>593</v>
      </c>
      <c r="C17" s="60"/>
      <c r="D17" s="60"/>
      <c r="E17" s="60"/>
      <c r="F17" s="60"/>
      <c r="G17" s="63" t="n">
        <v>5</v>
      </c>
      <c r="H17" s="63"/>
      <c r="I17" s="157" t="s">
        <v>594</v>
      </c>
      <c r="J17" s="1" t="s">
        <v>590</v>
      </c>
    </row>
    <row r="18" customFormat="false" ht="12.8" hidden="false" customHeight="false" outlineLevel="0" collapsed="false">
      <c r="A18" s="60" t="s">
        <v>595</v>
      </c>
      <c r="B18" s="60" t="s">
        <v>596</v>
      </c>
      <c r="C18" s="60"/>
      <c r="D18" s="60"/>
      <c r="E18" s="60"/>
      <c r="F18" s="60" t="s">
        <v>597</v>
      </c>
      <c r="G18" s="63" t="n">
        <v>6</v>
      </c>
      <c r="H18" s="63"/>
      <c r="I18" s="0"/>
    </row>
    <row r="19" customFormat="false" ht="12.8" hidden="false" customHeight="false" outlineLevel="0" collapsed="false">
      <c r="A19" s="60" t="n">
        <v>1</v>
      </c>
      <c r="B19" s="60" t="s">
        <v>598</v>
      </c>
      <c r="C19" s="60" t="s">
        <v>599</v>
      </c>
      <c r="D19" s="60" t="s">
        <v>600</v>
      </c>
      <c r="E19" s="60"/>
      <c r="F19" s="60"/>
      <c r="G19" s="63" t="n">
        <v>7</v>
      </c>
      <c r="H19" s="63"/>
      <c r="I19" s="1" t="s">
        <v>601</v>
      </c>
    </row>
    <row r="20" customFormat="false" ht="12.8" hidden="false" customHeight="false" outlineLevel="0" collapsed="false">
      <c r="A20" s="60" t="n">
        <v>2</v>
      </c>
      <c r="B20" s="60" t="s">
        <v>602</v>
      </c>
      <c r="C20" s="60" t="s">
        <v>599</v>
      </c>
      <c r="D20" s="60" t="s">
        <v>600</v>
      </c>
      <c r="E20" s="60"/>
      <c r="F20" s="60"/>
      <c r="G20" s="63" t="n">
        <v>8</v>
      </c>
      <c r="H20" s="63"/>
      <c r="I20" s="1" t="s">
        <v>603</v>
      </c>
    </row>
    <row r="21" customFormat="false" ht="12.8" hidden="false" customHeight="false" outlineLevel="0" collapsed="false">
      <c r="A21" s="60" t="n">
        <v>3</v>
      </c>
      <c r="B21" s="60" t="s">
        <v>604</v>
      </c>
      <c r="C21" s="60" t="s">
        <v>599</v>
      </c>
      <c r="D21" s="60" t="s">
        <v>600</v>
      </c>
      <c r="E21" s="60"/>
      <c r="F21" s="60"/>
      <c r="G21" s="63" t="n">
        <v>9</v>
      </c>
      <c r="H21" s="63"/>
      <c r="I21" s="1" t="s">
        <v>605</v>
      </c>
    </row>
    <row r="22" customFormat="false" ht="12.8" hidden="false" customHeight="false" outlineLevel="0" collapsed="false">
      <c r="A22" s="60" t="n">
        <v>4</v>
      </c>
      <c r="B22" s="60" t="s">
        <v>606</v>
      </c>
      <c r="C22" s="60" t="s">
        <v>599</v>
      </c>
      <c r="D22" s="60" t="s">
        <v>600</v>
      </c>
      <c r="E22" s="60"/>
      <c r="F22" s="60"/>
      <c r="G22" s="63" t="n">
        <v>10</v>
      </c>
      <c r="H22" s="63"/>
      <c r="I22" s="1" t="s">
        <v>607</v>
      </c>
    </row>
    <row r="23" customFormat="false" ht="12.8" hidden="false" customHeight="false" outlineLevel="0" collapsed="false">
      <c r="A23" s="60" t="n">
        <v>5</v>
      </c>
      <c r="B23" s="60" t="s">
        <v>608</v>
      </c>
      <c r="C23" s="60" t="s">
        <v>599</v>
      </c>
      <c r="D23" s="60" t="s">
        <v>600</v>
      </c>
      <c r="E23" s="60"/>
      <c r="F23" s="60"/>
      <c r="G23" s="63" t="n">
        <v>11</v>
      </c>
      <c r="H23" s="63"/>
      <c r="I23" s="1" t="s">
        <v>609</v>
      </c>
    </row>
    <row r="24" customFormat="false" ht="13.2" hidden="false" customHeight="false" outlineLevel="0" collapsed="false">
      <c r="A24" s="60"/>
      <c r="B24" s="60"/>
      <c r="C24" s="60"/>
      <c r="D24" s="60"/>
      <c r="E24" s="60"/>
      <c r="F24" s="60"/>
      <c r="G24" s="63"/>
      <c r="H24" s="63"/>
    </row>
    <row r="25" customFormat="false" ht="13.2" hidden="false" customHeight="false" outlineLevel="0" collapsed="false">
      <c r="A25" s="60"/>
      <c r="B25" s="60"/>
      <c r="C25" s="60"/>
      <c r="D25" s="60"/>
      <c r="E25" s="60"/>
      <c r="F25" s="60"/>
      <c r="G25" s="63"/>
      <c r="H25" s="63"/>
    </row>
    <row r="26" customFormat="false" ht="13.2" hidden="false" customHeight="false" outlineLevel="0" collapsed="false">
      <c r="A26" s="0"/>
      <c r="B26" s="0"/>
      <c r="C26" s="0"/>
      <c r="D26" s="0"/>
      <c r="E26" s="0"/>
      <c r="F26" s="0"/>
    </row>
    <row r="27" customFormat="false" ht="13.2" hidden="false" customHeight="false" outlineLevel="0" collapsed="false">
      <c r="A27" s="0"/>
      <c r="B27" s="0"/>
      <c r="C27" s="0"/>
      <c r="D27" s="0"/>
      <c r="E27" s="0"/>
      <c r="F27" s="0"/>
    </row>
    <row r="28" customFormat="false" ht="13.2" hidden="false" customHeight="false" outlineLevel="0" collapsed="false">
      <c r="A28" s="0"/>
      <c r="B28" s="0"/>
      <c r="C28" s="0"/>
      <c r="D28" s="0"/>
      <c r="E28" s="0"/>
      <c r="F28" s="0"/>
    </row>
    <row r="29" customFormat="false" ht="13.2" hidden="false" customHeight="false" outlineLevel="0" collapsed="false">
      <c r="A29" s="0"/>
      <c r="B29" s="0"/>
      <c r="C29" s="0"/>
      <c r="D29" s="0"/>
      <c r="E29" s="0"/>
      <c r="F29" s="0"/>
    </row>
    <row r="30" customFormat="false" ht="13.2" hidden="false" customHeight="false" outlineLevel="0" collapsed="false">
      <c r="A30" s="0"/>
      <c r="B30" s="0"/>
      <c r="C30" s="0"/>
      <c r="D30" s="0"/>
      <c r="E30" s="0"/>
      <c r="F30" s="0"/>
    </row>
    <row r="31" customFormat="false" ht="13.2" hidden="false" customHeight="false" outlineLevel="0" collapsed="false">
      <c r="A31" s="0"/>
      <c r="B31" s="0"/>
      <c r="C31" s="0"/>
      <c r="D31" s="0"/>
      <c r="E31" s="0"/>
      <c r="F31" s="0"/>
    </row>
    <row r="32" customFormat="false" ht="13.2" hidden="false" customHeight="false" outlineLevel="0" collapsed="false">
      <c r="A32" s="0"/>
      <c r="B32" s="0"/>
      <c r="C32" s="0"/>
      <c r="D32" s="0"/>
      <c r="E32" s="0"/>
      <c r="F32" s="0"/>
    </row>
    <row r="33" customFormat="false" ht="13.2" hidden="false" customHeight="false" outlineLevel="0" collapsed="false">
      <c r="A33" s="0"/>
      <c r="B33" s="0"/>
      <c r="C33" s="0"/>
      <c r="D33" s="0"/>
      <c r="E33" s="0"/>
      <c r="F33" s="0"/>
    </row>
    <row r="34" customFormat="false" ht="13.2" hidden="false" customHeight="false" outlineLevel="0" collapsed="false">
      <c r="A34" s="0"/>
      <c r="B34" s="0"/>
      <c r="C34" s="0"/>
      <c r="D34" s="0"/>
      <c r="E34" s="0"/>
      <c r="F34" s="0"/>
    </row>
    <row r="35" customFormat="false" ht="13.2" hidden="false" customHeight="false" outlineLevel="0" collapsed="false">
      <c r="A35" s="0"/>
      <c r="B35" s="0"/>
      <c r="C35" s="0"/>
      <c r="D35" s="0"/>
      <c r="E35" s="0"/>
      <c r="F35" s="0"/>
    </row>
    <row r="36" customFormat="false" ht="13.2" hidden="false" customHeight="false" outlineLevel="0" collapsed="false">
      <c r="A36" s="0"/>
      <c r="B36" s="0"/>
      <c r="C36" s="0"/>
      <c r="D36" s="0"/>
      <c r="E36" s="0"/>
      <c r="F36" s="0"/>
    </row>
    <row r="37" customFormat="false" ht="13.2" hidden="false" customHeight="false" outlineLevel="0" collapsed="false">
      <c r="A37" s="0"/>
      <c r="B37" s="0"/>
      <c r="C37" s="0"/>
      <c r="D37" s="0"/>
      <c r="E37" s="0"/>
      <c r="F37" s="0"/>
    </row>
    <row r="38" customFormat="false" ht="13.2" hidden="false" customHeight="false" outlineLevel="0" collapsed="false">
      <c r="A38" s="0"/>
      <c r="B38" s="0"/>
      <c r="C38" s="0"/>
      <c r="D38" s="0"/>
      <c r="E38" s="0"/>
      <c r="F38" s="0"/>
    </row>
    <row r="39" customFormat="false" ht="13.2" hidden="false" customHeight="false" outlineLevel="0" collapsed="false">
      <c r="A39" s="0"/>
      <c r="B39" s="0"/>
      <c r="C39" s="0"/>
      <c r="D39" s="0"/>
      <c r="E39" s="0"/>
      <c r="F39" s="0"/>
    </row>
    <row r="40" customFormat="false" ht="13.2" hidden="false" customHeight="false" outlineLevel="0" collapsed="false">
      <c r="A40" s="1" t="s">
        <v>610</v>
      </c>
      <c r="B40" s="1" t="s">
        <v>611</v>
      </c>
      <c r="C40" s="1" t="s">
        <v>612</v>
      </c>
      <c r="D40" s="1" t="s">
        <v>613</v>
      </c>
      <c r="E40" s="1" t="s">
        <v>614</v>
      </c>
      <c r="F40" s="0"/>
    </row>
    <row r="41" customFormat="false" ht="13.2" hidden="false" customHeight="false" outlineLevel="0" collapsed="false">
      <c r="B41" s="0"/>
      <c r="C41" s="0"/>
      <c r="D41" s="0"/>
      <c r="E41" s="0"/>
      <c r="F41" s="0"/>
    </row>
    <row r="42" customFormat="false" ht="13.2" hidden="false" customHeight="false" outlineLevel="0" collapsed="false">
      <c r="B42" s="1" t="s">
        <v>615</v>
      </c>
      <c r="C42" s="1" t="s">
        <v>616</v>
      </c>
      <c r="D42" s="1" t="s">
        <v>617</v>
      </c>
      <c r="E42" s="1" t="s">
        <v>618</v>
      </c>
      <c r="F42" s="0"/>
    </row>
    <row r="43" customFormat="false" ht="13.2" hidden="false" customHeight="false" outlineLevel="0" collapsed="false">
      <c r="B43" s="1" t="s">
        <v>619</v>
      </c>
      <c r="C43" s="1" t="s">
        <v>620</v>
      </c>
      <c r="D43" s="1" t="s">
        <v>621</v>
      </c>
      <c r="E43" s="1" t="s">
        <v>622</v>
      </c>
      <c r="F43" s="1" t="s">
        <v>623</v>
      </c>
    </row>
    <row r="44" customFormat="false" ht="13.2" hidden="false" customHeight="false" outlineLevel="0" collapsed="false">
      <c r="B44" s="1" t="s">
        <v>624</v>
      </c>
      <c r="C44" s="1" t="s">
        <v>625</v>
      </c>
      <c r="D44" s="1" t="s">
        <v>621</v>
      </c>
      <c r="E44" s="1" t="s">
        <v>622</v>
      </c>
      <c r="F44" s="1" t="s">
        <v>626</v>
      </c>
    </row>
    <row r="45" customFormat="false" ht="13.2" hidden="false" customHeight="false" outlineLevel="0" collapsed="false">
      <c r="C45" s="1" t="s">
        <v>627</v>
      </c>
      <c r="D45" s="1" t="s">
        <v>621</v>
      </c>
      <c r="E45" s="1" t="s">
        <v>622</v>
      </c>
    </row>
    <row r="46" customFormat="false" ht="13.2" hidden="false" customHeight="false" outlineLevel="0" collapsed="false">
      <c r="C46" s="1" t="s">
        <v>584</v>
      </c>
      <c r="D46" s="1" t="s">
        <v>621</v>
      </c>
      <c r="E46" s="1" t="s">
        <v>622</v>
      </c>
    </row>
    <row r="47" customFormat="false" ht="13.2" hidden="false" customHeight="false" outlineLevel="0" collapsed="false">
      <c r="C47" s="1" t="s">
        <v>628</v>
      </c>
      <c r="D47" s="1" t="s">
        <v>629</v>
      </c>
      <c r="E47" s="1" t="s">
        <v>630</v>
      </c>
    </row>
  </sheetData>
  <mergeCells count="2">
    <mergeCell ref="E1:F1"/>
    <mergeCell ref="I1:K1"/>
  </mergeCells>
  <printOptions headings="false" gridLines="false" gridLinesSet="true" horizontalCentered="false" verticalCentered="false"/>
  <pageMargins left="0.440277777777778" right="0.35" top="0.459722222222222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3.2"/>
  <cols>
    <col collapsed="false" hidden="false" max="1" min="1" style="0" width="9.44897959183673"/>
    <col collapsed="false" hidden="false" max="2" min="2" style="0" width="29.6989795918367"/>
    <col collapsed="false" hidden="false" max="3" min="3" style="0" width="23.7602040816327"/>
    <col collapsed="false" hidden="false" max="4" min="4" style="0" width="16.7397959183673"/>
    <col collapsed="false" hidden="false" max="5" min="5" style="0" width="11.6071428571429"/>
    <col collapsed="false" hidden="false" max="8" min="6" style="0" width="15.2551020408163"/>
    <col collapsed="false" hidden="false" max="9" min="9" style="0" width="62.6377551020408"/>
    <col collapsed="false" hidden="false" max="10" min="10" style="0" width="16.7397959183673"/>
    <col collapsed="false" hidden="false" max="1025" min="11" style="0" width="8.50510204081633"/>
  </cols>
  <sheetData>
    <row r="1" s="1" customFormat="true" ht="23.95" hidden="false" customHeight="false" outlineLevel="0" collapsed="false">
      <c r="C1" s="1" t="s">
        <v>631</v>
      </c>
      <c r="E1" s="18" t="s">
        <v>632</v>
      </c>
      <c r="I1" s="157" t="s">
        <v>633</v>
      </c>
    </row>
    <row r="2" customFormat="false" ht="13.2" hidden="false" customHeight="false" outlineLevel="0" collapsed="false">
      <c r="A2" s="1"/>
      <c r="B2" s="1"/>
      <c r="C2" s="1" t="s">
        <v>569</v>
      </c>
      <c r="D2" s="1" t="s">
        <v>570</v>
      </c>
    </row>
    <row r="3" customFormat="false" ht="13.2" hidden="false" customHeight="false" outlineLevel="0" collapsed="false">
      <c r="A3" s="1"/>
      <c r="B3" s="1"/>
    </row>
    <row r="4" customFormat="false" ht="13.2" hidden="false" customHeight="false" outlineLevel="0" collapsed="false">
      <c r="A4" s="60" t="s">
        <v>572</v>
      </c>
      <c r="B4" s="60" t="s">
        <v>573</v>
      </c>
      <c r="C4" s="60" t="s">
        <v>574</v>
      </c>
      <c r="D4" s="60" t="s">
        <v>575</v>
      </c>
      <c r="E4" s="60" t="s">
        <v>576</v>
      </c>
      <c r="F4" s="60" t="s">
        <v>577</v>
      </c>
      <c r="G4" s="63"/>
      <c r="H4" s="63"/>
    </row>
    <row r="5" customFormat="false" ht="12.8" hidden="false" customHeight="false" outlineLevel="0" collapsed="false">
      <c r="A5" s="60" t="s">
        <v>578</v>
      </c>
      <c r="B5" s="60" t="s">
        <v>579</v>
      </c>
      <c r="C5" s="60"/>
      <c r="D5" s="60"/>
      <c r="E5" s="60"/>
      <c r="F5" s="60"/>
      <c r="G5" s="63" t="n">
        <v>1</v>
      </c>
      <c r="H5" s="63"/>
    </row>
    <row r="6" customFormat="false" ht="12.8" hidden="false" customHeight="false" outlineLevel="0" collapsed="false">
      <c r="A6" s="60" t="n">
        <v>1</v>
      </c>
      <c r="B6" s="60" t="s">
        <v>634</v>
      </c>
      <c r="C6" s="60"/>
      <c r="D6" s="60"/>
      <c r="E6" s="60"/>
      <c r="F6" s="60"/>
      <c r="G6" s="63" t="n">
        <v>2</v>
      </c>
      <c r="H6" s="63"/>
      <c r="I6" s="158" t="s">
        <v>589</v>
      </c>
      <c r="J6" s="1" t="s">
        <v>635</v>
      </c>
    </row>
    <row r="7" customFormat="false" ht="12.8" hidden="false" customHeight="false" outlineLevel="0" collapsed="false">
      <c r="A7" s="60" t="n">
        <v>2</v>
      </c>
      <c r="B7" s="60" t="s">
        <v>636</v>
      </c>
      <c r="C7" s="60"/>
      <c r="D7" s="60"/>
      <c r="E7" s="60"/>
      <c r="F7" s="60"/>
      <c r="G7" s="63" t="n">
        <v>3</v>
      </c>
      <c r="H7" s="63"/>
      <c r="I7" s="157" t="s">
        <v>580</v>
      </c>
      <c r="J7" s="1" t="s">
        <v>635</v>
      </c>
    </row>
    <row r="8" customFormat="false" ht="13.2" hidden="false" customHeight="false" outlineLevel="0" collapsed="false">
      <c r="A8" s="60"/>
      <c r="B8" s="60" t="s">
        <v>582</v>
      </c>
      <c r="C8" s="60"/>
      <c r="D8" s="60"/>
      <c r="E8" s="60"/>
      <c r="F8" s="60"/>
      <c r="G8" s="63"/>
      <c r="H8" s="63"/>
    </row>
    <row r="9" customFormat="false" ht="13.2" hidden="false" customHeight="false" outlineLevel="0" collapsed="false">
      <c r="A9" s="60"/>
      <c r="B9" s="60" t="s">
        <v>582</v>
      </c>
      <c r="C9" s="60"/>
      <c r="D9" s="60"/>
      <c r="E9" s="60"/>
      <c r="F9" s="60"/>
      <c r="G9" s="63"/>
      <c r="H9" s="63"/>
    </row>
    <row r="10" customFormat="false" ht="13.2" hidden="false" customHeight="false" outlineLevel="0" collapsed="false">
      <c r="A10" s="60"/>
      <c r="B10" s="60" t="s">
        <v>582</v>
      </c>
      <c r="C10" s="60"/>
      <c r="D10" s="60"/>
      <c r="E10" s="60"/>
      <c r="F10" s="60"/>
      <c r="G10" s="63"/>
      <c r="H10" s="63"/>
    </row>
    <row r="11" customFormat="false" ht="13.2" hidden="false" customHeight="false" outlineLevel="0" collapsed="false">
      <c r="A11" s="60"/>
      <c r="B11" s="60" t="s">
        <v>584</v>
      </c>
      <c r="C11" s="60"/>
      <c r="D11" s="60"/>
      <c r="E11" s="60"/>
      <c r="F11" s="60"/>
      <c r="G11" s="63"/>
      <c r="H11" s="63"/>
    </row>
    <row r="12" customFormat="false" ht="13.2" hidden="false" customHeight="false" outlineLevel="0" collapsed="false">
      <c r="A12" s="60"/>
      <c r="B12" s="60" t="s">
        <v>637</v>
      </c>
      <c r="C12" s="60"/>
      <c r="D12" s="60"/>
      <c r="E12" s="60"/>
      <c r="F12" s="60"/>
      <c r="G12" s="63"/>
      <c r="H12" s="63"/>
    </row>
    <row r="13" customFormat="false" ht="12.8" hidden="false" customHeight="false" outlineLevel="0" collapsed="false">
      <c r="A13" s="60" t="s">
        <v>586</v>
      </c>
      <c r="B13" s="60" t="s">
        <v>587</v>
      </c>
      <c r="C13" s="60"/>
      <c r="D13" s="60"/>
      <c r="E13" s="60"/>
      <c r="F13" s="60"/>
      <c r="G13" s="63" t="n">
        <v>4</v>
      </c>
      <c r="H13" s="63"/>
    </row>
    <row r="14" customFormat="false" ht="12.8" hidden="false" customHeight="false" outlineLevel="0" collapsed="false">
      <c r="A14" s="60" t="n">
        <v>1</v>
      </c>
      <c r="B14" s="60" t="s">
        <v>638</v>
      </c>
      <c r="C14" s="60"/>
      <c r="D14" s="60"/>
      <c r="E14" s="60"/>
      <c r="F14" s="60"/>
      <c r="G14" s="63" t="n">
        <v>5</v>
      </c>
      <c r="H14" s="63"/>
      <c r="I14" s="159"/>
    </row>
    <row r="15" customFormat="false" ht="12.8" hidden="false" customHeight="false" outlineLevel="0" collapsed="false">
      <c r="A15" s="60" t="n">
        <v>2</v>
      </c>
      <c r="B15" s="60" t="s">
        <v>639</v>
      </c>
      <c r="C15" s="60"/>
      <c r="D15" s="60"/>
      <c r="E15" s="60"/>
      <c r="F15" s="60"/>
      <c r="G15" s="63" t="n">
        <v>6</v>
      </c>
      <c r="H15" s="63"/>
      <c r="I15" s="157" t="s">
        <v>640</v>
      </c>
      <c r="J15" s="1" t="s">
        <v>641</v>
      </c>
    </row>
    <row r="16" customFormat="false" ht="12.8" hidden="false" customHeight="false" outlineLevel="0" collapsed="false">
      <c r="A16" s="60" t="n">
        <v>3</v>
      </c>
      <c r="B16" s="60" t="s">
        <v>642</v>
      </c>
      <c r="C16" s="60"/>
      <c r="D16" s="60"/>
      <c r="E16" s="60"/>
      <c r="F16" s="60"/>
      <c r="G16" s="63" t="n">
        <v>7</v>
      </c>
      <c r="H16" s="63"/>
      <c r="I16" s="157" t="s">
        <v>643</v>
      </c>
      <c r="J16" s="1" t="s">
        <v>641</v>
      </c>
    </row>
    <row r="17" customFormat="false" ht="12.8" hidden="false" customHeight="false" outlineLevel="0" collapsed="false">
      <c r="A17" s="60" t="s">
        <v>595</v>
      </c>
      <c r="B17" s="60" t="s">
        <v>644</v>
      </c>
      <c r="C17" s="60"/>
      <c r="D17" s="60"/>
      <c r="E17" s="60"/>
      <c r="F17" s="60" t="s">
        <v>645</v>
      </c>
      <c r="G17" s="63" t="n">
        <v>8</v>
      </c>
      <c r="H17" s="63"/>
    </row>
    <row r="18" customFormat="false" ht="12.8" hidden="false" customHeight="false" outlineLevel="0" collapsed="false">
      <c r="A18" s="60" t="n">
        <v>1</v>
      </c>
      <c r="B18" s="60" t="s">
        <v>646</v>
      </c>
      <c r="C18" s="60" t="s">
        <v>599</v>
      </c>
      <c r="D18" s="60" t="s">
        <v>647</v>
      </c>
      <c r="E18" s="60"/>
      <c r="F18" s="60"/>
      <c r="G18" s="63" t="n">
        <v>9</v>
      </c>
      <c r="H18" s="63"/>
      <c r="I18" s="1" t="s">
        <v>648</v>
      </c>
    </row>
    <row r="19" customFormat="false" ht="12.8" hidden="false" customHeight="false" outlineLevel="0" collapsed="false">
      <c r="A19" s="60" t="n">
        <v>2</v>
      </c>
      <c r="B19" s="60" t="s">
        <v>649</v>
      </c>
      <c r="C19" s="60" t="s">
        <v>599</v>
      </c>
      <c r="D19" s="60" t="s">
        <v>647</v>
      </c>
      <c r="E19" s="60"/>
      <c r="F19" s="60"/>
      <c r="G19" s="63" t="n">
        <v>10</v>
      </c>
      <c r="H19" s="63"/>
      <c r="I19" s="1" t="s">
        <v>650</v>
      </c>
    </row>
    <row r="20" customFormat="false" ht="12.8" hidden="false" customHeight="false" outlineLevel="0" collapsed="false">
      <c r="A20" s="60" t="n">
        <v>3</v>
      </c>
      <c r="B20" s="60" t="s">
        <v>651</v>
      </c>
      <c r="C20" s="60" t="s">
        <v>599</v>
      </c>
      <c r="D20" s="60" t="s">
        <v>647</v>
      </c>
      <c r="E20" s="60"/>
      <c r="F20" s="60"/>
      <c r="G20" s="63" t="n">
        <v>11</v>
      </c>
      <c r="H20" s="63"/>
      <c r="I20" s="1" t="s">
        <v>652</v>
      </c>
    </row>
    <row r="21" customFormat="false" ht="12.8" hidden="false" customHeight="false" outlineLevel="0" collapsed="false">
      <c r="A21" s="60" t="n">
        <v>4</v>
      </c>
      <c r="B21" s="60" t="s">
        <v>653</v>
      </c>
      <c r="C21" s="60" t="s">
        <v>599</v>
      </c>
      <c r="D21" s="60" t="s">
        <v>647</v>
      </c>
      <c r="E21" s="60"/>
      <c r="F21" s="60"/>
      <c r="G21" s="63" t="n">
        <v>12</v>
      </c>
      <c r="H21" s="63"/>
      <c r="I21" s="1" t="s">
        <v>654</v>
      </c>
    </row>
    <row r="22" customFormat="false" ht="12.8" hidden="false" customHeight="false" outlineLevel="0" collapsed="false">
      <c r="A22" s="60" t="n">
        <v>5</v>
      </c>
      <c r="B22" s="60" t="s">
        <v>655</v>
      </c>
      <c r="C22" s="60" t="s">
        <v>599</v>
      </c>
      <c r="D22" s="60" t="s">
        <v>647</v>
      </c>
      <c r="E22" s="60"/>
      <c r="F22" s="60"/>
      <c r="G22" s="63" t="n">
        <v>13</v>
      </c>
      <c r="H22" s="160" t="s">
        <v>656</v>
      </c>
      <c r="I22" s="1" t="s">
        <v>657</v>
      </c>
    </row>
    <row r="23" customFormat="false" ht="12.8" hidden="false" customHeight="false" outlineLevel="0" collapsed="false">
      <c r="A23" s="60" t="n">
        <v>6</v>
      </c>
      <c r="B23" s="60" t="s">
        <v>658</v>
      </c>
      <c r="C23" s="60" t="s">
        <v>599</v>
      </c>
      <c r="D23" s="60" t="s">
        <v>647</v>
      </c>
      <c r="E23" s="60"/>
      <c r="F23" s="60"/>
      <c r="G23" s="63" t="n">
        <v>14</v>
      </c>
      <c r="H23" s="63" t="s">
        <v>659</v>
      </c>
      <c r="I23" s="1" t="s">
        <v>660</v>
      </c>
    </row>
    <row r="33" customFormat="false" ht="13.2" hidden="false" customHeight="false" outlineLevel="0" collapsed="false">
      <c r="B33" s="0" t="s">
        <v>661</v>
      </c>
      <c r="C33" s="0" t="s">
        <v>662</v>
      </c>
      <c r="D33" s="0" t="s">
        <v>663</v>
      </c>
    </row>
    <row r="34" customFormat="false" ht="13.2" hidden="false" customHeight="false" outlineLevel="0" collapsed="false">
      <c r="B34" s="0" t="s">
        <v>664</v>
      </c>
      <c r="C34" s="0" t="s">
        <v>662</v>
      </c>
      <c r="D34" s="0" t="s">
        <v>665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7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24" activeCellId="0" sqref="C24"/>
    </sheetView>
  </sheetViews>
  <sheetFormatPr defaultRowHeight="13.2"/>
  <cols>
    <col collapsed="false" hidden="false" max="1" min="1" style="1" width="4.45408163265306"/>
    <col collapsed="false" hidden="false" max="2" min="2" style="1" width="18.2244897959184"/>
    <col collapsed="false" hidden="false" max="3" min="3" style="1" width="12.8265306122449"/>
    <col collapsed="false" hidden="false" max="5" min="4" style="1" width="15.5255102040816"/>
    <col collapsed="false" hidden="false" max="6" min="6" style="1" width="19.5714285714286"/>
    <col collapsed="false" hidden="false" max="7" min="7" style="1" width="14.8469387755102"/>
    <col collapsed="false" hidden="false" max="8" min="8" style="1" width="15.1173469387755"/>
    <col collapsed="false" hidden="false" max="1025" min="9" style="1" width="8.23469387755102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140"/>
      <c r="H1" s="140"/>
      <c r="I1" s="140"/>
    </row>
    <row r="2" customFormat="false" ht="15.6" hidden="false" customHeight="false" outlineLevel="0" collapsed="false">
      <c r="A2" s="161" t="s">
        <v>666</v>
      </c>
      <c r="B2" s="161"/>
      <c r="C2" s="161"/>
      <c r="D2" s="161"/>
      <c r="E2" s="26"/>
      <c r="F2" s="26"/>
      <c r="G2" s="141"/>
      <c r="H2" s="141"/>
      <c r="I2" s="39"/>
    </row>
    <row r="3" customFormat="false" ht="15.6" hidden="false" customHeight="false" outlineLevel="0" collapsed="false">
      <c r="A3" s="162" t="s">
        <v>667</v>
      </c>
      <c r="B3" s="162"/>
      <c r="C3" s="163"/>
      <c r="D3" s="163"/>
      <c r="E3" s="0"/>
      <c r="F3" s="0"/>
      <c r="G3" s="0"/>
      <c r="H3" s="0"/>
      <c r="I3" s="0"/>
    </row>
    <row r="4" customFormat="false" ht="13.2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</row>
    <row r="5" customFormat="false" ht="25.5" hidden="false" customHeight="true" outlineLevel="0" collapsed="false">
      <c r="A5" s="164" t="s">
        <v>668</v>
      </c>
      <c r="B5" s="164"/>
      <c r="C5" s="164"/>
      <c r="D5" s="164"/>
      <c r="E5" s="164"/>
      <c r="F5" s="164"/>
      <c r="G5" s="164"/>
      <c r="H5" s="164"/>
      <c r="I5" s="165"/>
    </row>
    <row r="6" customFormat="false" ht="13.2" hidden="false" customHeight="false" outlineLevel="0" collapsed="false">
      <c r="A6" s="164"/>
      <c r="B6" s="164"/>
      <c r="C6" s="164"/>
      <c r="D6" s="164"/>
      <c r="E6" s="164"/>
      <c r="F6" s="164"/>
      <c r="G6" s="164"/>
      <c r="H6" s="164"/>
    </row>
    <row r="7" customFormat="false" ht="24" hidden="false" customHeight="true" outlineLevel="0" collapsed="false">
      <c r="A7" s="166" t="s">
        <v>669</v>
      </c>
      <c r="B7" s="166"/>
      <c r="C7" s="167"/>
      <c r="D7" s="0"/>
      <c r="E7" s="0"/>
      <c r="F7" s="0"/>
      <c r="G7" s="0"/>
      <c r="H7" s="0"/>
    </row>
    <row r="8" customFormat="false" ht="24.75" hidden="false" customHeight="true" outlineLevel="0" collapsed="false">
      <c r="A8" s="168" t="s">
        <v>670</v>
      </c>
      <c r="B8" s="168" t="s">
        <v>671</v>
      </c>
      <c r="C8" s="168" t="s">
        <v>672</v>
      </c>
      <c r="D8" s="168" t="s">
        <v>673</v>
      </c>
      <c r="E8" s="168"/>
      <c r="F8" s="168"/>
      <c r="G8" s="168" t="s">
        <v>674</v>
      </c>
      <c r="H8" s="168" t="s">
        <v>8</v>
      </c>
    </row>
    <row r="9" customFormat="false" ht="32.25" hidden="false" customHeight="true" outlineLevel="0" collapsed="false">
      <c r="A9" s="168"/>
      <c r="B9" s="168"/>
      <c r="C9" s="168"/>
      <c r="D9" s="168" t="s">
        <v>675</v>
      </c>
      <c r="E9" s="169" t="s">
        <v>676</v>
      </c>
      <c r="F9" s="168" t="s">
        <v>677</v>
      </c>
      <c r="G9" s="168"/>
      <c r="H9" s="168"/>
    </row>
    <row r="10" customFormat="false" ht="23.25" hidden="false" customHeight="true" outlineLevel="0" collapsed="false">
      <c r="A10" s="170" t="n">
        <v>1</v>
      </c>
      <c r="B10" s="170" t="s">
        <v>9</v>
      </c>
      <c r="C10" s="171"/>
      <c r="D10" s="172" t="n">
        <v>864</v>
      </c>
      <c r="E10" s="171"/>
      <c r="F10" s="171" t="n">
        <v>2592000</v>
      </c>
      <c r="G10" s="171" t="n">
        <v>864</v>
      </c>
      <c r="H10" s="171"/>
    </row>
    <row r="11" customFormat="false" ht="23.25" hidden="false" customHeight="true" outlineLevel="0" collapsed="false">
      <c r="A11" s="173" t="n">
        <v>2</v>
      </c>
      <c r="B11" s="173" t="s">
        <v>678</v>
      </c>
      <c r="C11" s="174"/>
      <c r="D11" s="175" t="n">
        <v>29311</v>
      </c>
      <c r="E11" s="174"/>
      <c r="F11" s="174" t="n">
        <v>176050000</v>
      </c>
      <c r="G11" s="174" t="n">
        <v>29311</v>
      </c>
      <c r="H11" s="174"/>
    </row>
    <row r="12" customFormat="false" ht="23.25" hidden="false" customHeight="true" outlineLevel="0" collapsed="false">
      <c r="A12" s="176" t="n">
        <v>3</v>
      </c>
      <c r="B12" s="177" t="s">
        <v>679</v>
      </c>
      <c r="C12" s="178"/>
      <c r="D12" s="179" t="n">
        <v>150</v>
      </c>
      <c r="E12" s="178"/>
      <c r="F12" s="178" t="n">
        <v>750000</v>
      </c>
      <c r="G12" s="178" t="n">
        <v>150</v>
      </c>
      <c r="H12" s="178"/>
    </row>
    <row r="13" customFormat="false" ht="23.25" hidden="false" customHeight="true" outlineLevel="0" collapsed="false">
      <c r="A13" s="180" t="s">
        <v>680</v>
      </c>
      <c r="B13" s="180"/>
      <c r="C13" s="181"/>
      <c r="D13" s="182" t="n">
        <f aca="false">D12+D11+D10</f>
        <v>30325</v>
      </c>
      <c r="E13" s="182" t="n">
        <f aca="false">E10+E11+E12</f>
        <v>0</v>
      </c>
      <c r="F13" s="182" t="n">
        <f aca="false">SUM(F10:F12)</f>
        <v>179392000</v>
      </c>
      <c r="G13" s="182" t="n">
        <f aca="false">SUM(G10:G12)</f>
        <v>30325</v>
      </c>
      <c r="H13" s="181"/>
    </row>
    <row r="14" customFormat="false" ht="30" hidden="false" customHeight="true" outlineLevel="0" collapsed="false">
      <c r="A14" s="166" t="s">
        <v>12</v>
      </c>
      <c r="B14" s="166"/>
      <c r="C14" s="183"/>
      <c r="D14" s="32"/>
      <c r="E14" s="32"/>
      <c r="F14" s="32"/>
      <c r="G14" s="0"/>
      <c r="H14" s="0"/>
    </row>
    <row r="15" customFormat="false" ht="22.5" hidden="false" customHeight="true" outlineLevel="0" collapsed="false">
      <c r="A15" s="168" t="s">
        <v>681</v>
      </c>
      <c r="B15" s="168" t="s">
        <v>682</v>
      </c>
      <c r="C15" s="168" t="s">
        <v>5</v>
      </c>
      <c r="D15" s="168" t="s">
        <v>683</v>
      </c>
      <c r="E15" s="168"/>
      <c r="F15" s="168" t="s">
        <v>8</v>
      </c>
      <c r="G15" s="0"/>
      <c r="H15" s="0"/>
    </row>
    <row r="16" customFormat="false" ht="22.5" hidden="false" customHeight="true" outlineLevel="0" collapsed="false">
      <c r="A16" s="168"/>
      <c r="B16" s="168"/>
      <c r="C16" s="168"/>
      <c r="D16" s="168" t="s">
        <v>684</v>
      </c>
      <c r="E16" s="168" t="s">
        <v>685</v>
      </c>
      <c r="F16" s="168"/>
      <c r="G16" s="0"/>
      <c r="H16" s="0"/>
    </row>
    <row r="17" customFormat="false" ht="21.75" hidden="false" customHeight="true" outlineLevel="0" collapsed="false">
      <c r="A17" s="170" t="n">
        <v>1</v>
      </c>
      <c r="B17" s="170" t="s">
        <v>383</v>
      </c>
      <c r="C17" s="171" t="e">
        <f aca="false">surumi!#REF!</f>
        <v>#VALUE!</v>
      </c>
      <c r="D17" s="171"/>
      <c r="E17" s="171"/>
      <c r="F17" s="171" t="e">
        <f aca="false">C17+D17</f>
        <v>#VALUE!</v>
      </c>
      <c r="G17" s="0"/>
      <c r="H17" s="0"/>
    </row>
    <row r="18" customFormat="false" ht="21.75" hidden="false" customHeight="true" outlineLevel="0" collapsed="false">
      <c r="A18" s="173" t="n">
        <v>2</v>
      </c>
      <c r="B18" s="173" t="s">
        <v>384</v>
      </c>
      <c r="C18" s="174" t="e">
        <f aca="false">surumi!#REF!</f>
        <v>#VALUE!</v>
      </c>
      <c r="D18" s="174"/>
      <c r="E18" s="174"/>
      <c r="F18" s="174" t="e">
        <f aca="false">C18+D18</f>
        <v>#VALUE!</v>
      </c>
      <c r="G18" s="0"/>
      <c r="H18" s="0"/>
    </row>
    <row r="19" customFormat="false" ht="21.75" hidden="false" customHeight="true" outlineLevel="0" collapsed="false">
      <c r="A19" s="173" t="n">
        <v>3</v>
      </c>
      <c r="B19" s="173" t="s">
        <v>686</v>
      </c>
      <c r="C19" s="174" t="e">
        <f aca="false">surumi!#REF!</f>
        <v>#VALUE!</v>
      </c>
      <c r="D19" s="174"/>
      <c r="E19" s="174"/>
      <c r="F19" s="174" t="e">
        <f aca="false">C19+D19</f>
        <v>#VALUE!</v>
      </c>
      <c r="G19" s="0"/>
      <c r="H19" s="0"/>
    </row>
    <row r="20" customFormat="false" ht="21.75" hidden="false" customHeight="true" outlineLevel="0" collapsed="false">
      <c r="A20" s="173" t="n">
        <v>4</v>
      </c>
      <c r="B20" s="173" t="s">
        <v>393</v>
      </c>
      <c r="C20" s="174" t="e">
        <f aca="false">surumi!#REF!</f>
        <v>#VALUE!</v>
      </c>
      <c r="D20" s="174"/>
      <c r="E20" s="174"/>
      <c r="F20" s="174" t="e">
        <f aca="false">C20+D20</f>
        <v>#VALUE!</v>
      </c>
      <c r="G20" s="0"/>
      <c r="H20" s="0"/>
    </row>
    <row r="21" customFormat="false" ht="21.75" hidden="false" customHeight="true" outlineLevel="0" collapsed="false">
      <c r="A21" s="173" t="n">
        <v>5</v>
      </c>
      <c r="B21" s="173" t="s">
        <v>687</v>
      </c>
      <c r="C21" s="174" t="e">
        <f aca="false">surumi!#REF!</f>
        <v>#VALUE!</v>
      </c>
      <c r="D21" s="174" t="n">
        <v>1000</v>
      </c>
      <c r="E21" s="174"/>
      <c r="F21" s="174" t="e">
        <f aca="false">C21+D21</f>
        <v>#VALUE!</v>
      </c>
      <c r="G21" s="0"/>
      <c r="H21" s="0"/>
    </row>
    <row r="22" customFormat="false" ht="21.75" hidden="false" customHeight="true" outlineLevel="0" collapsed="false">
      <c r="A22" s="173" t="n">
        <v>6</v>
      </c>
      <c r="B22" s="173" t="s">
        <v>399</v>
      </c>
      <c r="C22" s="174"/>
      <c r="D22" s="174" t="n">
        <v>3200</v>
      </c>
      <c r="E22" s="174"/>
      <c r="F22" s="174" t="n">
        <f aca="false">C22+D22</f>
        <v>3200</v>
      </c>
      <c r="G22" s="0"/>
      <c r="H22" s="0"/>
    </row>
    <row r="23" customFormat="false" ht="21.75" hidden="false" customHeight="true" outlineLevel="0" collapsed="false">
      <c r="A23" s="176" t="n">
        <v>7</v>
      </c>
      <c r="B23" s="176" t="s">
        <v>398</v>
      </c>
      <c r="C23" s="184"/>
      <c r="D23" s="184" t="n">
        <v>3000</v>
      </c>
      <c r="E23" s="184"/>
      <c r="F23" s="174" t="n">
        <f aca="false">C23+D23</f>
        <v>3000</v>
      </c>
      <c r="G23" s="0"/>
      <c r="H23" s="0"/>
    </row>
    <row r="24" customFormat="false" ht="21.75" hidden="false" customHeight="true" outlineLevel="0" collapsed="false">
      <c r="A24" s="180" t="s">
        <v>680</v>
      </c>
      <c r="B24" s="180"/>
      <c r="C24" s="182" t="e">
        <f aca="false">C21+C20+C19+C18+C17</f>
        <v>#VALUE!</v>
      </c>
      <c r="D24" s="182" t="n">
        <f aca="false">D23+D22+D21</f>
        <v>7200</v>
      </c>
      <c r="E24" s="181"/>
      <c r="F24" s="182" t="e">
        <f aca="false">SUM(F17:F23)</f>
        <v>#VALUE!</v>
      </c>
      <c r="G24" s="0"/>
      <c r="H24" s="0"/>
    </row>
    <row r="25" customFormat="false" ht="13.2" hidden="false" customHeight="false" outlineLevel="0" collapsed="false">
      <c r="F25" s="0"/>
      <c r="G25" s="0"/>
      <c r="H25" s="0"/>
    </row>
    <row r="26" customFormat="false" ht="13.2" hidden="false" customHeight="false" outlineLevel="0" collapsed="false">
      <c r="F26" s="0"/>
      <c r="G26" s="0"/>
      <c r="H26" s="0"/>
    </row>
    <row r="27" customFormat="false" ht="16.8" hidden="false" customHeight="false" outlineLevel="0" collapsed="false">
      <c r="F27" s="140" t="s">
        <v>396</v>
      </c>
      <c r="G27" s="140"/>
      <c r="H27" s="140"/>
    </row>
  </sheetData>
  <mergeCells count="18">
    <mergeCell ref="E1:F1"/>
    <mergeCell ref="G1:I1"/>
    <mergeCell ref="A2:D2"/>
    <mergeCell ref="A5:H6"/>
    <mergeCell ref="A8:A9"/>
    <mergeCell ref="B8:B9"/>
    <mergeCell ref="C8:C9"/>
    <mergeCell ref="D8:F8"/>
    <mergeCell ref="G8:G9"/>
    <mergeCell ref="H8:H9"/>
    <mergeCell ref="A13:B13"/>
    <mergeCell ref="A15:A16"/>
    <mergeCell ref="B15:B16"/>
    <mergeCell ref="C15:C16"/>
    <mergeCell ref="D15:E15"/>
    <mergeCell ref="F15:F16"/>
    <mergeCell ref="A24:B24"/>
    <mergeCell ref="F27:H2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2" colorId="64" zoomScale="100" zoomScaleNormal="100" zoomScalePageLayoutView="100" workbookViewId="0">
      <selection pane="topLeft" activeCell="E27" activeCellId="0" sqref="E27"/>
    </sheetView>
  </sheetViews>
  <sheetFormatPr defaultRowHeight="13.2"/>
  <cols>
    <col collapsed="false" hidden="false" max="1" min="1" style="1" width="4.45408163265306"/>
    <col collapsed="false" hidden="false" max="2" min="2" style="1" width="18.2244897959184"/>
    <col collapsed="false" hidden="false" max="3" min="3" style="1" width="12.8265306122449"/>
    <col collapsed="false" hidden="false" max="5" min="4" style="1" width="15.5255102040816"/>
    <col collapsed="false" hidden="false" max="6" min="6" style="1" width="19.5714285714286"/>
    <col collapsed="false" hidden="false" max="7" min="7" style="1" width="14.8469387755102"/>
    <col collapsed="false" hidden="false" max="8" min="8" style="1" width="15.1173469387755"/>
    <col collapsed="false" hidden="false" max="1025" min="9" style="1" width="8.23469387755102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140"/>
      <c r="H1" s="140"/>
      <c r="I1" s="140"/>
    </row>
    <row r="2" customFormat="false" ht="15.6" hidden="false" customHeight="false" outlineLevel="0" collapsed="false">
      <c r="A2" s="161" t="s">
        <v>666</v>
      </c>
      <c r="B2" s="161"/>
      <c r="C2" s="161"/>
      <c r="D2" s="161"/>
      <c r="E2" s="26"/>
      <c r="F2" s="26"/>
      <c r="G2" s="141"/>
      <c r="H2" s="141"/>
      <c r="I2" s="39"/>
    </row>
    <row r="3" customFormat="false" ht="15.6" hidden="false" customHeight="false" outlineLevel="0" collapsed="false">
      <c r="A3" s="162" t="s">
        <v>667</v>
      </c>
      <c r="B3" s="162"/>
      <c r="C3" s="163"/>
      <c r="D3" s="163"/>
      <c r="E3" s="0"/>
      <c r="F3" s="0"/>
      <c r="G3" s="0"/>
      <c r="H3" s="0"/>
      <c r="I3" s="0"/>
    </row>
    <row r="4" customFormat="false" ht="13.2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</row>
    <row r="5" customFormat="false" ht="25.5" hidden="false" customHeight="true" outlineLevel="0" collapsed="false">
      <c r="A5" s="164" t="s">
        <v>688</v>
      </c>
      <c r="B5" s="164"/>
      <c r="C5" s="164"/>
      <c r="D5" s="164"/>
      <c r="E5" s="164"/>
      <c r="F5" s="164"/>
      <c r="G5" s="164"/>
      <c r="H5" s="164"/>
      <c r="I5" s="165"/>
    </row>
    <row r="6" customFormat="false" ht="13.2" hidden="false" customHeight="false" outlineLevel="0" collapsed="false">
      <c r="A6" s="164"/>
      <c r="B6" s="164"/>
      <c r="C6" s="164"/>
      <c r="D6" s="164"/>
      <c r="E6" s="164"/>
      <c r="F6" s="164"/>
      <c r="G6" s="164"/>
      <c r="H6" s="164"/>
    </row>
    <row r="7" customFormat="false" ht="24" hidden="false" customHeight="true" outlineLevel="0" collapsed="false">
      <c r="A7" s="166" t="s">
        <v>669</v>
      </c>
      <c r="B7" s="166"/>
      <c r="C7" s="167"/>
      <c r="D7" s="0"/>
      <c r="E7" s="0"/>
      <c r="F7" s="0"/>
      <c r="G7" s="0"/>
      <c r="H7" s="0"/>
    </row>
    <row r="8" customFormat="false" ht="24.75" hidden="false" customHeight="true" outlineLevel="0" collapsed="false">
      <c r="A8" s="168" t="s">
        <v>670</v>
      </c>
      <c r="B8" s="168" t="s">
        <v>671</v>
      </c>
      <c r="C8" s="168" t="s">
        <v>672</v>
      </c>
      <c r="D8" s="168" t="s">
        <v>673</v>
      </c>
      <c r="E8" s="168"/>
      <c r="F8" s="168"/>
      <c r="G8" s="168" t="s">
        <v>674</v>
      </c>
      <c r="H8" s="168" t="s">
        <v>8</v>
      </c>
    </row>
    <row r="9" customFormat="false" ht="32.25" hidden="false" customHeight="true" outlineLevel="0" collapsed="false">
      <c r="A9" s="168"/>
      <c r="B9" s="168"/>
      <c r="C9" s="168"/>
      <c r="D9" s="168" t="s">
        <v>675</v>
      </c>
      <c r="E9" s="169" t="s">
        <v>676</v>
      </c>
      <c r="F9" s="168" t="s">
        <v>677</v>
      </c>
      <c r="G9" s="168"/>
      <c r="H9" s="168"/>
    </row>
    <row r="10" customFormat="false" ht="23.25" hidden="false" customHeight="true" outlineLevel="0" collapsed="false">
      <c r="A10" s="170" t="n">
        <v>1</v>
      </c>
      <c r="B10" s="170" t="s">
        <v>689</v>
      </c>
      <c r="C10" s="171"/>
      <c r="D10" s="172" t="n">
        <v>1470</v>
      </c>
      <c r="E10" s="171"/>
      <c r="F10" s="171" t="n">
        <v>4410000</v>
      </c>
      <c r="G10" s="171"/>
      <c r="H10" s="171" t="n">
        <f aca="false">D10-G10</f>
        <v>1470</v>
      </c>
    </row>
    <row r="11" customFormat="false" ht="23.25" hidden="false" customHeight="true" outlineLevel="0" collapsed="false">
      <c r="A11" s="173" t="n">
        <v>2</v>
      </c>
      <c r="B11" s="173" t="s">
        <v>678</v>
      </c>
      <c r="C11" s="174"/>
      <c r="D11" s="175" t="n">
        <v>12114</v>
      </c>
      <c r="E11" s="174"/>
      <c r="F11" s="174" t="n">
        <v>64069000</v>
      </c>
      <c r="G11" s="174" t="n">
        <v>8615</v>
      </c>
      <c r="H11" s="174" t="n">
        <f aca="false">D11-G11</f>
        <v>3499</v>
      </c>
    </row>
    <row r="12" customFormat="false" ht="23.25" hidden="false" customHeight="true" outlineLevel="0" collapsed="false">
      <c r="A12" s="176"/>
      <c r="B12" s="177"/>
      <c r="C12" s="178"/>
      <c r="D12" s="179"/>
      <c r="E12" s="178"/>
      <c r="F12" s="178"/>
      <c r="G12" s="178"/>
      <c r="H12" s="178"/>
    </row>
    <row r="13" customFormat="false" ht="23.25" hidden="false" customHeight="true" outlineLevel="0" collapsed="false">
      <c r="A13" s="180" t="s">
        <v>680</v>
      </c>
      <c r="B13" s="180"/>
      <c r="C13" s="181"/>
      <c r="D13" s="182" t="n">
        <f aca="false">D12+D11+D10</f>
        <v>13584</v>
      </c>
      <c r="E13" s="182" t="n">
        <f aca="false">E10+E11+E12</f>
        <v>0</v>
      </c>
      <c r="F13" s="182" t="n">
        <f aca="false">F11+F10</f>
        <v>68479000</v>
      </c>
      <c r="G13" s="182" t="n">
        <f aca="false">SUM(G10:G11)</f>
        <v>8615</v>
      </c>
      <c r="H13" s="182" t="n">
        <f aca="false">H11+H10</f>
        <v>4969</v>
      </c>
    </row>
    <row r="14" customFormat="false" ht="30" hidden="false" customHeight="true" outlineLevel="0" collapsed="false">
      <c r="A14" s="166" t="s">
        <v>12</v>
      </c>
      <c r="B14" s="166"/>
      <c r="C14" s="183"/>
      <c r="D14" s="32"/>
      <c r="E14" s="32"/>
      <c r="F14" s="32"/>
      <c r="G14" s="0"/>
      <c r="H14" s="0"/>
    </row>
    <row r="15" customFormat="false" ht="22.5" hidden="false" customHeight="true" outlineLevel="0" collapsed="false">
      <c r="A15" s="168" t="s">
        <v>681</v>
      </c>
      <c r="B15" s="168" t="s">
        <v>682</v>
      </c>
      <c r="C15" s="168" t="s">
        <v>5</v>
      </c>
      <c r="D15" s="168" t="s">
        <v>683</v>
      </c>
      <c r="E15" s="168"/>
      <c r="F15" s="168" t="s">
        <v>8</v>
      </c>
      <c r="G15" s="0"/>
      <c r="H15" s="0"/>
    </row>
    <row r="16" customFormat="false" ht="22.5" hidden="false" customHeight="true" outlineLevel="0" collapsed="false">
      <c r="A16" s="168"/>
      <c r="B16" s="168"/>
      <c r="C16" s="168"/>
      <c r="D16" s="168" t="s">
        <v>684</v>
      </c>
      <c r="E16" s="168" t="s">
        <v>685</v>
      </c>
      <c r="F16" s="168"/>
      <c r="G16" s="0"/>
      <c r="H16" s="0"/>
    </row>
    <row r="17" customFormat="false" ht="21.75" hidden="false" customHeight="true" outlineLevel="0" collapsed="false">
      <c r="A17" s="170" t="n">
        <v>1</v>
      </c>
      <c r="B17" s="170" t="s">
        <v>383</v>
      </c>
      <c r="C17" s="171" t="e">
        <f aca="false">'tháng 3. L2'!F17</f>
        <v>#VALUE!</v>
      </c>
      <c r="D17" s="171"/>
      <c r="E17" s="171"/>
      <c r="F17" s="171" t="e">
        <f aca="false">C17+D17</f>
        <v>#VALUE!</v>
      </c>
      <c r="G17" s="0"/>
      <c r="H17" s="0"/>
    </row>
    <row r="18" customFormat="false" ht="21.75" hidden="false" customHeight="true" outlineLevel="0" collapsed="false">
      <c r="A18" s="173" t="n">
        <v>2</v>
      </c>
      <c r="B18" s="173" t="s">
        <v>384</v>
      </c>
      <c r="C18" s="174" t="e">
        <f aca="false">'tháng 3. L2'!F18</f>
        <v>#VALUE!</v>
      </c>
      <c r="D18" s="174"/>
      <c r="E18" s="174"/>
      <c r="F18" s="174" t="e">
        <f aca="false">C18+D18</f>
        <v>#VALUE!</v>
      </c>
      <c r="G18" s="0"/>
      <c r="H18" s="0"/>
    </row>
    <row r="19" customFormat="false" ht="21.75" hidden="false" customHeight="true" outlineLevel="0" collapsed="false">
      <c r="A19" s="173" t="n">
        <v>3</v>
      </c>
      <c r="B19" s="173" t="s">
        <v>686</v>
      </c>
      <c r="C19" s="174" t="e">
        <f aca="false">'tháng 3. L2'!F19</f>
        <v>#VALUE!</v>
      </c>
      <c r="D19" s="174"/>
      <c r="E19" s="174"/>
      <c r="F19" s="174" t="e">
        <f aca="false">C19+D19</f>
        <v>#VALUE!</v>
      </c>
      <c r="G19" s="0"/>
      <c r="H19" s="0"/>
    </row>
    <row r="20" customFormat="false" ht="21.75" hidden="false" customHeight="true" outlineLevel="0" collapsed="false">
      <c r="A20" s="173" t="n">
        <v>4</v>
      </c>
      <c r="B20" s="173" t="s">
        <v>393</v>
      </c>
      <c r="C20" s="174" t="e">
        <f aca="false">'tháng 3. L2'!F20</f>
        <v>#VALUE!</v>
      </c>
      <c r="D20" s="185"/>
      <c r="E20" s="185"/>
      <c r="F20" s="174" t="e">
        <f aca="false">C20+D20</f>
        <v>#VALUE!</v>
      </c>
      <c r="G20" s="0"/>
      <c r="H20" s="0"/>
    </row>
    <row r="21" customFormat="false" ht="21.75" hidden="false" customHeight="true" outlineLevel="0" collapsed="false">
      <c r="A21" s="173" t="n">
        <v>5</v>
      </c>
      <c r="B21" s="173" t="s">
        <v>687</v>
      </c>
      <c r="C21" s="174" t="e">
        <f aca="false">'tháng 3. L2'!F21</f>
        <v>#VALUE!</v>
      </c>
      <c r="D21" s="185"/>
      <c r="E21" s="185"/>
      <c r="F21" s="174" t="e">
        <f aca="false">C21+D21</f>
        <v>#VALUE!</v>
      </c>
      <c r="G21" s="0"/>
      <c r="H21" s="0"/>
    </row>
    <row r="22" customFormat="false" ht="21.75" hidden="false" customHeight="true" outlineLevel="0" collapsed="false">
      <c r="A22" s="173" t="n">
        <v>6</v>
      </c>
      <c r="B22" s="173" t="s">
        <v>399</v>
      </c>
      <c r="C22" s="174" t="n">
        <f aca="false">'tháng 3. L2'!F22</f>
        <v>3200</v>
      </c>
      <c r="D22" s="185" t="n">
        <v>800</v>
      </c>
      <c r="E22" s="185"/>
      <c r="F22" s="174" t="n">
        <f aca="false">C22+D22</f>
        <v>4000</v>
      </c>
      <c r="G22" s="0"/>
      <c r="H22" s="0"/>
    </row>
    <row r="23" customFormat="false" ht="21.75" hidden="false" customHeight="true" outlineLevel="0" collapsed="false">
      <c r="A23" s="173" t="n">
        <v>7</v>
      </c>
      <c r="B23" s="173" t="s">
        <v>398</v>
      </c>
      <c r="C23" s="174" t="n">
        <f aca="false">'tháng 3. L2'!F23</f>
        <v>3000</v>
      </c>
      <c r="D23" s="185"/>
      <c r="E23" s="185"/>
      <c r="F23" s="174" t="n">
        <f aca="false">C23+D23</f>
        <v>3000</v>
      </c>
      <c r="G23" s="0"/>
      <c r="H23" s="0"/>
    </row>
    <row r="24" customFormat="false" ht="21.75" hidden="false" customHeight="true" outlineLevel="0" collapsed="false">
      <c r="A24" s="186" t="n">
        <v>8</v>
      </c>
      <c r="B24" s="186" t="s">
        <v>401</v>
      </c>
      <c r="C24" s="184" t="n">
        <v>0</v>
      </c>
      <c r="D24" s="184" t="n">
        <v>1560</v>
      </c>
      <c r="E24" s="184"/>
      <c r="F24" s="174" t="n">
        <f aca="false">C24+D24</f>
        <v>1560</v>
      </c>
      <c r="G24" s="0"/>
      <c r="H24" s="0"/>
    </row>
    <row r="25" customFormat="false" ht="21.75" hidden="false" customHeight="true" outlineLevel="0" collapsed="false">
      <c r="A25" s="180" t="s">
        <v>680</v>
      </c>
      <c r="B25" s="180"/>
      <c r="C25" s="182" t="e">
        <f aca="false">C23+C22+C21+C20+C19+C18+C17</f>
        <v>#VALUE!</v>
      </c>
      <c r="D25" s="182" t="n">
        <f aca="false">D24+D22</f>
        <v>2360</v>
      </c>
      <c r="E25" s="181"/>
      <c r="F25" s="182" t="e">
        <f aca="false">SUM(F17:F24)</f>
        <v>#VALUE!</v>
      </c>
      <c r="G25" s="0"/>
      <c r="H25" s="0"/>
    </row>
    <row r="26" customFormat="false" ht="13.2" hidden="false" customHeight="false" outlineLevel="0" collapsed="false">
      <c r="F26" s="0"/>
      <c r="G26" s="0"/>
      <c r="H26" s="0"/>
    </row>
    <row r="27" customFormat="false" ht="13.2" hidden="false" customHeight="false" outlineLevel="0" collapsed="false">
      <c r="F27" s="0"/>
      <c r="G27" s="0"/>
      <c r="H27" s="0"/>
    </row>
    <row r="28" customFormat="false" ht="16.8" hidden="false" customHeight="false" outlineLevel="0" collapsed="false">
      <c r="F28" s="140" t="s">
        <v>396</v>
      </c>
      <c r="G28" s="140"/>
      <c r="H28" s="140"/>
    </row>
  </sheetData>
  <mergeCells count="18">
    <mergeCell ref="E1:F1"/>
    <mergeCell ref="G1:I1"/>
    <mergeCell ref="A2:D2"/>
    <mergeCell ref="A5:H6"/>
    <mergeCell ref="A8:A9"/>
    <mergeCell ref="B8:B9"/>
    <mergeCell ref="C8:C9"/>
    <mergeCell ref="D8:F8"/>
    <mergeCell ref="G8:G9"/>
    <mergeCell ref="H8:H9"/>
    <mergeCell ref="A13:B13"/>
    <mergeCell ref="A15:A16"/>
    <mergeCell ref="B15:B16"/>
    <mergeCell ref="C15:C16"/>
    <mergeCell ref="D15:E15"/>
    <mergeCell ref="F15:F16"/>
    <mergeCell ref="A25:B25"/>
    <mergeCell ref="F28:H2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0"/>
  <sheetViews>
    <sheetView windowProtection="false" showFormulas="false" showGridLines="true" showRowColHeaders="true" showZeros="true" rightToLeft="false" tabSelected="false" showOutlineSymbols="true" defaultGridColor="true" view="normal" topLeftCell="C7" colorId="64" zoomScale="100" zoomScaleNormal="100" zoomScalePageLayoutView="100" workbookViewId="0">
      <selection pane="topLeft" activeCell="H12" activeCellId="0" sqref="H12"/>
    </sheetView>
  </sheetViews>
  <sheetFormatPr defaultRowHeight="13.2"/>
  <cols>
    <col collapsed="false" hidden="false" max="1" min="1" style="1" width="4.45408163265306"/>
    <col collapsed="false" hidden="false" max="2" min="2" style="1" width="18.2244897959184"/>
    <col collapsed="false" hidden="false" max="3" min="3" style="1" width="12.8265306122449"/>
    <col collapsed="false" hidden="false" max="5" min="4" style="1" width="15.5255102040816"/>
    <col collapsed="false" hidden="false" max="6" min="6" style="1" width="19.5714285714286"/>
    <col collapsed="false" hidden="false" max="7" min="7" style="1" width="14.8469387755102"/>
    <col collapsed="false" hidden="false" max="8" min="8" style="1" width="15.1173469387755"/>
    <col collapsed="false" hidden="false" max="1025" min="9" style="1" width="8.23469387755102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140"/>
      <c r="H1" s="140"/>
      <c r="I1" s="140"/>
    </row>
    <row r="2" customFormat="false" ht="15.6" hidden="false" customHeight="false" outlineLevel="0" collapsed="false">
      <c r="A2" s="161" t="s">
        <v>666</v>
      </c>
      <c r="B2" s="161"/>
      <c r="C2" s="161"/>
      <c r="D2" s="161"/>
      <c r="E2" s="26"/>
      <c r="F2" s="26"/>
      <c r="G2" s="141"/>
      <c r="H2" s="141"/>
      <c r="I2" s="39"/>
    </row>
    <row r="3" customFormat="false" ht="15.6" hidden="false" customHeight="false" outlineLevel="0" collapsed="false">
      <c r="A3" s="162" t="s">
        <v>667</v>
      </c>
      <c r="B3" s="162"/>
      <c r="C3" s="163"/>
      <c r="D3" s="163"/>
      <c r="E3" s="0"/>
      <c r="F3" s="0"/>
      <c r="G3" s="0"/>
      <c r="H3" s="0"/>
      <c r="I3" s="0"/>
    </row>
    <row r="4" customFormat="false" ht="13.2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</row>
    <row r="5" customFormat="false" ht="25.5" hidden="false" customHeight="true" outlineLevel="0" collapsed="false">
      <c r="A5" s="164" t="s">
        <v>690</v>
      </c>
      <c r="B5" s="164"/>
      <c r="C5" s="164"/>
      <c r="D5" s="164"/>
      <c r="E5" s="164"/>
      <c r="F5" s="164"/>
      <c r="G5" s="164"/>
      <c r="H5" s="164"/>
      <c r="I5" s="165"/>
    </row>
    <row r="6" customFormat="false" ht="13.2" hidden="false" customHeight="false" outlineLevel="0" collapsed="false">
      <c r="A6" s="164"/>
      <c r="B6" s="164"/>
      <c r="C6" s="164"/>
      <c r="D6" s="164"/>
      <c r="E6" s="164"/>
      <c r="F6" s="164"/>
      <c r="G6" s="164"/>
      <c r="H6" s="164"/>
    </row>
    <row r="7" customFormat="false" ht="24" hidden="false" customHeight="true" outlineLevel="0" collapsed="false">
      <c r="A7" s="166" t="s">
        <v>669</v>
      </c>
      <c r="B7" s="166"/>
      <c r="C7" s="167"/>
      <c r="D7" s="0"/>
      <c r="E7" s="0"/>
      <c r="F7" s="0"/>
      <c r="G7" s="0"/>
      <c r="H7" s="0"/>
    </row>
    <row r="8" customFormat="false" ht="24.75" hidden="false" customHeight="true" outlineLevel="0" collapsed="false">
      <c r="A8" s="168" t="s">
        <v>670</v>
      </c>
      <c r="B8" s="168" t="s">
        <v>671</v>
      </c>
      <c r="C8" s="168" t="s">
        <v>672</v>
      </c>
      <c r="D8" s="168" t="s">
        <v>673</v>
      </c>
      <c r="E8" s="168"/>
      <c r="F8" s="168"/>
      <c r="G8" s="168" t="s">
        <v>674</v>
      </c>
      <c r="H8" s="168" t="s">
        <v>8</v>
      </c>
    </row>
    <row r="9" customFormat="false" ht="32.25" hidden="false" customHeight="true" outlineLevel="0" collapsed="false">
      <c r="A9" s="168"/>
      <c r="B9" s="168"/>
      <c r="C9" s="168"/>
      <c r="D9" s="168" t="s">
        <v>675</v>
      </c>
      <c r="E9" s="169" t="s">
        <v>676</v>
      </c>
      <c r="F9" s="168" t="s">
        <v>677</v>
      </c>
      <c r="G9" s="168"/>
      <c r="H9" s="168"/>
    </row>
    <row r="10" customFormat="false" ht="23.25" hidden="false" customHeight="true" outlineLevel="0" collapsed="false">
      <c r="A10" s="170" t="n">
        <v>1</v>
      </c>
      <c r="B10" s="170" t="s">
        <v>689</v>
      </c>
      <c r="C10" s="171" t="n">
        <f aca="false">'thang3.L3'!H10</f>
        <v>1470</v>
      </c>
      <c r="D10" s="172" t="n">
        <v>697</v>
      </c>
      <c r="E10" s="171"/>
      <c r="F10" s="171" t="n">
        <v>2091000</v>
      </c>
      <c r="G10" s="171" t="n">
        <v>0</v>
      </c>
      <c r="H10" s="171" t="n">
        <f aca="false">D10</f>
        <v>697</v>
      </c>
    </row>
    <row r="11" customFormat="false" ht="23.25" hidden="false" customHeight="true" outlineLevel="0" collapsed="false">
      <c r="A11" s="173" t="n">
        <v>2</v>
      </c>
      <c r="B11" s="173" t="s">
        <v>678</v>
      </c>
      <c r="C11" s="174" t="n">
        <f aca="false">'thang3.L3'!H11</f>
        <v>3499</v>
      </c>
      <c r="D11" s="175" t="n">
        <v>12200</v>
      </c>
      <c r="E11" s="174"/>
      <c r="F11" s="174" t="n">
        <v>63419000</v>
      </c>
      <c r="G11" s="174" t="n">
        <v>13502</v>
      </c>
      <c r="H11" s="174" t="n">
        <f aca="false">C11+D11-G11</f>
        <v>2197</v>
      </c>
    </row>
    <row r="12" customFormat="false" ht="23.25" hidden="false" customHeight="true" outlineLevel="0" collapsed="false">
      <c r="A12" s="176"/>
      <c r="B12" s="177"/>
      <c r="C12" s="178"/>
      <c r="D12" s="179"/>
      <c r="E12" s="178"/>
      <c r="F12" s="178"/>
      <c r="G12" s="178"/>
      <c r="H12" s="178"/>
    </row>
    <row r="13" customFormat="false" ht="23.25" hidden="false" customHeight="true" outlineLevel="0" collapsed="false">
      <c r="A13" s="180" t="s">
        <v>680</v>
      </c>
      <c r="B13" s="180"/>
      <c r="C13" s="182" t="n">
        <f aca="false">C11+C10</f>
        <v>4969</v>
      </c>
      <c r="D13" s="182" t="n">
        <f aca="false">D11+D10</f>
        <v>12897</v>
      </c>
      <c r="E13" s="182" t="n">
        <f aca="false">E10+E11+E12</f>
        <v>0</v>
      </c>
      <c r="F13" s="182" t="n">
        <f aca="false">SUM(F10:F12)</f>
        <v>65510000</v>
      </c>
      <c r="G13" s="182" t="n">
        <f aca="false">SUM(G10:G11)</f>
        <v>13502</v>
      </c>
      <c r="H13" s="182" t="n">
        <f aca="false">H11+H10</f>
        <v>2894</v>
      </c>
    </row>
    <row r="14" customFormat="false" ht="30" hidden="false" customHeight="true" outlineLevel="0" collapsed="false">
      <c r="A14" s="166" t="s">
        <v>12</v>
      </c>
      <c r="B14" s="166"/>
      <c r="C14" s="183"/>
      <c r="D14" s="32"/>
      <c r="E14" s="32"/>
      <c r="F14" s="32"/>
      <c r="G14" s="0"/>
      <c r="H14" s="0"/>
    </row>
    <row r="15" customFormat="false" ht="22.5" hidden="false" customHeight="true" outlineLevel="0" collapsed="false">
      <c r="A15" s="168" t="s">
        <v>681</v>
      </c>
      <c r="B15" s="168" t="s">
        <v>682</v>
      </c>
      <c r="C15" s="168" t="s">
        <v>5</v>
      </c>
      <c r="D15" s="168" t="s">
        <v>683</v>
      </c>
      <c r="E15" s="168"/>
      <c r="F15" s="168" t="s">
        <v>8</v>
      </c>
      <c r="G15" s="0"/>
      <c r="H15" s="0"/>
    </row>
    <row r="16" customFormat="false" ht="22.5" hidden="false" customHeight="true" outlineLevel="0" collapsed="false">
      <c r="A16" s="168"/>
      <c r="B16" s="168"/>
      <c r="C16" s="168"/>
      <c r="D16" s="168" t="s">
        <v>684</v>
      </c>
      <c r="E16" s="168" t="s">
        <v>685</v>
      </c>
      <c r="F16" s="168"/>
      <c r="G16" s="0"/>
      <c r="H16" s="0"/>
    </row>
    <row r="17" customFormat="false" ht="21.75" hidden="false" customHeight="true" outlineLevel="0" collapsed="false">
      <c r="A17" s="170" t="n">
        <v>1</v>
      </c>
      <c r="B17" s="170" t="s">
        <v>383</v>
      </c>
      <c r="C17" s="171" t="e">
        <f aca="false">'thang3.L3'!F17</f>
        <v>#VALUE!</v>
      </c>
      <c r="D17" s="171"/>
      <c r="E17" s="171"/>
      <c r="F17" s="171" t="e">
        <f aca="false">C17+D17</f>
        <v>#VALUE!</v>
      </c>
      <c r="G17" s="0"/>
      <c r="H17" s="0"/>
    </row>
    <row r="18" customFormat="false" ht="21.75" hidden="false" customHeight="true" outlineLevel="0" collapsed="false">
      <c r="A18" s="173" t="n">
        <v>2</v>
      </c>
      <c r="B18" s="173" t="s">
        <v>384</v>
      </c>
      <c r="C18" s="174" t="e">
        <f aca="false">'thang3.L3'!F18</f>
        <v>#VALUE!</v>
      </c>
      <c r="D18" s="174"/>
      <c r="E18" s="174"/>
      <c r="F18" s="174" t="e">
        <f aca="false">D18+C18</f>
        <v>#VALUE!</v>
      </c>
      <c r="G18" s="0"/>
      <c r="H18" s="0"/>
    </row>
    <row r="19" customFormat="false" ht="21.75" hidden="false" customHeight="true" outlineLevel="0" collapsed="false">
      <c r="A19" s="173" t="n">
        <v>3</v>
      </c>
      <c r="B19" s="173" t="s">
        <v>686</v>
      </c>
      <c r="C19" s="174" t="e">
        <f aca="false">'thang3.L3'!F19</f>
        <v>#VALUE!</v>
      </c>
      <c r="D19" s="174"/>
      <c r="E19" s="174"/>
      <c r="F19" s="174" t="e">
        <f aca="false">C19+D19</f>
        <v>#VALUE!</v>
      </c>
      <c r="G19" s="0"/>
      <c r="H19" s="0"/>
    </row>
    <row r="20" customFormat="false" ht="21.75" hidden="false" customHeight="true" outlineLevel="0" collapsed="false">
      <c r="A20" s="173" t="n">
        <v>4</v>
      </c>
      <c r="B20" s="173" t="s">
        <v>393</v>
      </c>
      <c r="C20" s="174" t="e">
        <f aca="false">'thang3.L3'!F20</f>
        <v>#VALUE!</v>
      </c>
      <c r="D20" s="185"/>
      <c r="E20" s="185"/>
      <c r="F20" s="174" t="e">
        <f aca="false">C20+D20</f>
        <v>#VALUE!</v>
      </c>
      <c r="G20" s="0"/>
      <c r="H20" s="0"/>
    </row>
    <row r="21" customFormat="false" ht="21.75" hidden="false" customHeight="true" outlineLevel="0" collapsed="false">
      <c r="A21" s="173" t="n">
        <v>5</v>
      </c>
      <c r="B21" s="173" t="s">
        <v>687</v>
      </c>
      <c r="C21" s="174" t="e">
        <f aca="false">'thang3.L3'!F21</f>
        <v>#VALUE!</v>
      </c>
      <c r="D21" s="185"/>
      <c r="E21" s="185"/>
      <c r="F21" s="174" t="e">
        <f aca="false">C21+D21</f>
        <v>#VALUE!</v>
      </c>
      <c r="G21" s="0"/>
      <c r="H21" s="0"/>
    </row>
    <row r="22" customFormat="false" ht="21.75" hidden="false" customHeight="true" outlineLevel="0" collapsed="false">
      <c r="A22" s="173" t="n">
        <v>6</v>
      </c>
      <c r="B22" s="173" t="s">
        <v>399</v>
      </c>
      <c r="C22" s="174" t="n">
        <f aca="false">'thang3.L3'!F22</f>
        <v>4000</v>
      </c>
      <c r="D22" s="185"/>
      <c r="E22" s="185"/>
      <c r="F22" s="174" t="n">
        <f aca="false">C22+D22</f>
        <v>4000</v>
      </c>
      <c r="G22" s="0"/>
      <c r="H22" s="0"/>
    </row>
    <row r="23" customFormat="false" ht="21.75" hidden="false" customHeight="true" outlineLevel="0" collapsed="false">
      <c r="A23" s="173" t="n">
        <v>7</v>
      </c>
      <c r="B23" s="173" t="s">
        <v>398</v>
      </c>
      <c r="C23" s="174" t="n">
        <f aca="false">'thang3.L3'!F23</f>
        <v>3000</v>
      </c>
      <c r="D23" s="185"/>
      <c r="E23" s="185"/>
      <c r="F23" s="174" t="n">
        <f aca="false">C23+D23</f>
        <v>3000</v>
      </c>
      <c r="G23" s="0"/>
      <c r="H23" s="0"/>
    </row>
    <row r="24" customFormat="false" ht="21.75" hidden="false" customHeight="true" outlineLevel="0" collapsed="false">
      <c r="A24" s="173" t="n">
        <v>8</v>
      </c>
      <c r="B24" s="173" t="s">
        <v>401</v>
      </c>
      <c r="C24" s="174" t="n">
        <f aca="false">'thang3.L3'!F24</f>
        <v>1560</v>
      </c>
      <c r="D24" s="185" t="n">
        <v>1040</v>
      </c>
      <c r="E24" s="185"/>
      <c r="F24" s="174" t="n">
        <f aca="false">C24+D24</f>
        <v>2600</v>
      </c>
      <c r="G24" s="0"/>
      <c r="H24" s="0"/>
    </row>
    <row r="25" customFormat="false" ht="21.75" hidden="false" customHeight="true" outlineLevel="0" collapsed="false">
      <c r="A25" s="173" t="n">
        <v>9</v>
      </c>
      <c r="B25" s="173" t="s">
        <v>403</v>
      </c>
      <c r="C25" s="185"/>
      <c r="D25" s="185" t="n">
        <v>2030</v>
      </c>
      <c r="E25" s="185"/>
      <c r="F25" s="174" t="n">
        <f aca="false">C25+D25</f>
        <v>2030</v>
      </c>
      <c r="G25" s="0"/>
      <c r="H25" s="0"/>
    </row>
    <row r="26" customFormat="false" ht="21.75" hidden="false" customHeight="true" outlineLevel="0" collapsed="false">
      <c r="A26" s="176"/>
      <c r="B26" s="176"/>
      <c r="C26" s="184"/>
      <c r="D26" s="184"/>
      <c r="E26" s="184"/>
      <c r="F26" s="184" t="n">
        <f aca="false">D26+C26</f>
        <v>0</v>
      </c>
      <c r="G26" s="0"/>
      <c r="H26" s="0"/>
    </row>
    <row r="27" customFormat="false" ht="21.75" hidden="false" customHeight="true" outlineLevel="0" collapsed="false">
      <c r="A27" s="180" t="s">
        <v>680</v>
      </c>
      <c r="B27" s="180"/>
      <c r="C27" s="182" t="e">
        <f aca="false">C24+C23+C22+C21+C20+C19+C18+C17</f>
        <v>#VALUE!</v>
      </c>
      <c r="D27" s="182" t="n">
        <f aca="false">D25+D24</f>
        <v>3070</v>
      </c>
      <c r="E27" s="181"/>
      <c r="F27" s="182" t="e">
        <f aca="false">F25+F24+F23+F22+F21+F20+F19+F18+F17</f>
        <v>#VALUE!</v>
      </c>
      <c r="G27" s="0"/>
      <c r="H27" s="0"/>
    </row>
    <row r="28" customFormat="false" ht="13.2" hidden="false" customHeight="false" outlineLevel="0" collapsed="false">
      <c r="F28" s="0"/>
      <c r="G28" s="0"/>
      <c r="H28" s="0"/>
    </row>
    <row r="29" customFormat="false" ht="13.2" hidden="false" customHeight="false" outlineLevel="0" collapsed="false">
      <c r="F29" s="0"/>
      <c r="G29" s="0"/>
      <c r="H29" s="0"/>
    </row>
    <row r="30" customFormat="false" ht="16.8" hidden="false" customHeight="false" outlineLevel="0" collapsed="false">
      <c r="F30" s="140" t="s">
        <v>396</v>
      </c>
      <c r="G30" s="140"/>
      <c r="H30" s="140"/>
    </row>
  </sheetData>
  <mergeCells count="18">
    <mergeCell ref="E1:F1"/>
    <mergeCell ref="G1:I1"/>
    <mergeCell ref="A2:D2"/>
    <mergeCell ref="A5:H6"/>
    <mergeCell ref="A8:A9"/>
    <mergeCell ref="B8:B9"/>
    <mergeCell ref="C8:C9"/>
    <mergeCell ref="D8:F8"/>
    <mergeCell ref="G8:G9"/>
    <mergeCell ref="H8:H9"/>
    <mergeCell ref="A13:B13"/>
    <mergeCell ref="A15:A16"/>
    <mergeCell ref="B15:B16"/>
    <mergeCell ref="C15:C16"/>
    <mergeCell ref="D15:E15"/>
    <mergeCell ref="F15:F16"/>
    <mergeCell ref="A27:B27"/>
    <mergeCell ref="F30:H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0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H27" activeCellId="0" sqref="H27"/>
    </sheetView>
  </sheetViews>
  <sheetFormatPr defaultRowHeight="13.2"/>
  <cols>
    <col collapsed="false" hidden="false" max="1" min="1" style="1" width="4.45408163265306"/>
    <col collapsed="false" hidden="false" max="2" min="2" style="1" width="18.2244897959184"/>
    <col collapsed="false" hidden="false" max="3" min="3" style="1" width="12.8265306122449"/>
    <col collapsed="false" hidden="false" max="5" min="4" style="1" width="15.5255102040816"/>
    <col collapsed="false" hidden="false" max="6" min="6" style="1" width="19.5714285714286"/>
    <col collapsed="false" hidden="false" max="7" min="7" style="1" width="14.8469387755102"/>
    <col collapsed="false" hidden="false" max="8" min="8" style="1" width="15.1173469387755"/>
    <col collapsed="false" hidden="false" max="1025" min="9" style="1" width="8.23469387755102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140"/>
      <c r="H1" s="140"/>
      <c r="I1" s="140"/>
    </row>
    <row r="2" customFormat="false" ht="15.6" hidden="false" customHeight="false" outlineLevel="0" collapsed="false">
      <c r="A2" s="161" t="s">
        <v>666</v>
      </c>
      <c r="B2" s="161"/>
      <c r="C2" s="161"/>
      <c r="D2" s="161"/>
      <c r="E2" s="26"/>
      <c r="F2" s="26"/>
      <c r="G2" s="141"/>
      <c r="H2" s="141"/>
      <c r="I2" s="39"/>
    </row>
    <row r="3" customFormat="false" ht="15.6" hidden="false" customHeight="false" outlineLevel="0" collapsed="false">
      <c r="A3" s="162" t="s">
        <v>667</v>
      </c>
      <c r="B3" s="162"/>
      <c r="C3" s="163"/>
      <c r="D3" s="163"/>
      <c r="E3" s="0"/>
      <c r="F3" s="0"/>
      <c r="G3" s="0"/>
      <c r="H3" s="0"/>
      <c r="I3" s="0"/>
    </row>
    <row r="4" customFormat="false" ht="13.2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</row>
    <row r="5" customFormat="false" ht="25.5" hidden="false" customHeight="true" outlineLevel="0" collapsed="false">
      <c r="A5" s="164" t="s">
        <v>691</v>
      </c>
      <c r="B5" s="164"/>
      <c r="C5" s="164"/>
      <c r="D5" s="164"/>
      <c r="E5" s="164"/>
      <c r="F5" s="164"/>
      <c r="G5" s="164"/>
      <c r="H5" s="164"/>
      <c r="I5" s="165"/>
    </row>
    <row r="6" customFormat="false" ht="13.2" hidden="false" customHeight="false" outlineLevel="0" collapsed="false">
      <c r="A6" s="164"/>
      <c r="B6" s="164"/>
      <c r="C6" s="164"/>
      <c r="D6" s="164"/>
      <c r="E6" s="164"/>
      <c r="F6" s="164"/>
      <c r="G6" s="164"/>
      <c r="H6" s="164"/>
    </row>
    <row r="7" customFormat="false" ht="24" hidden="false" customHeight="true" outlineLevel="0" collapsed="false">
      <c r="A7" s="166" t="s">
        <v>669</v>
      </c>
      <c r="B7" s="166"/>
      <c r="C7" s="167"/>
      <c r="D7" s="0"/>
      <c r="E7" s="0"/>
      <c r="F7" s="0"/>
      <c r="G7" s="0"/>
      <c r="H7" s="0"/>
    </row>
    <row r="8" customFormat="false" ht="24.75" hidden="false" customHeight="true" outlineLevel="0" collapsed="false">
      <c r="A8" s="168" t="s">
        <v>670</v>
      </c>
      <c r="B8" s="168" t="s">
        <v>671</v>
      </c>
      <c r="C8" s="168" t="s">
        <v>672</v>
      </c>
      <c r="D8" s="168" t="s">
        <v>673</v>
      </c>
      <c r="E8" s="168"/>
      <c r="F8" s="168"/>
      <c r="G8" s="168" t="s">
        <v>674</v>
      </c>
      <c r="H8" s="168" t="s">
        <v>8</v>
      </c>
    </row>
    <row r="9" customFormat="false" ht="32.25" hidden="false" customHeight="true" outlineLevel="0" collapsed="false">
      <c r="A9" s="168"/>
      <c r="B9" s="168"/>
      <c r="C9" s="168"/>
      <c r="D9" s="168" t="s">
        <v>675</v>
      </c>
      <c r="E9" s="169" t="s">
        <v>676</v>
      </c>
      <c r="F9" s="168" t="s">
        <v>677</v>
      </c>
      <c r="G9" s="168"/>
      <c r="H9" s="168"/>
    </row>
    <row r="10" customFormat="false" ht="23.25" hidden="false" customHeight="true" outlineLevel="0" collapsed="false">
      <c r="A10" s="170" t="n">
        <v>1</v>
      </c>
      <c r="B10" s="170" t="s">
        <v>689</v>
      </c>
      <c r="C10" s="171" t="n">
        <f aca="false">'thang3.L4'!H10</f>
        <v>697</v>
      </c>
      <c r="D10" s="172" t="n">
        <v>160</v>
      </c>
      <c r="E10" s="171"/>
      <c r="F10" s="171" t="n">
        <v>480000</v>
      </c>
      <c r="G10" s="171" t="n">
        <v>722</v>
      </c>
      <c r="H10" s="171" t="n">
        <f aca="false">C10+D10-G10</f>
        <v>135</v>
      </c>
    </row>
    <row r="11" customFormat="false" ht="23.25" hidden="false" customHeight="true" outlineLevel="0" collapsed="false">
      <c r="A11" s="173" t="n">
        <v>2</v>
      </c>
      <c r="B11" s="173" t="s">
        <v>678</v>
      </c>
      <c r="C11" s="174" t="n">
        <f aca="false">'thang3.L4'!H11</f>
        <v>2197</v>
      </c>
      <c r="D11" s="175" t="n">
        <v>31013</v>
      </c>
      <c r="E11" s="174"/>
      <c r="F11" s="174" t="n">
        <v>195043400</v>
      </c>
      <c r="G11" s="174" t="n">
        <v>31180</v>
      </c>
      <c r="H11" s="174" t="n">
        <f aca="false">C11+D11-G11</f>
        <v>2030</v>
      </c>
    </row>
    <row r="12" customFormat="false" ht="23.25" hidden="false" customHeight="true" outlineLevel="0" collapsed="false">
      <c r="A12" s="176"/>
      <c r="B12" s="177"/>
      <c r="C12" s="178"/>
      <c r="D12" s="179"/>
      <c r="E12" s="178"/>
      <c r="F12" s="178"/>
      <c r="G12" s="178"/>
      <c r="H12" s="178"/>
    </row>
    <row r="13" customFormat="false" ht="23.25" hidden="false" customHeight="true" outlineLevel="0" collapsed="false">
      <c r="A13" s="180" t="s">
        <v>680</v>
      </c>
      <c r="B13" s="180"/>
      <c r="C13" s="182" t="n">
        <f aca="false">C11+C10</f>
        <v>2894</v>
      </c>
      <c r="D13" s="182" t="n">
        <f aca="false">D11+D10</f>
        <v>31173</v>
      </c>
      <c r="E13" s="182" t="n">
        <f aca="false">E10+E11+E12</f>
        <v>0</v>
      </c>
      <c r="F13" s="182" t="n">
        <f aca="false">SUM(F10:F12)</f>
        <v>195523400</v>
      </c>
      <c r="G13" s="182" t="n">
        <f aca="false">SUM(G10:G11)</f>
        <v>31902</v>
      </c>
      <c r="H13" s="182" t="n">
        <f aca="false">H11+H10</f>
        <v>2165</v>
      </c>
    </row>
    <row r="14" customFormat="false" ht="30" hidden="false" customHeight="true" outlineLevel="0" collapsed="false">
      <c r="A14" s="166" t="s">
        <v>12</v>
      </c>
      <c r="B14" s="166"/>
      <c r="C14" s="183"/>
      <c r="D14" s="32"/>
      <c r="E14" s="32"/>
      <c r="F14" s="32"/>
      <c r="G14" s="0"/>
      <c r="H14" s="0"/>
    </row>
    <row r="15" customFormat="false" ht="22.5" hidden="false" customHeight="true" outlineLevel="0" collapsed="false">
      <c r="A15" s="168" t="s">
        <v>681</v>
      </c>
      <c r="B15" s="168" t="s">
        <v>682</v>
      </c>
      <c r="C15" s="168" t="s">
        <v>5</v>
      </c>
      <c r="D15" s="168" t="s">
        <v>683</v>
      </c>
      <c r="E15" s="168"/>
      <c r="F15" s="168" t="s">
        <v>8</v>
      </c>
      <c r="G15" s="0"/>
      <c r="H15" s="0"/>
    </row>
    <row r="16" customFormat="false" ht="22.5" hidden="false" customHeight="true" outlineLevel="0" collapsed="false">
      <c r="A16" s="168"/>
      <c r="B16" s="168"/>
      <c r="C16" s="168"/>
      <c r="D16" s="168" t="s">
        <v>684</v>
      </c>
      <c r="E16" s="168" t="s">
        <v>685</v>
      </c>
      <c r="F16" s="168"/>
      <c r="G16" s="0"/>
      <c r="H16" s="0"/>
    </row>
    <row r="17" customFormat="false" ht="21.75" hidden="false" customHeight="true" outlineLevel="0" collapsed="false">
      <c r="A17" s="170" t="n">
        <v>1</v>
      </c>
      <c r="B17" s="170" t="s">
        <v>383</v>
      </c>
      <c r="C17" s="171" t="e">
        <f aca="false">'thang3.L4'!F17</f>
        <v>#VALUE!</v>
      </c>
      <c r="D17" s="171" t="n">
        <v>640</v>
      </c>
      <c r="E17" s="171"/>
      <c r="F17" s="171" t="e">
        <f aca="false">C17+D17</f>
        <v>#VALUE!</v>
      </c>
      <c r="G17" s="0"/>
      <c r="H17" s="0"/>
    </row>
    <row r="18" customFormat="false" ht="21.75" hidden="false" customHeight="true" outlineLevel="0" collapsed="false">
      <c r="A18" s="173" t="n">
        <v>2</v>
      </c>
      <c r="B18" s="173" t="s">
        <v>384</v>
      </c>
      <c r="C18" s="174" t="e">
        <f aca="false">'thang3.L4'!F18</f>
        <v>#VALUE!</v>
      </c>
      <c r="D18" s="174" t="n">
        <v>1820</v>
      </c>
      <c r="E18" s="174" t="n">
        <v>850</v>
      </c>
      <c r="F18" s="174" t="e">
        <f aca="false">D18+C18-E18</f>
        <v>#VALUE!</v>
      </c>
      <c r="G18" s="0"/>
      <c r="H18" s="0"/>
    </row>
    <row r="19" customFormat="false" ht="21.75" hidden="false" customHeight="true" outlineLevel="0" collapsed="false">
      <c r="A19" s="173" t="n">
        <v>3</v>
      </c>
      <c r="B19" s="173" t="s">
        <v>686</v>
      </c>
      <c r="C19" s="174" t="e">
        <f aca="false">'thang3.L4'!F19</f>
        <v>#VALUE!</v>
      </c>
      <c r="D19" s="174"/>
      <c r="E19" s="174"/>
      <c r="F19" s="174" t="e">
        <f aca="false">C19+D19</f>
        <v>#VALUE!</v>
      </c>
      <c r="G19" s="0"/>
      <c r="H19" s="0"/>
    </row>
    <row r="20" customFormat="false" ht="21.75" hidden="false" customHeight="true" outlineLevel="0" collapsed="false">
      <c r="A20" s="173" t="n">
        <v>4</v>
      </c>
      <c r="B20" s="173" t="s">
        <v>393</v>
      </c>
      <c r="C20" s="174" t="e">
        <f aca="false">'thang3.L4'!F20</f>
        <v>#VALUE!</v>
      </c>
      <c r="D20" s="185"/>
      <c r="E20" s="185"/>
      <c r="F20" s="174" t="e">
        <f aca="false">C20+D20</f>
        <v>#VALUE!</v>
      </c>
      <c r="G20" s="0"/>
      <c r="H20" s="0"/>
    </row>
    <row r="21" customFormat="false" ht="21.75" hidden="false" customHeight="true" outlineLevel="0" collapsed="false">
      <c r="A21" s="173" t="n">
        <v>5</v>
      </c>
      <c r="B21" s="173" t="s">
        <v>687</v>
      </c>
      <c r="C21" s="174" t="e">
        <f aca="false">'thang3.L4'!F21</f>
        <v>#VALUE!</v>
      </c>
      <c r="D21" s="185"/>
      <c r="E21" s="185"/>
      <c r="F21" s="174" t="e">
        <f aca="false">C21+D21</f>
        <v>#VALUE!</v>
      </c>
      <c r="G21" s="0"/>
      <c r="H21" s="0"/>
    </row>
    <row r="22" customFormat="false" ht="21.75" hidden="false" customHeight="true" outlineLevel="0" collapsed="false">
      <c r="A22" s="173" t="n">
        <v>6</v>
      </c>
      <c r="B22" s="173" t="s">
        <v>399</v>
      </c>
      <c r="C22" s="174" t="n">
        <f aca="false">'thang3.L4'!F22</f>
        <v>4000</v>
      </c>
      <c r="D22" s="185"/>
      <c r="E22" s="185"/>
      <c r="F22" s="174" t="n">
        <f aca="false">C22+D22</f>
        <v>4000</v>
      </c>
      <c r="G22" s="0"/>
      <c r="H22" s="0"/>
    </row>
    <row r="23" customFormat="false" ht="21.75" hidden="false" customHeight="true" outlineLevel="0" collapsed="false">
      <c r="A23" s="173" t="n">
        <v>7</v>
      </c>
      <c r="B23" s="173" t="s">
        <v>398</v>
      </c>
      <c r="C23" s="174" t="n">
        <f aca="false">'thang3.L4'!F23</f>
        <v>3000</v>
      </c>
      <c r="D23" s="185"/>
      <c r="E23" s="185"/>
      <c r="F23" s="174" t="n">
        <f aca="false">C23+D23</f>
        <v>3000</v>
      </c>
      <c r="G23" s="0"/>
      <c r="H23" s="0"/>
    </row>
    <row r="24" customFormat="false" ht="21.75" hidden="false" customHeight="true" outlineLevel="0" collapsed="false">
      <c r="A24" s="173" t="n">
        <v>8</v>
      </c>
      <c r="B24" s="173" t="s">
        <v>401</v>
      </c>
      <c r="C24" s="174" t="n">
        <f aca="false">'thang3.L4'!F24</f>
        <v>2600</v>
      </c>
      <c r="D24" s="185"/>
      <c r="E24" s="185"/>
      <c r="F24" s="174" t="n">
        <f aca="false">C24+D24</f>
        <v>2600</v>
      </c>
      <c r="G24" s="0"/>
      <c r="H24" s="0"/>
    </row>
    <row r="25" customFormat="false" ht="21.75" hidden="false" customHeight="true" outlineLevel="0" collapsed="false">
      <c r="A25" s="173" t="n">
        <v>9</v>
      </c>
      <c r="B25" s="173" t="s">
        <v>403</v>
      </c>
      <c r="C25" s="174" t="n">
        <f aca="false">'thang3.L4'!F25</f>
        <v>2030</v>
      </c>
      <c r="D25" s="185" t="n">
        <v>850</v>
      </c>
      <c r="E25" s="185"/>
      <c r="F25" s="174" t="n">
        <f aca="false">C25+D25+E25</f>
        <v>2880</v>
      </c>
      <c r="G25" s="0"/>
      <c r="H25" s="0"/>
    </row>
    <row r="26" customFormat="false" ht="21.75" hidden="false" customHeight="true" outlineLevel="0" collapsed="false">
      <c r="A26" s="176" t="n">
        <v>10</v>
      </c>
      <c r="B26" s="176" t="s">
        <v>436</v>
      </c>
      <c r="C26" s="184" t="n">
        <v>0</v>
      </c>
      <c r="D26" s="184" t="n">
        <v>8020</v>
      </c>
      <c r="E26" s="184"/>
      <c r="F26" s="184" t="n">
        <f aca="false">D26+C26</f>
        <v>8020</v>
      </c>
      <c r="G26" s="0"/>
      <c r="H26" s="0"/>
    </row>
    <row r="27" customFormat="false" ht="21.75" hidden="false" customHeight="true" outlineLevel="0" collapsed="false">
      <c r="A27" s="180" t="s">
        <v>680</v>
      </c>
      <c r="B27" s="180"/>
      <c r="C27" s="182" t="e">
        <f aca="false">C17+C18+C19+C20+C21+C22+C23+C24+C25</f>
        <v>#VALUE!</v>
      </c>
      <c r="D27" s="182"/>
      <c r="E27" s="181"/>
      <c r="F27" s="182" t="e">
        <f aca="false">F25+F24+F23+F22+F21+F20+F19+F18+F17+F26</f>
        <v>#VALUE!</v>
      </c>
      <c r="G27" s="0"/>
      <c r="H27" s="0"/>
    </row>
    <row r="28" customFormat="false" ht="13.2" hidden="false" customHeight="false" outlineLevel="0" collapsed="false">
      <c r="F28" s="0"/>
      <c r="G28" s="0"/>
      <c r="H28" s="0"/>
    </row>
    <row r="29" customFormat="false" ht="13.2" hidden="false" customHeight="false" outlineLevel="0" collapsed="false">
      <c r="F29" s="0"/>
      <c r="G29" s="0"/>
      <c r="H29" s="0"/>
    </row>
    <row r="30" customFormat="false" ht="16.8" hidden="false" customHeight="false" outlineLevel="0" collapsed="false">
      <c r="F30" s="140" t="s">
        <v>396</v>
      </c>
      <c r="G30" s="140"/>
      <c r="H30" s="140"/>
    </row>
  </sheetData>
  <mergeCells count="18">
    <mergeCell ref="E1:F1"/>
    <mergeCell ref="G1:I1"/>
    <mergeCell ref="A2:D2"/>
    <mergeCell ref="A5:H6"/>
    <mergeCell ref="A8:A9"/>
    <mergeCell ref="B8:B9"/>
    <mergeCell ref="C8:C9"/>
    <mergeCell ref="D8:F8"/>
    <mergeCell ref="G8:G9"/>
    <mergeCell ref="H8:H9"/>
    <mergeCell ref="A13:B13"/>
    <mergeCell ref="A15:A16"/>
    <mergeCell ref="B15:B16"/>
    <mergeCell ref="C15:C16"/>
    <mergeCell ref="D15:E15"/>
    <mergeCell ref="F15:F16"/>
    <mergeCell ref="A27:B27"/>
    <mergeCell ref="F30:H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0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20" activeCellId="0" sqref="C20"/>
    </sheetView>
  </sheetViews>
  <sheetFormatPr defaultRowHeight="13.2"/>
  <cols>
    <col collapsed="false" hidden="false" max="1" min="1" style="1" width="4.45408163265306"/>
    <col collapsed="false" hidden="false" max="2" min="2" style="1" width="18.2244897959184"/>
    <col collapsed="false" hidden="false" max="3" min="3" style="1" width="12.8265306122449"/>
    <col collapsed="false" hidden="false" max="5" min="4" style="1" width="15.5255102040816"/>
    <col collapsed="false" hidden="false" max="6" min="6" style="1" width="19.5714285714286"/>
    <col collapsed="false" hidden="false" max="7" min="7" style="1" width="14.8469387755102"/>
    <col collapsed="false" hidden="false" max="8" min="8" style="1" width="15.1173469387755"/>
    <col collapsed="false" hidden="false" max="1025" min="9" style="1" width="8.23469387755102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140"/>
      <c r="H1" s="140"/>
      <c r="I1" s="140"/>
    </row>
    <row r="2" customFormat="false" ht="15.6" hidden="false" customHeight="false" outlineLevel="0" collapsed="false">
      <c r="A2" s="161" t="s">
        <v>666</v>
      </c>
      <c r="B2" s="161"/>
      <c r="C2" s="161"/>
      <c r="D2" s="161"/>
      <c r="E2" s="26"/>
      <c r="F2" s="26"/>
      <c r="G2" s="141"/>
      <c r="H2" s="141"/>
      <c r="I2" s="39"/>
    </row>
    <row r="3" customFormat="false" ht="15.6" hidden="false" customHeight="false" outlineLevel="0" collapsed="false">
      <c r="A3" s="162" t="s">
        <v>667</v>
      </c>
      <c r="B3" s="162"/>
      <c r="C3" s="163"/>
      <c r="D3" s="163"/>
      <c r="E3" s="0"/>
      <c r="F3" s="0"/>
      <c r="G3" s="0"/>
      <c r="H3" s="0"/>
      <c r="I3" s="0"/>
    </row>
    <row r="4" customFormat="false" ht="13.2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</row>
    <row r="5" customFormat="false" ht="25.5" hidden="false" customHeight="true" outlineLevel="0" collapsed="false">
      <c r="A5" s="164" t="s">
        <v>692</v>
      </c>
      <c r="B5" s="164"/>
      <c r="C5" s="164"/>
      <c r="D5" s="164"/>
      <c r="E5" s="164"/>
      <c r="F5" s="164"/>
      <c r="G5" s="164"/>
      <c r="H5" s="164"/>
      <c r="I5" s="165"/>
    </row>
    <row r="6" customFormat="false" ht="13.2" hidden="false" customHeight="false" outlineLevel="0" collapsed="false">
      <c r="A6" s="164"/>
      <c r="B6" s="164"/>
      <c r="C6" s="164"/>
      <c r="D6" s="164"/>
      <c r="E6" s="164"/>
      <c r="F6" s="164"/>
      <c r="G6" s="164"/>
      <c r="H6" s="164"/>
    </row>
    <row r="7" customFormat="false" ht="24" hidden="false" customHeight="true" outlineLevel="0" collapsed="false">
      <c r="A7" s="166" t="s">
        <v>669</v>
      </c>
      <c r="B7" s="166"/>
      <c r="C7" s="167"/>
      <c r="D7" s="0"/>
      <c r="E7" s="0"/>
      <c r="F7" s="0"/>
      <c r="G7" s="0"/>
      <c r="H7" s="0"/>
    </row>
    <row r="8" customFormat="false" ht="24.75" hidden="false" customHeight="true" outlineLevel="0" collapsed="false">
      <c r="A8" s="168" t="s">
        <v>670</v>
      </c>
      <c r="B8" s="168" t="s">
        <v>671</v>
      </c>
      <c r="C8" s="168" t="s">
        <v>672</v>
      </c>
      <c r="D8" s="168" t="s">
        <v>673</v>
      </c>
      <c r="E8" s="168"/>
      <c r="F8" s="168"/>
      <c r="G8" s="168" t="s">
        <v>674</v>
      </c>
      <c r="H8" s="168" t="s">
        <v>8</v>
      </c>
    </row>
    <row r="9" customFormat="false" ht="32.25" hidden="false" customHeight="true" outlineLevel="0" collapsed="false">
      <c r="A9" s="168"/>
      <c r="B9" s="168"/>
      <c r="C9" s="168"/>
      <c r="D9" s="168" t="s">
        <v>675</v>
      </c>
      <c r="E9" s="169" t="s">
        <v>676</v>
      </c>
      <c r="F9" s="168" t="s">
        <v>677</v>
      </c>
      <c r="G9" s="168"/>
      <c r="H9" s="168"/>
    </row>
    <row r="10" customFormat="false" ht="23.25" hidden="false" customHeight="true" outlineLevel="0" collapsed="false">
      <c r="A10" s="170" t="n">
        <v>1</v>
      </c>
      <c r="B10" s="170" t="s">
        <v>689</v>
      </c>
      <c r="C10" s="171" t="n">
        <f aca="false">'thang3.L5'!H10</f>
        <v>135</v>
      </c>
      <c r="D10" s="172"/>
      <c r="E10" s="171"/>
      <c r="F10" s="171"/>
      <c r="G10" s="171" t="n">
        <f aca="false">C10+D10</f>
        <v>135</v>
      </c>
      <c r="H10" s="171" t="n">
        <f aca="false">C10+D10-G10</f>
        <v>0</v>
      </c>
    </row>
    <row r="11" customFormat="false" ht="23.25" hidden="false" customHeight="true" outlineLevel="0" collapsed="false">
      <c r="A11" s="173" t="n">
        <v>2</v>
      </c>
      <c r="B11" s="173" t="s">
        <v>678</v>
      </c>
      <c r="C11" s="174" t="n">
        <f aca="false">'thang3.L5'!H11</f>
        <v>2030</v>
      </c>
      <c r="D11" s="175" t="n">
        <v>19764</v>
      </c>
      <c r="E11" s="174"/>
      <c r="F11" s="174" t="n">
        <v>124513200</v>
      </c>
      <c r="G11" s="174" t="n">
        <f aca="false">C11+D11</f>
        <v>21794</v>
      </c>
      <c r="H11" s="174" t="n">
        <f aca="false">C11+D11-G11</f>
        <v>0</v>
      </c>
    </row>
    <row r="12" customFormat="false" ht="23.25" hidden="false" customHeight="true" outlineLevel="0" collapsed="false">
      <c r="A12" s="176"/>
      <c r="B12" s="177"/>
      <c r="C12" s="178"/>
      <c r="D12" s="179"/>
      <c r="E12" s="178"/>
      <c r="F12" s="178"/>
      <c r="G12" s="178"/>
      <c r="H12" s="178"/>
    </row>
    <row r="13" customFormat="false" ht="23.25" hidden="false" customHeight="true" outlineLevel="0" collapsed="false">
      <c r="A13" s="180" t="s">
        <v>680</v>
      </c>
      <c r="B13" s="180"/>
      <c r="C13" s="182" t="n">
        <f aca="false">C11+C10</f>
        <v>2165</v>
      </c>
      <c r="D13" s="182" t="n">
        <f aca="false">D11+D10</f>
        <v>19764</v>
      </c>
      <c r="E13" s="182" t="n">
        <f aca="false">E10+E11+E12</f>
        <v>0</v>
      </c>
      <c r="F13" s="182" t="n">
        <f aca="false">SUM(F10:F12)</f>
        <v>124513200</v>
      </c>
      <c r="G13" s="182" t="n">
        <f aca="false">SUM(G10:G11)</f>
        <v>21929</v>
      </c>
      <c r="H13" s="182" t="n">
        <f aca="false">H11+H10</f>
        <v>0</v>
      </c>
    </row>
    <row r="14" customFormat="false" ht="30" hidden="false" customHeight="true" outlineLevel="0" collapsed="false">
      <c r="A14" s="166" t="s">
        <v>12</v>
      </c>
      <c r="B14" s="166"/>
      <c r="C14" s="183"/>
      <c r="D14" s="32"/>
      <c r="E14" s="32"/>
      <c r="F14" s="32"/>
      <c r="G14" s="0"/>
      <c r="H14" s="0"/>
    </row>
    <row r="15" customFormat="false" ht="22.5" hidden="false" customHeight="true" outlineLevel="0" collapsed="false">
      <c r="A15" s="168" t="s">
        <v>681</v>
      </c>
      <c r="B15" s="168" t="s">
        <v>682</v>
      </c>
      <c r="C15" s="168" t="s">
        <v>5</v>
      </c>
      <c r="D15" s="168" t="s">
        <v>683</v>
      </c>
      <c r="E15" s="168"/>
      <c r="F15" s="168" t="s">
        <v>8</v>
      </c>
      <c r="G15" s="0"/>
      <c r="H15" s="0"/>
    </row>
    <row r="16" customFormat="false" ht="22.5" hidden="false" customHeight="true" outlineLevel="0" collapsed="false">
      <c r="A16" s="168"/>
      <c r="B16" s="168"/>
      <c r="C16" s="168"/>
      <c r="D16" s="168" t="s">
        <v>684</v>
      </c>
      <c r="E16" s="168" t="s">
        <v>685</v>
      </c>
      <c r="F16" s="168"/>
      <c r="G16" s="0"/>
      <c r="H16" s="0"/>
    </row>
    <row r="17" customFormat="false" ht="21.75" hidden="false" customHeight="true" outlineLevel="0" collapsed="false">
      <c r="A17" s="170" t="n">
        <v>1</v>
      </c>
      <c r="B17" s="170" t="s">
        <v>383</v>
      </c>
      <c r="C17" s="171" t="e">
        <f aca="false">'thang3.L5'!F17</f>
        <v>#VALUE!</v>
      </c>
      <c r="D17" s="171"/>
      <c r="E17" s="171" t="n">
        <v>400</v>
      </c>
      <c r="F17" s="171" t="e">
        <f aca="false">C17+D17-E17</f>
        <v>#VALUE!</v>
      </c>
      <c r="G17" s="0"/>
      <c r="H17" s="0"/>
    </row>
    <row r="18" customFormat="false" ht="21.75" hidden="false" customHeight="true" outlineLevel="0" collapsed="false">
      <c r="A18" s="173" t="n">
        <v>2</v>
      </c>
      <c r="B18" s="173" t="s">
        <v>384</v>
      </c>
      <c r="C18" s="174" t="e">
        <f aca="false">'thang3.L5'!F18</f>
        <v>#VALUE!</v>
      </c>
      <c r="D18" s="174" t="n">
        <v>500</v>
      </c>
      <c r="E18" s="174"/>
      <c r="F18" s="174" t="e">
        <f aca="false">D18+C18</f>
        <v>#VALUE!</v>
      </c>
      <c r="G18" s="0"/>
      <c r="H18" s="0"/>
    </row>
    <row r="19" customFormat="false" ht="21.75" hidden="false" customHeight="true" outlineLevel="0" collapsed="false">
      <c r="A19" s="173" t="n">
        <v>3</v>
      </c>
      <c r="B19" s="173" t="s">
        <v>686</v>
      </c>
      <c r="C19" s="174"/>
      <c r="D19" s="174"/>
      <c r="E19" s="174"/>
      <c r="F19" s="174" t="n">
        <f aca="false">C19+D19</f>
        <v>0</v>
      </c>
      <c r="G19" s="0"/>
      <c r="H19" s="0"/>
    </row>
    <row r="20" customFormat="false" ht="21.75" hidden="false" customHeight="true" outlineLevel="0" collapsed="false">
      <c r="A20" s="173" t="n">
        <v>4</v>
      </c>
      <c r="B20" s="173" t="s">
        <v>393</v>
      </c>
      <c r="C20" s="174" t="e">
        <f aca="false">'thang3.L5'!F20</f>
        <v>#VALUE!</v>
      </c>
      <c r="D20" s="185"/>
      <c r="E20" s="185"/>
      <c r="F20" s="174" t="e">
        <f aca="false">C20+D20</f>
        <v>#VALUE!</v>
      </c>
      <c r="G20" s="0"/>
      <c r="H20" s="0"/>
    </row>
    <row r="21" customFormat="false" ht="21.75" hidden="false" customHeight="true" outlineLevel="0" collapsed="false">
      <c r="A21" s="173" t="n">
        <v>5</v>
      </c>
      <c r="B21" s="173" t="s">
        <v>687</v>
      </c>
      <c r="C21" s="174" t="e">
        <f aca="false">'thang3.L5'!F21</f>
        <v>#VALUE!</v>
      </c>
      <c r="D21" s="185"/>
      <c r="E21" s="185" t="n">
        <v>1000</v>
      </c>
      <c r="F21" s="174" t="e">
        <f aca="false">C21+D21-E21</f>
        <v>#VALUE!</v>
      </c>
      <c r="G21" s="0"/>
      <c r="H21" s="0"/>
    </row>
    <row r="22" customFormat="false" ht="21.75" hidden="false" customHeight="true" outlineLevel="0" collapsed="false">
      <c r="A22" s="173" t="n">
        <v>6</v>
      </c>
      <c r="B22" s="173" t="s">
        <v>399</v>
      </c>
      <c r="C22" s="174" t="n">
        <f aca="false">'thang3.L5'!F22</f>
        <v>4000</v>
      </c>
      <c r="D22" s="185"/>
      <c r="E22" s="185"/>
      <c r="F22" s="174" t="n">
        <f aca="false">C22+D22</f>
        <v>4000</v>
      </c>
      <c r="G22" s="0"/>
      <c r="H22" s="0"/>
    </row>
    <row r="23" customFormat="false" ht="21.75" hidden="false" customHeight="true" outlineLevel="0" collapsed="false">
      <c r="A23" s="173" t="n">
        <v>7</v>
      </c>
      <c r="B23" s="173" t="s">
        <v>398</v>
      </c>
      <c r="C23" s="174" t="n">
        <f aca="false">'thang3.L5'!F23</f>
        <v>3000</v>
      </c>
      <c r="D23" s="185" t="n">
        <v>2560</v>
      </c>
      <c r="E23" s="185"/>
      <c r="F23" s="174" t="n">
        <f aca="false">C23+D23</f>
        <v>5560</v>
      </c>
      <c r="G23" s="0"/>
      <c r="H23" s="0"/>
    </row>
    <row r="24" customFormat="false" ht="21.75" hidden="false" customHeight="true" outlineLevel="0" collapsed="false">
      <c r="A24" s="173" t="n">
        <v>8</v>
      </c>
      <c r="B24" s="173" t="s">
        <v>401</v>
      </c>
      <c r="C24" s="174" t="n">
        <f aca="false">'thang3.L5'!F24</f>
        <v>2600</v>
      </c>
      <c r="D24" s="185"/>
      <c r="E24" s="185"/>
      <c r="F24" s="174" t="n">
        <f aca="false">C24+D24</f>
        <v>2600</v>
      </c>
      <c r="G24" s="0"/>
      <c r="H24" s="0"/>
    </row>
    <row r="25" customFormat="false" ht="21.75" hidden="false" customHeight="true" outlineLevel="0" collapsed="false">
      <c r="A25" s="173" t="n">
        <v>9</v>
      </c>
      <c r="B25" s="173" t="s">
        <v>403</v>
      </c>
      <c r="C25" s="174" t="n">
        <f aca="false">'thang3.L5'!F25</f>
        <v>2880</v>
      </c>
      <c r="D25" s="185"/>
      <c r="E25" s="185"/>
      <c r="F25" s="174" t="n">
        <f aca="false">C25+D25</f>
        <v>2880</v>
      </c>
      <c r="G25" s="0"/>
      <c r="H25" s="0"/>
    </row>
    <row r="26" customFormat="false" ht="21.75" hidden="false" customHeight="true" outlineLevel="0" collapsed="false">
      <c r="A26" s="176" t="n">
        <v>10</v>
      </c>
      <c r="B26" s="176" t="s">
        <v>436</v>
      </c>
      <c r="C26" s="174" t="n">
        <f aca="false">'thang3.L5'!F26</f>
        <v>8020</v>
      </c>
      <c r="D26" s="184" t="n">
        <f aca="false">3240+900</f>
        <v>4140</v>
      </c>
      <c r="E26" s="184"/>
      <c r="F26" s="184" t="n">
        <f aca="false">D26+C26</f>
        <v>12160</v>
      </c>
      <c r="G26" s="0"/>
      <c r="H26" s="0"/>
    </row>
    <row r="27" customFormat="false" ht="21.75" hidden="false" customHeight="true" outlineLevel="0" collapsed="false">
      <c r="A27" s="180" t="s">
        <v>680</v>
      </c>
      <c r="B27" s="180"/>
      <c r="C27" s="182" t="e">
        <f aca="false">SUM(C17:C26)</f>
        <v>#VALUE!</v>
      </c>
      <c r="D27" s="182" t="n">
        <f aca="false">D26+D23+D18</f>
        <v>7200</v>
      </c>
      <c r="E27" s="181"/>
      <c r="F27" s="182" t="e">
        <f aca="false">F25+F24+F23+F22+F21+F20+F19+F18+F17+F26</f>
        <v>#VALUE!</v>
      </c>
      <c r="G27" s="0"/>
      <c r="H27" s="0"/>
    </row>
    <row r="28" customFormat="false" ht="13.2" hidden="false" customHeight="false" outlineLevel="0" collapsed="false">
      <c r="F28" s="0"/>
      <c r="G28" s="0"/>
      <c r="H28" s="0"/>
    </row>
    <row r="29" customFormat="false" ht="13.2" hidden="false" customHeight="false" outlineLevel="0" collapsed="false">
      <c r="F29" s="0"/>
      <c r="G29" s="0"/>
      <c r="H29" s="0"/>
    </row>
    <row r="30" customFormat="false" ht="16.8" hidden="false" customHeight="false" outlineLevel="0" collapsed="false">
      <c r="F30" s="140" t="s">
        <v>396</v>
      </c>
      <c r="G30" s="140"/>
      <c r="H30" s="140"/>
    </row>
  </sheetData>
  <mergeCells count="18">
    <mergeCell ref="E1:F1"/>
    <mergeCell ref="G1:I1"/>
    <mergeCell ref="A2:D2"/>
    <mergeCell ref="A5:H6"/>
    <mergeCell ref="A8:A9"/>
    <mergeCell ref="B8:B9"/>
    <mergeCell ref="C8:C9"/>
    <mergeCell ref="D8:F8"/>
    <mergeCell ref="G8:G9"/>
    <mergeCell ref="H8:H9"/>
    <mergeCell ref="A13:B13"/>
    <mergeCell ref="A15:A16"/>
    <mergeCell ref="B15:B16"/>
    <mergeCell ref="C15:C16"/>
    <mergeCell ref="D15:E15"/>
    <mergeCell ref="F15:F16"/>
    <mergeCell ref="A27:B27"/>
    <mergeCell ref="F30:H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2018-04-07T03:38:46Z</dcterms:created>
  <dc:creator>Admin</dc:creator>
  <dc:description/>
  <dc:language>en-US</dc:language>
  <cp:lastModifiedBy/>
  <cp:lastPrinted>2019-03-12T01:40:54Z</cp:lastPrinted>
  <dcterms:modified xsi:type="dcterms:W3CDTF">2019-03-27T22:14:08Z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