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 (2)" sheetId="1" r:id="rId4"/>
    <sheet state="visible" name="Số liệu tháng 4" sheetId="2" r:id="rId5"/>
    <sheet state="visible" name="Số liệu tháng 5" sheetId="3" r:id="rId6"/>
    <sheet state="visible" name="Số liệu tháng 6" sheetId="4" r:id="rId7"/>
    <sheet state="visible" name="Số liệu tháng 7" sheetId="5" r:id="rId8"/>
    <sheet state="visible" name="Số liệu tháng 8" sheetId="6" r:id="rId9"/>
  </sheets>
  <definedNames/>
  <calcPr/>
  <extLst>
    <ext uri="GoogleSheetsCustomDataVersion2">
      <go:sheetsCustomData xmlns:go="http://customooxmlschemas.google.com/" r:id="rId10" roundtripDataChecksum="N65VhjlB/P3GxRKPeF8umSxx5iwRkY+Q6gjjwsVIkAs="/>
    </ext>
  </extLst>
</workbook>
</file>

<file path=xl/sharedStrings.xml><?xml version="1.0" encoding="utf-8"?>
<sst xmlns="http://schemas.openxmlformats.org/spreadsheetml/2006/main" count="199" uniqueCount="90">
  <si>
    <t xml:space="preserve">BẢNG TỔNG HỢP </t>
  </si>
  <si>
    <t>Stt</t>
  </si>
  <si>
    <t>Ngày nhập</t>
  </si>
  <si>
    <t>Mã lô</t>
  </si>
  <si>
    <t>Keo cọc</t>
  </si>
  <si>
    <t>Keo đen</t>
  </si>
  <si>
    <t>Keo trắng</t>
  </si>
  <si>
    <t>Keo loại</t>
  </si>
  <si>
    <t>Lõi bóc</t>
  </si>
  <si>
    <t>chíp bán</t>
  </si>
  <si>
    <t>Rác bán</t>
  </si>
  <si>
    <t>ván bóc</t>
  </si>
  <si>
    <t>A</t>
  </si>
  <si>
    <t>B</t>
  </si>
  <si>
    <t>C</t>
  </si>
  <si>
    <t>28,18(mua ván tươi)</t>
  </si>
  <si>
    <t>4,97(mua ván tươi)</t>
  </si>
  <si>
    <t>10,69(mua ván tươi)</t>
  </si>
  <si>
    <t>1,74(mua ván tươi</t>
  </si>
  <si>
    <t>48(khô bán ts)</t>
  </si>
  <si>
    <t>14,72(mua ván tươi)</t>
  </si>
  <si>
    <t>3,23( mua ván tươi)</t>
  </si>
  <si>
    <t>23,2(mua ván tươi)</t>
  </si>
  <si>
    <t>5,8(mua ván tươi)</t>
  </si>
  <si>
    <t>33,56(mua ván tươi)</t>
  </si>
  <si>
    <t>7,87(ván tươi mua)</t>
  </si>
  <si>
    <t>17530(xô)</t>
  </si>
  <si>
    <t>25,86(mua ván tươi)</t>
  </si>
  <si>
    <t>7,29(mua ván tươi)</t>
  </si>
  <si>
    <t>11080(xô)</t>
  </si>
  <si>
    <t>9,7( mua ván tươi)</t>
  </si>
  <si>
    <t>2,73(mua ván tươi)</t>
  </si>
  <si>
    <t>11920(xô)</t>
  </si>
  <si>
    <t>8070(xô)</t>
  </si>
  <si>
    <t>11790(xô)</t>
  </si>
  <si>
    <t>19230(xô)</t>
  </si>
  <si>
    <t>12770(xô)</t>
  </si>
  <si>
    <t>7350(xô)</t>
  </si>
  <si>
    <t>7160(xô)</t>
  </si>
  <si>
    <t>Tổng</t>
  </si>
  <si>
    <t>Mùn chà</t>
  </si>
  <si>
    <t>ván tươi bán</t>
  </si>
  <si>
    <t>Ván khô bán</t>
  </si>
  <si>
    <t>Xô</t>
  </si>
  <si>
    <t>Băm</t>
  </si>
  <si>
    <t>35,77(2.0)</t>
  </si>
  <si>
    <t>23,2(mua)</t>
  </si>
  <si>
    <t>5,8(mua)</t>
  </si>
  <si>
    <t>46,08(2.0)+7.68(1.7)</t>
  </si>
  <si>
    <t>35,77(BC 2.0)</t>
  </si>
  <si>
    <t>38,57 (2.0BC)</t>
  </si>
  <si>
    <t>22,1 (1.7BC)</t>
  </si>
  <si>
    <t>BC</t>
  </si>
  <si>
    <t>34,5(1.7)</t>
  </si>
  <si>
    <t>22 (2.0)</t>
  </si>
  <si>
    <t>1m3(2.0)+1m3(1.7)</t>
  </si>
  <si>
    <t>21(2.0)</t>
  </si>
  <si>
    <t>26.3(2.0)</t>
  </si>
  <si>
    <t>15,19(2.0)</t>
  </si>
  <si>
    <t>16,57(1.7)</t>
  </si>
  <si>
    <t>59,64A và 13,09B</t>
  </si>
  <si>
    <t>24,5(,2.0)</t>
  </si>
  <si>
    <t>24,64(B2.0)+6,5(BC 2.0)</t>
  </si>
  <si>
    <t>62,89(mua)</t>
  </si>
  <si>
    <t>5,576(mua)</t>
  </si>
  <si>
    <t>18,7 mua</t>
  </si>
  <si>
    <t>44,68(mua)</t>
  </si>
  <si>
    <t>6,3 mua</t>
  </si>
  <si>
    <t>55,01(mua)</t>
  </si>
  <si>
    <t>8,21(mua)</t>
  </si>
  <si>
    <t>120,99( mua)</t>
  </si>
  <si>
    <t>11,83( mua)</t>
  </si>
  <si>
    <t>53,82(1.7)+52,23(2.0)</t>
  </si>
  <si>
    <t>11,81(1.7)+17,41(2.0)</t>
  </si>
  <si>
    <t>6,85(1.7) và 61,69(2.0)</t>
  </si>
  <si>
    <t>0.44(1.7)và 4.7(2.0)</t>
  </si>
  <si>
    <t>83,68(1.7)+32,4(2.0)</t>
  </si>
  <si>
    <t>14,06( 1.7)+7,11(2.0)</t>
  </si>
  <si>
    <t>63,02(mua)</t>
  </si>
  <si>
    <t>1,95(mua)</t>
  </si>
  <si>
    <t>58,01(bán)</t>
  </si>
  <si>
    <t>72,05 (2.0) mua</t>
  </si>
  <si>
    <t>2,23(2.0)mua</t>
  </si>
  <si>
    <t>33,15(1.7)bán</t>
  </si>
  <si>
    <t>33,15(1,7) bán</t>
  </si>
  <si>
    <t>66,30(1.7)bán</t>
  </si>
  <si>
    <t>45,03(2.0) mua</t>
  </si>
  <si>
    <t>1.4(2.0)mua</t>
  </si>
  <si>
    <t>46,16(2.0) mua</t>
  </si>
  <si>
    <t>1,43(2.0) mua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</si>
</sst>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7">
    <font>
      <sz val="11.0"/>
      <color theme="1"/>
      <name val="Calibri"/>
      <scheme val="minor"/>
    </font>
    <font>
      <b/>
      <sz val="16.0"/>
      <color theme="1"/>
      <name val="Times New Roman"/>
    </font>
    <font>
      <sz val="13.0"/>
      <color theme="1"/>
      <name val="Times New Roman"/>
    </font>
    <font/>
    <font>
      <sz val="13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5" fillId="0" fontId="2" numFmtId="14" xfId="0" applyAlignment="1" applyBorder="1" applyFont="1" applyNumberFormat="1">
      <alignment horizontal="center" readingOrder="0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6" fillId="0" fontId="2" numFmtId="14" xfId="0" applyAlignment="1" applyBorder="1" applyFont="1" applyNumberForma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6" fillId="0" fontId="2" numFmtId="14" xfId="0" applyAlignment="1" applyBorder="1" applyFont="1" applyNumberFormat="1">
      <alignment horizontal="center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6" fillId="0" fontId="2" numFmtId="4" xfId="0" applyAlignment="1" applyBorder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readingOrder="0"/>
    </xf>
    <xf borderId="6" fillId="0" fontId="4" numFmtId="164" xfId="0" applyAlignment="1" applyBorder="1" applyFont="1" applyNumberForma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0"/>
    <col customWidth="1" min="3" max="3" width="15.86"/>
    <col customWidth="1" min="4" max="5" width="12.71"/>
    <col customWidth="1" min="6" max="6" width="11.43"/>
    <col customWidth="1" min="7" max="8" width="10.57"/>
    <col customWidth="1" min="9" max="9" width="12.71"/>
    <col customWidth="1" min="10" max="13" width="9.43"/>
    <col customWidth="1" min="14" max="26" width="8.0"/>
  </cols>
  <sheetData>
    <row r="3" ht="20.25" customHeight="1">
      <c r="A3" s="1" t="s">
        <v>0</v>
      </c>
    </row>
    <row r="4" ht="16.5" customHeight="1">
      <c r="A4" s="2"/>
      <c r="B4" s="3"/>
      <c r="C4" s="3"/>
      <c r="D4" s="3"/>
      <c r="E4" s="3"/>
      <c r="F4" s="3"/>
      <c r="G4" s="3"/>
      <c r="H4" s="3"/>
    </row>
    <row r="5" ht="16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5" t="s">
        <v>11</v>
      </c>
      <c r="L5" s="6"/>
      <c r="M5" s="7"/>
    </row>
    <row r="6" ht="16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9" t="s">
        <v>12</v>
      </c>
      <c r="L6" s="9" t="s">
        <v>13</v>
      </c>
      <c r="M6" s="9" t="s">
        <v>14</v>
      </c>
    </row>
    <row r="7" ht="17.25" customHeight="1">
      <c r="A7" s="10">
        <f t="shared" ref="A7:A37" si="1">A6+1</f>
        <v>1</v>
      </c>
      <c r="B7" s="11">
        <v>44986.0</v>
      </c>
      <c r="C7" s="10"/>
      <c r="D7" s="10">
        <f>11520+11130+9670+10530+9670+13700+13180+8980+10730+7910+7980+35180</f>
        <v>150180</v>
      </c>
      <c r="E7" s="10">
        <f>9290+6230+5500+8360+5910+6630+4890+5900+13500+7410+2960+6040+6370+5940+6410+13130+8040+6060</f>
        <v>128570</v>
      </c>
      <c r="F7" s="10"/>
      <c r="G7" s="10"/>
      <c r="H7" s="10"/>
      <c r="I7" s="12"/>
      <c r="J7" s="9"/>
      <c r="K7" s="9"/>
      <c r="L7" s="9"/>
      <c r="M7" s="9"/>
    </row>
    <row r="8" ht="17.25" customHeight="1">
      <c r="A8" s="13">
        <f t="shared" si="1"/>
        <v>2</v>
      </c>
      <c r="B8" s="14">
        <v>44987.0</v>
      </c>
      <c r="C8" s="10"/>
      <c r="D8" s="13">
        <f>15460+7500+13460+6830+12560+13420+11270</f>
        <v>80500</v>
      </c>
      <c r="E8" s="15">
        <v>163350.0</v>
      </c>
      <c r="F8" s="13">
        <f>7860+6820</f>
        <v>14680</v>
      </c>
      <c r="G8" s="13"/>
      <c r="H8" s="13"/>
      <c r="I8" s="9"/>
      <c r="J8" s="9"/>
      <c r="K8" s="9"/>
      <c r="L8" s="9"/>
      <c r="M8" s="9"/>
    </row>
    <row r="9" ht="17.25" customHeight="1">
      <c r="A9" s="13">
        <f t="shared" si="1"/>
        <v>3</v>
      </c>
      <c r="B9" s="14">
        <v>44988.0</v>
      </c>
      <c r="C9" s="13"/>
      <c r="D9" s="16">
        <v>153580.0</v>
      </c>
      <c r="E9" s="16">
        <v>255870.0</v>
      </c>
      <c r="F9" s="16">
        <v>16700.0</v>
      </c>
      <c r="G9" s="13"/>
      <c r="H9" s="13"/>
      <c r="I9" s="9"/>
      <c r="J9" s="9"/>
      <c r="K9" s="9"/>
      <c r="L9" s="9"/>
      <c r="M9" s="9"/>
      <c r="O9" s="10"/>
    </row>
    <row r="10" ht="17.25" customHeight="1">
      <c r="A10" s="13">
        <f t="shared" si="1"/>
        <v>4</v>
      </c>
      <c r="B10" s="17">
        <v>44989.0</v>
      </c>
      <c r="C10" s="13"/>
      <c r="D10" s="13">
        <f>9400+11010+8600+11890+10750+13800+7240+6200+8340+7990+11400+3050+10640</f>
        <v>120310</v>
      </c>
      <c r="E10" s="16">
        <v>219380.0</v>
      </c>
      <c r="F10" s="16">
        <v>15190.0</v>
      </c>
      <c r="G10" s="13"/>
      <c r="H10" s="13"/>
      <c r="I10" s="9"/>
      <c r="J10" s="9">
        <f>33580+27880</f>
        <v>61460</v>
      </c>
      <c r="K10" s="18" t="s">
        <v>15</v>
      </c>
      <c r="L10" s="18" t="s">
        <v>16</v>
      </c>
      <c r="M10" s="9"/>
    </row>
    <row r="11" ht="17.25" customHeight="1">
      <c r="A11" s="13">
        <f t="shared" si="1"/>
        <v>5</v>
      </c>
      <c r="B11" s="14">
        <v>44990.0</v>
      </c>
      <c r="C11" s="13"/>
      <c r="D11" s="16">
        <v>148120.0</v>
      </c>
      <c r="E11" s="16">
        <v>182160.0</v>
      </c>
      <c r="F11" s="16">
        <v>7360.0</v>
      </c>
      <c r="G11" s="13"/>
      <c r="H11" s="13"/>
      <c r="I11" s="18">
        <v>281840.0</v>
      </c>
      <c r="J11" s="9"/>
      <c r="K11" s="9"/>
      <c r="L11" s="9"/>
      <c r="M11" s="9"/>
    </row>
    <row r="12" ht="17.25" customHeight="1">
      <c r="A12" s="13">
        <f t="shared" si="1"/>
        <v>6</v>
      </c>
      <c r="B12" s="14">
        <v>44991.0</v>
      </c>
      <c r="C12" s="13"/>
      <c r="D12" s="16">
        <v>107990.0</v>
      </c>
      <c r="E12" s="16">
        <v>87100.0</v>
      </c>
      <c r="F12" s="16">
        <v>15090.0</v>
      </c>
      <c r="G12" s="13"/>
      <c r="H12" s="13"/>
      <c r="I12" s="18">
        <v>349270.0</v>
      </c>
      <c r="J12" s="9"/>
      <c r="K12" s="18" t="s">
        <v>17</v>
      </c>
      <c r="L12" s="18" t="s">
        <v>18</v>
      </c>
      <c r="M12" s="9"/>
    </row>
    <row r="13" ht="17.25" customHeight="1">
      <c r="A13" s="13">
        <f t="shared" si="1"/>
        <v>7</v>
      </c>
      <c r="B13" s="14">
        <v>44992.0</v>
      </c>
      <c r="C13" s="13"/>
      <c r="D13" s="16">
        <v>150000.0</v>
      </c>
      <c r="E13" s="16">
        <v>150940.0</v>
      </c>
      <c r="F13" s="16">
        <v>20720.0</v>
      </c>
      <c r="G13" s="13"/>
      <c r="H13" s="13"/>
      <c r="I13" s="9">
        <f>34970+36740+36430</f>
        <v>108140</v>
      </c>
      <c r="J13" s="9"/>
      <c r="K13" s="9"/>
      <c r="L13" s="9"/>
      <c r="M13" s="9"/>
    </row>
    <row r="14" ht="17.25" customHeight="1">
      <c r="A14" s="13">
        <f t="shared" si="1"/>
        <v>8</v>
      </c>
      <c r="B14" s="14">
        <v>44993.0</v>
      </c>
      <c r="C14" s="13"/>
      <c r="D14" s="13">
        <f>11520+9560+10750+4870+9250+15910+12760+8180+3980+14480</f>
        <v>101260</v>
      </c>
      <c r="E14" s="13">
        <f>10180+10820+7250+6330+11940+3900+6710+6830+10210+13270+4060+8630+13330+4640</f>
        <v>118100</v>
      </c>
      <c r="F14" s="13">
        <f>8170+6860+4480</f>
        <v>19510</v>
      </c>
      <c r="G14" s="13"/>
      <c r="H14" s="13"/>
      <c r="I14" s="9">
        <f>38850+34720+31660+34580</f>
        <v>139810</v>
      </c>
      <c r="J14" s="9"/>
      <c r="K14" s="9"/>
      <c r="L14" s="9"/>
      <c r="M14" s="9"/>
    </row>
    <row r="15" ht="17.25" customHeight="1">
      <c r="A15" s="13">
        <f t="shared" si="1"/>
        <v>9</v>
      </c>
      <c r="B15" s="14">
        <v>44994.0</v>
      </c>
      <c r="C15" s="13"/>
      <c r="D15" s="13">
        <f>8540+5350+5520+9560+5880+9110+17420+10660+10970+9450+10740+8150</f>
        <v>111350</v>
      </c>
      <c r="E15" s="13">
        <f>7780+7970+8890+10550+8930+8770+6150+15040+6700+7510+4660+8510+13330+9110+5470+6520+7470</f>
        <v>143360</v>
      </c>
      <c r="F15" s="16">
        <v>6910.0</v>
      </c>
      <c r="G15" s="13"/>
      <c r="H15" s="13"/>
      <c r="I15" s="9">
        <f>31890+35090+39650+34440+32600</f>
        <v>173670</v>
      </c>
      <c r="J15" s="9"/>
      <c r="K15" s="9"/>
      <c r="L15" s="18" t="s">
        <v>19</v>
      </c>
      <c r="M15" s="9"/>
    </row>
    <row r="16" ht="17.25" customHeight="1">
      <c r="A16" s="13">
        <f t="shared" si="1"/>
        <v>10</v>
      </c>
      <c r="B16" s="14">
        <v>44995.0</v>
      </c>
      <c r="C16" s="13"/>
      <c r="D16" s="13">
        <f>10340+9530+9110+13540+8390+9630+9180+14830+9780+7350+8670</f>
        <v>110350</v>
      </c>
      <c r="E16" s="13">
        <f>6730+14180+5840+6580+4430+7600+6070+3000+9440+10440+10810+8790+6210+4270+6120</f>
        <v>110510</v>
      </c>
      <c r="F16" s="13"/>
      <c r="G16" s="13"/>
      <c r="H16" s="13"/>
      <c r="I16" s="9">
        <f>36200+32132+34620</f>
        <v>102952</v>
      </c>
      <c r="J16" s="18">
        <v>32640.0</v>
      </c>
      <c r="K16" s="18" t="s">
        <v>20</v>
      </c>
      <c r="L16" s="18" t="s">
        <v>21</v>
      </c>
      <c r="M16" s="9"/>
    </row>
    <row r="17" ht="17.25" customHeight="1">
      <c r="A17" s="13">
        <f t="shared" si="1"/>
        <v>11</v>
      </c>
      <c r="B17" s="14">
        <v>44996.0</v>
      </c>
      <c r="C17" s="13"/>
      <c r="D17" s="13">
        <f>12400+3410+9090+10300+5940+10140+10840+9880+9820+8270+11070+6210+15990+11800</f>
        <v>135160</v>
      </c>
      <c r="E17" s="13">
        <f>3880+5170+10450+6000+6900+5930+5330+6370+7470+8530+14330+6300+15080+4080+3890</f>
        <v>109710</v>
      </c>
      <c r="F17" s="16">
        <v>8580.0</v>
      </c>
      <c r="G17" s="13"/>
      <c r="H17" s="13"/>
      <c r="I17" s="9">
        <f>35940+36660+31410+37140</f>
        <v>141150</v>
      </c>
      <c r="J17" s="9"/>
      <c r="K17" s="18" t="s">
        <v>22</v>
      </c>
      <c r="L17" s="18" t="s">
        <v>23</v>
      </c>
      <c r="M17" s="9"/>
    </row>
    <row r="18" ht="17.25" customHeight="1">
      <c r="A18" s="13">
        <f t="shared" si="1"/>
        <v>12</v>
      </c>
      <c r="B18" s="14">
        <v>44997.0</v>
      </c>
      <c r="C18" s="13"/>
      <c r="D18" s="13">
        <f>8980+9410+16830+12820+12520+9790+10780+10680</f>
        <v>91810</v>
      </c>
      <c r="E18" s="13">
        <f>6390+7810+3710+4250+4910+6430+5150+8540+1010+13320+12710</f>
        <v>74230</v>
      </c>
      <c r="F18" s="13"/>
      <c r="G18" s="13"/>
      <c r="H18" s="13"/>
      <c r="I18" s="9">
        <f>35620+32360+33140+34870+33730</f>
        <v>169720</v>
      </c>
      <c r="J18" s="18">
        <v>31080.0</v>
      </c>
      <c r="K18" s="9"/>
      <c r="L18" s="9"/>
      <c r="M18" s="9"/>
    </row>
    <row r="19" ht="17.25" customHeight="1">
      <c r="A19" s="13">
        <f t="shared" si="1"/>
        <v>13</v>
      </c>
      <c r="B19" s="14">
        <v>44998.0</v>
      </c>
      <c r="C19" s="13"/>
      <c r="D19" s="13">
        <f>9800+11690+2880+12660</f>
        <v>37030</v>
      </c>
      <c r="E19" s="13">
        <f>7790+11830+2130</f>
        <v>21750</v>
      </c>
      <c r="F19" s="13"/>
      <c r="G19" s="13"/>
      <c r="H19" s="13"/>
      <c r="I19" s="9">
        <f>32680+33810+38910+35360+31580</f>
        <v>172340</v>
      </c>
      <c r="J19" s="9"/>
      <c r="K19" s="9"/>
      <c r="L19" s="9"/>
      <c r="M19" s="9"/>
    </row>
    <row r="20" ht="17.25" customHeight="1">
      <c r="A20" s="13">
        <f t="shared" si="1"/>
        <v>14</v>
      </c>
      <c r="B20" s="14">
        <v>44999.0</v>
      </c>
      <c r="C20" s="13"/>
      <c r="D20" s="16">
        <v>5630.0</v>
      </c>
      <c r="E20" s="13">
        <f>13420+4330+10020+5250+13770+15220+4590+12420+13840+4280</f>
        <v>97140</v>
      </c>
      <c r="F20" s="13"/>
      <c r="G20" s="13"/>
      <c r="H20" s="13"/>
      <c r="I20" s="9">
        <f>34060+40180+31970</f>
        <v>106210</v>
      </c>
      <c r="J20" s="18">
        <v>28070.0</v>
      </c>
      <c r="K20" s="9"/>
      <c r="L20" s="9"/>
      <c r="M20" s="9"/>
    </row>
    <row r="21" ht="17.25" customHeight="1">
      <c r="A21" s="13">
        <f t="shared" si="1"/>
        <v>15</v>
      </c>
      <c r="B21" s="14">
        <v>45000.0</v>
      </c>
      <c r="C21" s="13"/>
      <c r="D21" s="13">
        <f>9400+5860+6470+5240+9340+12580+8030+15970+6140+13890+10860+11240+4540+12730+10050+10360+9240+6280+9950+13610+4630+6700</f>
        <v>203110</v>
      </c>
      <c r="E21" s="13">
        <f>3960+2380+4240+15280+6820+5210+8300+5670+3050+5460+5450+26240+4900+4520+8080+5090+5320+7750+8680+8390+12430+4010+2260+4390+3050</f>
        <v>170930</v>
      </c>
      <c r="F21" s="13">
        <f>5300+8800+5340+5490</f>
        <v>24930</v>
      </c>
      <c r="G21" s="13"/>
      <c r="H21" s="13"/>
      <c r="I21" s="9">
        <f>35470+34710+39540+31460</f>
        <v>141180</v>
      </c>
      <c r="J21" s="9"/>
      <c r="K21" s="9"/>
      <c r="L21" s="9"/>
      <c r="M21" s="9"/>
    </row>
    <row r="22" ht="17.25" customHeight="1">
      <c r="A22" s="13">
        <f t="shared" si="1"/>
        <v>16</v>
      </c>
      <c r="B22" s="14">
        <v>45001.0</v>
      </c>
      <c r="C22" s="13"/>
      <c r="D22" s="13">
        <f>9130+10710+31580+5820+9860+5870+6170+5490+7390+7320</f>
        <v>99340</v>
      </c>
      <c r="E22" s="13">
        <f>9940+6020+5660+6860+8250+9060+20730+7320+1320+7740+7910+15870+1300+7770+1260</f>
        <v>117010</v>
      </c>
      <c r="F22" s="13">
        <f>2930+16910+3660</f>
        <v>23500</v>
      </c>
      <c r="G22" s="13"/>
      <c r="H22" s="13"/>
      <c r="I22" s="9">
        <f>32940+36230+40010+31180+32780</f>
        <v>173140</v>
      </c>
      <c r="J22" s="18">
        <v>30220.0</v>
      </c>
      <c r="K22" s="9"/>
      <c r="L22" s="9"/>
      <c r="M22" s="9"/>
    </row>
    <row r="23" ht="17.25" customHeight="1">
      <c r="A23" s="13">
        <f t="shared" si="1"/>
        <v>17</v>
      </c>
      <c r="B23" s="14">
        <v>45002.0</v>
      </c>
      <c r="C23" s="13"/>
      <c r="D23" s="13">
        <f>7230+11610+9510+9280+7420+6310</f>
        <v>51360</v>
      </c>
      <c r="E23" s="13">
        <f>8930+3480+21590+3740+20600+7230+15150+4170</f>
        <v>84890</v>
      </c>
      <c r="F23" s="13">
        <f>4540+5620</f>
        <v>10160</v>
      </c>
      <c r="G23" s="13"/>
      <c r="H23" s="13"/>
      <c r="I23" s="9">
        <f>39000+35340+32100</f>
        <v>106440</v>
      </c>
      <c r="J23" s="18">
        <v>30190.0</v>
      </c>
      <c r="K23" s="9"/>
      <c r="L23" s="9"/>
      <c r="M23" s="9"/>
    </row>
    <row r="24" ht="17.25" customHeight="1">
      <c r="A24" s="13">
        <f t="shared" si="1"/>
        <v>18</v>
      </c>
      <c r="B24" s="17">
        <v>45003.0</v>
      </c>
      <c r="C24" s="13"/>
      <c r="D24" s="13">
        <f>9140+10430+6110+6300+4190+8010+11730</f>
        <v>55910</v>
      </c>
      <c r="E24" s="13">
        <f>9240+10060+7970+11030+8210+4230+8210+9400+9200+8270+6490+3080</f>
        <v>95390</v>
      </c>
      <c r="F24" s="13">
        <f>4690+4740+4850+4750</f>
        <v>19030</v>
      </c>
      <c r="G24" s="13"/>
      <c r="H24" s="13"/>
      <c r="I24" s="9">
        <f>33850+39140+33550+35040+35530+32910</f>
        <v>210020</v>
      </c>
      <c r="J24" s="9"/>
      <c r="K24" s="18" t="s">
        <v>24</v>
      </c>
      <c r="L24" s="18" t="s">
        <v>25</v>
      </c>
      <c r="M24" s="9"/>
    </row>
    <row r="25" ht="17.25" customHeight="1">
      <c r="A25" s="13">
        <f t="shared" si="1"/>
        <v>19</v>
      </c>
      <c r="B25" s="14">
        <v>45004.0</v>
      </c>
      <c r="C25" s="13"/>
      <c r="D25" s="13">
        <f>13640+7040+10030+8880+4730+7580+6070+10110+6120+5220</f>
        <v>79420</v>
      </c>
      <c r="E25" s="13">
        <f>8890+7110+7280+13120+3980+7580+7150+6790+6940+2050+6840+4490+5180</f>
        <v>87400</v>
      </c>
      <c r="F25" s="13">
        <f>8600+3960+4090+5190+5660</f>
        <v>27500</v>
      </c>
      <c r="G25" s="13"/>
      <c r="H25" s="13"/>
      <c r="I25" s="9">
        <f>32460+34860+32060+33750+40070</f>
        <v>173200</v>
      </c>
      <c r="J25" s="18">
        <v>30490.0</v>
      </c>
      <c r="K25" s="9"/>
      <c r="L25" s="9"/>
      <c r="M25" s="9"/>
    </row>
    <row r="26" ht="17.25" customHeight="1">
      <c r="A26" s="13">
        <f t="shared" si="1"/>
        <v>20</v>
      </c>
      <c r="B26" s="14">
        <v>45005.0</v>
      </c>
      <c r="C26" s="13"/>
      <c r="D26" s="13">
        <f>16470+10130+8760+6670+7850+10690+11770+6300+5140+6990+11250+8020+9100+10610+10650+9790+9710+11970+10200+10400+9390</f>
        <v>201860</v>
      </c>
      <c r="E26" s="13">
        <f>10110+6320+7700+9900+12840+9050+6790+10390+9850+5560+6710+3290+7100+3680+7680+11010+3310+6800+6850+24620+5080+4470+4930+1960+6280+4650+4900</f>
        <v>201830</v>
      </c>
      <c r="F26" s="16">
        <v>6950.0</v>
      </c>
      <c r="G26" s="13"/>
      <c r="H26" s="13"/>
      <c r="I26" s="9">
        <f>32180+33500+35060+36820</f>
        <v>137560</v>
      </c>
      <c r="J26" s="18">
        <v>38290.0</v>
      </c>
      <c r="K26" s="9"/>
      <c r="L26" s="9"/>
      <c r="M26" s="9"/>
    </row>
    <row r="27" ht="17.25" customHeight="1">
      <c r="A27" s="13">
        <f t="shared" si="1"/>
        <v>21</v>
      </c>
      <c r="B27" s="14">
        <v>45006.0</v>
      </c>
      <c r="C27" s="13"/>
      <c r="D27" s="13">
        <f>11510+10460+13800+9990+11770+11330+10170+12060+9790+9230+10370+11210+11070+9350+7320+7530+10010+9430+6140</f>
        <v>192540</v>
      </c>
      <c r="E27" s="13">
        <f>9300+5870+4810+8190+9350+10460+9770+8800+4380+6960+6600+10770+10430+3700+7900+4460+7700+13110+4430+2500+6970+5750+4140+5920+5440+10138</f>
        <v>187848</v>
      </c>
      <c r="F27" s="13">
        <f>6560+5760</f>
        <v>12320</v>
      </c>
      <c r="G27" s="13"/>
      <c r="H27" s="13"/>
      <c r="I27" s="18">
        <v>38700.0</v>
      </c>
      <c r="J27" s="9"/>
      <c r="K27" s="9"/>
      <c r="L27" s="9"/>
      <c r="M27" s="9"/>
    </row>
    <row r="28" ht="17.25" customHeight="1">
      <c r="A28" s="13">
        <f t="shared" si="1"/>
        <v>22</v>
      </c>
      <c r="B28" s="14">
        <v>45007.0</v>
      </c>
      <c r="C28" s="13"/>
      <c r="D28" s="13">
        <f>10750+13720+8880+6400+7760+7990+7910+11530</f>
        <v>74940</v>
      </c>
      <c r="E28" s="13">
        <f>6970+10030+8550+5810+12730+4890+6300+7300+8040+8210+9450+8240+8440+4410+24910+5750+7490+13790</f>
        <v>161310</v>
      </c>
      <c r="F28" s="16">
        <v>6920.0</v>
      </c>
      <c r="G28" s="13"/>
      <c r="H28" s="13"/>
      <c r="I28" s="9"/>
      <c r="J28" s="9"/>
      <c r="K28" s="9"/>
      <c r="L28" s="9"/>
      <c r="M28" s="9"/>
    </row>
    <row r="29" ht="17.25" customHeight="1">
      <c r="A29" s="13">
        <f t="shared" si="1"/>
        <v>23</v>
      </c>
      <c r="B29" s="14">
        <v>45008.0</v>
      </c>
      <c r="C29" s="13"/>
      <c r="D29" s="13">
        <f>241807+26493</f>
        <v>268300</v>
      </c>
      <c r="E29" s="13">
        <f>178769+2001</f>
        <v>180770</v>
      </c>
      <c r="F29" s="16">
        <v>5750.0</v>
      </c>
      <c r="G29" s="13"/>
      <c r="H29" s="13"/>
      <c r="I29" s="9"/>
      <c r="J29" s="18" t="s">
        <v>26</v>
      </c>
      <c r="K29" s="18" t="s">
        <v>27</v>
      </c>
      <c r="L29" s="18" t="s">
        <v>28</v>
      </c>
      <c r="M29" s="9"/>
    </row>
    <row r="30" ht="17.25" customHeight="1">
      <c r="A30" s="13">
        <f t="shared" si="1"/>
        <v>24</v>
      </c>
      <c r="B30" s="14">
        <v>45009.0</v>
      </c>
      <c r="C30" s="13"/>
      <c r="D30" s="13">
        <f>218543+21082</f>
        <v>239625</v>
      </c>
      <c r="E30" s="13">
        <f>227172+2600</f>
        <v>229772</v>
      </c>
      <c r="F30" s="13"/>
      <c r="G30" s="13"/>
      <c r="H30" s="13"/>
      <c r="I30" s="9"/>
      <c r="J30" s="18" t="s">
        <v>29</v>
      </c>
      <c r="K30" s="18" t="s">
        <v>30</v>
      </c>
      <c r="L30" s="18" t="s">
        <v>31</v>
      </c>
      <c r="M30" s="9"/>
    </row>
    <row r="31" ht="17.25" customHeight="1">
      <c r="A31" s="13">
        <f t="shared" si="1"/>
        <v>25</v>
      </c>
      <c r="B31" s="14">
        <v>45010.0</v>
      </c>
      <c r="C31" s="13"/>
      <c r="D31" s="13">
        <f>8520+11070+6430+9520+10630+10520+15970+12670+8030+9700+9880+8270+13760+4710+10170+4840+15630+11050+10060+7500+11610+10850+5780+6450</f>
        <v>233620</v>
      </c>
      <c r="E31" s="13">
        <f>5400+8940+10820+780+2340+3630+7530+5290+4230+4200+12430+8810+4720+7710+4250+9070+3700+4490+6610+13870+3010+5450+7560+17120+8083+3080+8500+3810+3830</f>
        <v>189263</v>
      </c>
      <c r="F31" s="13"/>
      <c r="G31" s="13"/>
      <c r="H31" s="13"/>
      <c r="I31" s="9"/>
      <c r="J31" s="18" t="s">
        <v>32</v>
      </c>
      <c r="K31" s="9"/>
      <c r="L31" s="9"/>
      <c r="M31" s="9"/>
    </row>
    <row r="32" ht="17.25" customHeight="1">
      <c r="A32" s="13">
        <f t="shared" si="1"/>
        <v>26</v>
      </c>
      <c r="B32" s="14">
        <v>45011.0</v>
      </c>
      <c r="C32" s="13"/>
      <c r="D32" s="13">
        <f>6360+8190</f>
        <v>14550</v>
      </c>
      <c r="E32" s="13">
        <f>7020+8700+8870+8960+13910+5590+4420+13070+5140+8380+8240</f>
        <v>92300</v>
      </c>
      <c r="F32" s="13"/>
      <c r="G32" s="13"/>
      <c r="H32" s="13"/>
      <c r="I32" s="9">
        <f>38090+33890+34790+32020</f>
        <v>138790</v>
      </c>
      <c r="J32" s="18" t="s">
        <v>33</v>
      </c>
      <c r="K32" s="9"/>
      <c r="L32" s="9"/>
      <c r="M32" s="9"/>
    </row>
    <row r="33" ht="17.25" customHeight="1">
      <c r="A33" s="13">
        <f t="shared" si="1"/>
        <v>27</v>
      </c>
      <c r="B33" s="14">
        <v>45012.0</v>
      </c>
      <c r="C33" s="13"/>
      <c r="D33" s="13">
        <f>11240+10510+7710+7030</f>
        <v>36490</v>
      </c>
      <c r="E33" s="13">
        <f>8400+9660+15930+19380</f>
        <v>53370</v>
      </c>
      <c r="F33" s="13"/>
      <c r="G33" s="13"/>
      <c r="H33" s="13"/>
      <c r="I33" s="9">
        <f>34230+36810+32520+37570+32650+32960+29730</f>
        <v>236470</v>
      </c>
      <c r="J33" s="18" t="s">
        <v>34</v>
      </c>
      <c r="K33" s="9"/>
      <c r="L33" s="9"/>
      <c r="M33" s="9"/>
    </row>
    <row r="34" ht="17.25" customHeight="1">
      <c r="A34" s="13">
        <f t="shared" si="1"/>
        <v>28</v>
      </c>
      <c r="B34" s="14">
        <v>45013.0</v>
      </c>
      <c r="C34" s="13"/>
      <c r="D34" s="16">
        <v>11070.0</v>
      </c>
      <c r="E34" s="13">
        <f>9070+15620+16480</f>
        <v>41170</v>
      </c>
      <c r="F34" s="13"/>
      <c r="G34" s="13"/>
      <c r="H34" s="13"/>
      <c r="I34" s="9">
        <f>31760+33350+38380+32790</f>
        <v>136280</v>
      </c>
      <c r="J34" s="18" t="s">
        <v>35</v>
      </c>
      <c r="K34" s="9"/>
      <c r="L34" s="9"/>
      <c r="M34" s="9"/>
    </row>
    <row r="35" ht="17.25" customHeight="1">
      <c r="A35" s="13">
        <f t="shared" si="1"/>
        <v>29</v>
      </c>
      <c r="B35" s="14">
        <v>45014.0</v>
      </c>
      <c r="C35" s="13"/>
      <c r="D35" s="13">
        <f>10890</f>
        <v>10890</v>
      </c>
      <c r="E35" s="13">
        <f>9980+9930+7270+11890+14210</f>
        <v>53280</v>
      </c>
      <c r="F35" s="13"/>
      <c r="G35" s="13"/>
      <c r="H35" s="13"/>
      <c r="I35" s="9">
        <f>32010+32710+32470</f>
        <v>97190</v>
      </c>
      <c r="J35" s="18" t="s">
        <v>36</v>
      </c>
      <c r="K35" s="9"/>
      <c r="L35" s="9"/>
      <c r="M35" s="9"/>
    </row>
    <row r="36" ht="17.25" customHeight="1">
      <c r="A36" s="13">
        <f t="shared" si="1"/>
        <v>30</v>
      </c>
      <c r="B36" s="14">
        <v>45015.0</v>
      </c>
      <c r="C36" s="13"/>
      <c r="D36" s="13">
        <f>12770+11110+8600</f>
        <v>32480</v>
      </c>
      <c r="E36" s="13">
        <f>10480+6310+3630</f>
        <v>20420</v>
      </c>
      <c r="F36" s="13"/>
      <c r="G36" s="13"/>
      <c r="H36" s="13"/>
      <c r="I36" s="9">
        <f>29790+30780+32680+33890+36230+29380</f>
        <v>192750</v>
      </c>
      <c r="J36" s="18" t="s">
        <v>37</v>
      </c>
      <c r="K36" s="9"/>
      <c r="L36" s="9"/>
      <c r="M36" s="9"/>
    </row>
    <row r="37" ht="17.25" customHeight="1">
      <c r="A37" s="13">
        <f t="shared" si="1"/>
        <v>31</v>
      </c>
      <c r="B37" s="14">
        <v>45016.0</v>
      </c>
      <c r="C37" s="13"/>
      <c r="D37" s="16">
        <v>9390.0</v>
      </c>
      <c r="E37" s="16">
        <v>10270.0</v>
      </c>
      <c r="F37" s="13"/>
      <c r="G37" s="13"/>
      <c r="H37" s="13"/>
      <c r="I37" s="18">
        <v>30940.0</v>
      </c>
      <c r="J37" s="18" t="s">
        <v>38</v>
      </c>
      <c r="K37" s="9"/>
      <c r="L37" s="9"/>
      <c r="M37" s="9"/>
    </row>
    <row r="38" ht="16.5" customHeight="1">
      <c r="A38" s="13" t="s">
        <v>39</v>
      </c>
      <c r="B38" s="13"/>
      <c r="C38" s="13"/>
      <c r="D38" s="19">
        <f t="shared" ref="D38:F38" si="2">SUM(D6:D37)</f>
        <v>3318165</v>
      </c>
      <c r="E38" s="19">
        <f t="shared" si="2"/>
        <v>3839393</v>
      </c>
      <c r="F38" s="19">
        <f t="shared" si="2"/>
        <v>261800</v>
      </c>
      <c r="G38" s="19"/>
      <c r="H38" s="19"/>
      <c r="I38" s="19">
        <f t="shared" ref="I38:M38" si="3">SUM(I6:I37)</f>
        <v>3557762</v>
      </c>
      <c r="J38" s="19">
        <f t="shared" si="3"/>
        <v>282440</v>
      </c>
      <c r="K38" s="19">
        <f t="shared" si="3"/>
        <v>0</v>
      </c>
      <c r="L38" s="19">
        <f t="shared" si="3"/>
        <v>0</v>
      </c>
      <c r="M38" s="19">
        <f t="shared" si="3"/>
        <v>0</v>
      </c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ht="15.75" customHeight="1">
      <c r="D40" s="13"/>
      <c r="E40" s="13"/>
    </row>
    <row r="41" ht="15.75" customHeight="1"/>
    <row r="42" ht="15.75" customHeight="1"/>
    <row r="43" ht="15.75" customHeight="1"/>
    <row r="44" ht="15.75" customHeight="1">
      <c r="D44" s="13"/>
      <c r="E44" s="1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G5:G6"/>
    <mergeCell ref="H5:H6"/>
    <mergeCell ref="I5:I6"/>
    <mergeCell ref="J5:J6"/>
    <mergeCell ref="A3:M3"/>
    <mergeCell ref="A5:A6"/>
    <mergeCell ref="B5:B6"/>
    <mergeCell ref="C5:C6"/>
    <mergeCell ref="D5:D6"/>
    <mergeCell ref="E5:E6"/>
    <mergeCell ref="F5:F6"/>
    <mergeCell ref="K5:M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0"/>
    <col customWidth="1" min="3" max="3" width="15.86"/>
    <col customWidth="1" min="4" max="5" width="12.71"/>
    <col customWidth="1" min="6" max="6" width="11.43"/>
    <col customWidth="1" min="7" max="9" width="10.57"/>
    <col customWidth="1" min="10" max="10" width="12.71"/>
    <col customWidth="1" min="11" max="15" width="9.43"/>
    <col customWidth="1" min="16" max="28" width="8.0"/>
  </cols>
  <sheetData>
    <row r="3" ht="20.25" customHeight="1">
      <c r="A3" s="1" t="s">
        <v>0</v>
      </c>
    </row>
    <row r="4" ht="16.5" customHeight="1">
      <c r="A4" s="2"/>
      <c r="B4" s="3"/>
      <c r="C4" s="3"/>
      <c r="D4" s="3"/>
      <c r="E4" s="3"/>
      <c r="F4" s="3"/>
      <c r="G4" s="3"/>
      <c r="H4" s="3"/>
      <c r="I4" s="3"/>
    </row>
    <row r="5" ht="16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21" t="s">
        <v>40</v>
      </c>
      <c r="J5" s="4" t="s">
        <v>9</v>
      </c>
      <c r="K5" s="5" t="s">
        <v>10</v>
      </c>
      <c r="L5" s="7"/>
      <c r="M5" s="22" t="s">
        <v>41</v>
      </c>
      <c r="N5" s="6"/>
      <c r="O5" s="7"/>
      <c r="P5" s="23" t="s">
        <v>42</v>
      </c>
      <c r="Q5" s="6"/>
      <c r="R5" s="7"/>
    </row>
    <row r="6" ht="16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16" t="s">
        <v>43</v>
      </c>
      <c r="L6" s="16" t="s">
        <v>44</v>
      </c>
      <c r="M6" s="9" t="s">
        <v>12</v>
      </c>
      <c r="N6" s="9" t="s">
        <v>13</v>
      </c>
      <c r="O6" s="9" t="s">
        <v>14</v>
      </c>
      <c r="P6" s="24" t="s">
        <v>12</v>
      </c>
      <c r="Q6" s="24" t="s">
        <v>13</v>
      </c>
      <c r="R6" s="25" t="s">
        <v>14</v>
      </c>
    </row>
    <row r="7" ht="17.25" customHeight="1">
      <c r="A7" s="10">
        <f t="shared" ref="A7:A37" si="1">A6+1</f>
        <v>1</v>
      </c>
      <c r="B7" s="11">
        <v>45017.0</v>
      </c>
      <c r="C7" s="10"/>
      <c r="D7" s="10">
        <f>6660</f>
        <v>6660</v>
      </c>
      <c r="E7" s="10">
        <f>8010+12230</f>
        <v>20240</v>
      </c>
      <c r="F7" s="10"/>
      <c r="G7" s="10"/>
      <c r="H7" s="9"/>
      <c r="I7" s="9"/>
      <c r="J7" s="12"/>
      <c r="K7" s="18">
        <v>21260.0</v>
      </c>
      <c r="L7" s="9"/>
      <c r="M7" s="9"/>
      <c r="N7" s="18">
        <v>33.15</v>
      </c>
      <c r="O7" s="18">
        <v>33.15</v>
      </c>
      <c r="P7" s="9"/>
      <c r="Q7" s="9"/>
      <c r="R7" s="9"/>
    </row>
    <row r="8" ht="17.25" customHeight="1">
      <c r="A8" s="13">
        <f t="shared" si="1"/>
        <v>2</v>
      </c>
      <c r="B8" s="14">
        <v>45018.0</v>
      </c>
      <c r="C8" s="10"/>
      <c r="D8" s="13">
        <f>9760+9810+7270</f>
        <v>26840</v>
      </c>
      <c r="E8" s="15">
        <f>8540+7010+8300+5000+5510</f>
        <v>34360</v>
      </c>
      <c r="F8" s="16">
        <v>5930.0</v>
      </c>
      <c r="G8" s="13"/>
      <c r="H8" s="9"/>
      <c r="I8" s="9"/>
      <c r="J8" s="9"/>
      <c r="K8" s="9">
        <f>17810+13480+5290</f>
        <v>36580</v>
      </c>
      <c r="L8" s="9"/>
      <c r="M8" s="9"/>
      <c r="N8" s="9"/>
      <c r="O8" s="9"/>
      <c r="P8" s="9"/>
      <c r="Q8" s="9"/>
      <c r="R8" s="9"/>
    </row>
    <row r="9" ht="17.25" customHeight="1">
      <c r="A9" s="13">
        <f t="shared" si="1"/>
        <v>3</v>
      </c>
      <c r="B9" s="14">
        <v>45019.0</v>
      </c>
      <c r="C9" s="13"/>
      <c r="D9" s="16">
        <f>12460+9400+7290+8230+8690+4710</f>
        <v>50780</v>
      </c>
      <c r="E9" s="16">
        <f>4350+9390+6260+5720+13700+12960+6730+6840+13690</f>
        <v>79640</v>
      </c>
      <c r="F9" s="16">
        <v>5590.0</v>
      </c>
      <c r="G9" s="13"/>
      <c r="H9" s="18">
        <v>8900.0</v>
      </c>
      <c r="I9" s="18">
        <v>9360.0</v>
      </c>
      <c r="J9" s="18">
        <v>33740.0</v>
      </c>
      <c r="K9" s="9">
        <f>20330+5150+6140+21980+13330+5450+5410</f>
        <v>77790</v>
      </c>
      <c r="L9" s="9">
        <f>23940+23050</f>
        <v>46990</v>
      </c>
      <c r="M9" s="9"/>
      <c r="N9" s="18">
        <v>33.15</v>
      </c>
      <c r="O9" s="9"/>
      <c r="P9" s="9"/>
      <c r="Q9" s="9"/>
      <c r="R9" s="9"/>
    </row>
    <row r="10" ht="17.25" customHeight="1">
      <c r="A10" s="13">
        <f t="shared" si="1"/>
        <v>4</v>
      </c>
      <c r="B10" s="14">
        <v>45020.0</v>
      </c>
      <c r="C10" s="13"/>
      <c r="D10" s="13">
        <f>9030+7770+8030+9130+10600+7340+4170+6100+3380+10800+8080+10750+4780+5860+8030+6690+12510+15280+11500+11780+11920+10710+9900+13130+11940</f>
        <v>229210</v>
      </c>
      <c r="E10" s="16">
        <f>8010+6550+12070+7960+5180+7150+5970+10690+13640+5620+4560+5690+5060+4400+9240+5330+2030+3560+13410+5860+5440</f>
        <v>147420</v>
      </c>
      <c r="F10" s="16"/>
      <c r="G10" s="13"/>
      <c r="H10" s="18">
        <v>9039.0</v>
      </c>
      <c r="I10" s="18"/>
      <c r="J10" s="9">
        <f>35640+33170+30430+32840</f>
        <v>132080</v>
      </c>
      <c r="K10" s="9">
        <f>5030+5240+13140+16580</f>
        <v>39990</v>
      </c>
      <c r="L10" s="18">
        <f>25140+23280</f>
        <v>48420</v>
      </c>
      <c r="M10" s="18"/>
      <c r="N10" s="18" t="s">
        <v>45</v>
      </c>
      <c r="O10" s="9">
        <f>16.57</f>
        <v>16.57</v>
      </c>
      <c r="P10" s="18"/>
      <c r="Q10" s="18"/>
      <c r="R10" s="18">
        <f>44.12</f>
        <v>44.12</v>
      </c>
    </row>
    <row r="11" ht="17.25" customHeight="1">
      <c r="A11" s="13">
        <f t="shared" si="1"/>
        <v>5</v>
      </c>
      <c r="B11" s="14">
        <v>45021.0</v>
      </c>
      <c r="C11" s="13"/>
      <c r="D11" s="16">
        <f>11570+10090+9040+7700+9280+10520+9400+10660+11650+13780+8480+11640+10470+10760+11160+11990+13460+11490+10560+10260+8200+11280+10430+9680</f>
        <v>253550</v>
      </c>
      <c r="E11" s="16">
        <f>7250+7230+7770+6650+8400+4740+7480+7490+12950+7780+5290+8210+5450+5290+5280+5050+4090+4560+4950+14980+7270+6430+6450+3710+7840+6020+5900+12190+5450+5350+4780+13620+4560+5340+4580</f>
        <v>240380</v>
      </c>
      <c r="F11" s="16"/>
      <c r="G11" s="16">
        <v>5370.0</v>
      </c>
      <c r="H11" s="9"/>
      <c r="I11" s="9"/>
      <c r="J11" s="18">
        <f>33230+33800+34800+33630+34580+32680</f>
        <v>202720</v>
      </c>
      <c r="K11" s="9">
        <f>14260+17650+12700+5320</f>
        <v>49930</v>
      </c>
      <c r="L11" s="9">
        <f>21910+22440</f>
        <v>44350</v>
      </c>
      <c r="M11" s="9"/>
      <c r="N11" s="18">
        <v>32.87</v>
      </c>
      <c r="O11" s="9"/>
      <c r="P11" s="9"/>
      <c r="Q11" s="9"/>
      <c r="R11" s="9"/>
    </row>
    <row r="12" ht="17.25" customHeight="1">
      <c r="A12" s="13">
        <f t="shared" si="1"/>
        <v>6</v>
      </c>
      <c r="B12" s="14">
        <v>45022.0</v>
      </c>
      <c r="C12" s="13"/>
      <c r="D12" s="16">
        <f>8170+8960+11340+8430+11300+11460+12540+9350+8650+12680+10210+10040+9000+10360+13720+12070+8870+9350+10990</f>
        <v>197490</v>
      </c>
      <c r="E12" s="16">
        <f>8020+4750+2310+6550+4650+7190+7370+8380+10410+6330+9840+6880+6940+13100+5950+4100+5850+7090+5240+4710+4080+5710+5090</f>
        <v>150540</v>
      </c>
      <c r="F12" s="16">
        <v>4010.0</v>
      </c>
      <c r="G12" s="13"/>
      <c r="H12" s="18"/>
      <c r="I12" s="18"/>
      <c r="J12" s="16">
        <f>33470+31870+34850+33130+32400</f>
        <v>165720</v>
      </c>
      <c r="K12" s="9"/>
      <c r="L12" s="18">
        <v>20500.0</v>
      </c>
      <c r="M12" s="18"/>
      <c r="N12" s="18"/>
      <c r="O12" s="9"/>
      <c r="P12" s="18"/>
      <c r="Q12" s="18"/>
      <c r="R12" s="18"/>
    </row>
    <row r="13" ht="17.25" customHeight="1">
      <c r="A13" s="13">
        <f t="shared" si="1"/>
        <v>7</v>
      </c>
      <c r="B13" s="14">
        <v>45023.0</v>
      </c>
      <c r="C13" s="13"/>
      <c r="D13" s="16">
        <f>5330+11340+11110+8330+9710+4630+8020+7160+8310+6330+6500+12020+11550+11230+10020+11400+13900+9660</f>
        <v>166550</v>
      </c>
      <c r="E13" s="16">
        <f>4570+4700+8210+7070+10030+9950+5570+6640+5290+9420+6860+7980+4640+6210+15370+5590+3710</f>
        <v>121810</v>
      </c>
      <c r="F13" s="16"/>
      <c r="G13" s="13"/>
      <c r="H13" s="18">
        <v>9910.0</v>
      </c>
      <c r="I13" s="18">
        <v>5690.0</v>
      </c>
      <c r="J13" s="9">
        <f>26840+32380+32270+31380</f>
        <v>122870</v>
      </c>
      <c r="K13" s="9"/>
      <c r="L13" s="18">
        <v>20840.0</v>
      </c>
      <c r="M13" s="9"/>
      <c r="N13" s="9"/>
      <c r="O13" s="9"/>
      <c r="P13" s="9"/>
      <c r="Q13" s="9"/>
      <c r="R13" s="9"/>
    </row>
    <row r="14" ht="17.25" customHeight="1">
      <c r="A14" s="13">
        <f t="shared" si="1"/>
        <v>8</v>
      </c>
      <c r="B14" s="14">
        <v>45024.0</v>
      </c>
      <c r="C14" s="13"/>
      <c r="D14" s="13">
        <f>11020+11770+7900+6910+13090+9620+7740+7660</f>
        <v>75710</v>
      </c>
      <c r="E14" s="13">
        <f>5700+9450+7490+8360+5000+24780</f>
        <v>60780</v>
      </c>
      <c r="F14" s="13"/>
      <c r="G14" s="13"/>
      <c r="H14" s="18"/>
      <c r="I14" s="18">
        <v>9790.0</v>
      </c>
      <c r="J14" s="9">
        <f>32650+32500+34640</f>
        <v>99790</v>
      </c>
      <c r="K14" s="18">
        <v>18100.0</v>
      </c>
      <c r="L14" s="18">
        <v>20840.0</v>
      </c>
      <c r="M14" s="18" t="s">
        <v>46</v>
      </c>
      <c r="N14" s="18" t="s">
        <v>47</v>
      </c>
      <c r="O14" s="9"/>
      <c r="P14" s="9"/>
      <c r="Q14" s="9"/>
      <c r="R14" s="9"/>
    </row>
    <row r="15" ht="17.25" customHeight="1">
      <c r="A15" s="13">
        <f t="shared" si="1"/>
        <v>9</v>
      </c>
      <c r="B15" s="14">
        <v>45025.0</v>
      </c>
      <c r="C15" s="13"/>
      <c r="D15" s="13">
        <f>8440+7870+6740</f>
        <v>23050</v>
      </c>
      <c r="E15" s="13">
        <f>7820+8720+6160+8950+6290+4590+13450+5520+5500+7340</f>
        <v>74340</v>
      </c>
      <c r="F15" s="16"/>
      <c r="G15" s="13"/>
      <c r="H15" s="9"/>
      <c r="I15" s="9"/>
      <c r="J15" s="18">
        <v>32580.0</v>
      </c>
      <c r="K15" s="9">
        <f>19390+11530</f>
        <v>30920</v>
      </c>
      <c r="L15" s="18">
        <v>31560.0</v>
      </c>
      <c r="M15" s="9"/>
      <c r="N15" s="18"/>
      <c r="O15" s="9"/>
      <c r="P15" s="9"/>
      <c r="Q15" s="18">
        <v>24.0</v>
      </c>
      <c r="R15" s="9"/>
    </row>
    <row r="16" ht="17.25" customHeight="1">
      <c r="A16" s="13">
        <f t="shared" si="1"/>
        <v>10</v>
      </c>
      <c r="B16" s="14">
        <v>45026.0</v>
      </c>
      <c r="C16" s="13"/>
      <c r="D16" s="13">
        <f>10410+9460+11870+4420+11350+12610+7680+10900+10440+10860+6430+12540+13350+4790+17450+11620+4760+12710+13370+12120+9220</f>
        <v>218360</v>
      </c>
      <c r="E16" s="13">
        <f>6290+6220+7190+7610+25440+5140+1310+7810+5710+8830+7290+5970+5240+43070+5030+4810+4810+5320+4080</f>
        <v>167170</v>
      </c>
      <c r="F16" s="13"/>
      <c r="G16" s="13"/>
      <c r="H16" s="18"/>
      <c r="I16" s="18">
        <v>10240.0</v>
      </c>
      <c r="J16" s="9">
        <f>31760+31310+32780+33220</f>
        <v>129070</v>
      </c>
      <c r="K16" s="9">
        <f>23050+15660+5350</f>
        <v>44060</v>
      </c>
      <c r="L16" s="18"/>
      <c r="M16" s="18"/>
      <c r="N16" s="18"/>
      <c r="O16" s="18" t="s">
        <v>48</v>
      </c>
      <c r="P16" s="18"/>
      <c r="Q16" s="18"/>
      <c r="R16" s="18"/>
    </row>
    <row r="17" ht="17.25" customHeight="1">
      <c r="A17" s="13">
        <f t="shared" si="1"/>
        <v>11</v>
      </c>
      <c r="B17" s="14">
        <v>45027.0</v>
      </c>
      <c r="C17" s="13"/>
      <c r="D17" s="13">
        <f>11190+12400+16030+11470+9470+7410+9130+12330+7080+14830+7480+9020+10360+13270+8050+11750+14900+4840</f>
        <v>191010</v>
      </c>
      <c r="E17" s="13">
        <f>4060+4430+4080+9070+9240+4910+8330+4680+7040+6040+10390+10900+3700+8630+4690+6900+6040+7050+26440+11100+2680+5170+5050+6600+4560+5990+7760+10020</f>
        <v>205550</v>
      </c>
      <c r="F17" s="16"/>
      <c r="G17" s="13"/>
      <c r="H17" s="18"/>
      <c r="I17" s="18"/>
      <c r="J17" s="9">
        <f>32160+32670+34310+33520+31340</f>
        <v>164000</v>
      </c>
      <c r="K17" s="9">
        <f>20390+6170</f>
        <v>26560</v>
      </c>
      <c r="L17" s="18"/>
      <c r="M17" s="18"/>
      <c r="N17" s="18"/>
      <c r="O17" s="9"/>
      <c r="P17" s="18"/>
      <c r="Q17" s="18"/>
      <c r="R17" s="18"/>
    </row>
    <row r="18" ht="17.25" customHeight="1">
      <c r="A18" s="13">
        <f t="shared" si="1"/>
        <v>12</v>
      </c>
      <c r="B18" s="14">
        <v>45028.0</v>
      </c>
      <c r="C18" s="13"/>
      <c r="D18" s="13">
        <f>11820+11290+12990+8160</f>
        <v>44260</v>
      </c>
      <c r="E18" s="13">
        <f>9420+5420+12930</f>
        <v>27770</v>
      </c>
      <c r="F18" s="13"/>
      <c r="G18" s="13"/>
      <c r="H18" s="9"/>
      <c r="I18" s="9"/>
      <c r="J18" s="9">
        <f>27050+31940+31050+34590</f>
        <v>124630</v>
      </c>
      <c r="K18" s="18">
        <f>21360+23100+21910+5690</f>
        <v>72060</v>
      </c>
      <c r="L18" s="18">
        <v>28020.0</v>
      </c>
      <c r="M18" s="9"/>
      <c r="N18" s="9"/>
      <c r="O18" s="9"/>
      <c r="P18" s="9"/>
      <c r="Q18" s="9"/>
      <c r="R18" s="9"/>
    </row>
    <row r="19" ht="17.25" customHeight="1">
      <c r="A19" s="13">
        <f t="shared" si="1"/>
        <v>13</v>
      </c>
      <c r="B19" s="14">
        <v>45029.0</v>
      </c>
      <c r="C19" s="13"/>
      <c r="D19" s="13">
        <f>7980</f>
        <v>7980</v>
      </c>
      <c r="E19" s="13">
        <f>3520</f>
        <v>3520</v>
      </c>
      <c r="F19" s="13"/>
      <c r="G19" s="13"/>
      <c r="H19" s="9"/>
      <c r="I19" s="9"/>
      <c r="J19" s="9"/>
      <c r="K19" s="9">
        <f>11130</f>
        <v>11130</v>
      </c>
      <c r="L19" s="9">
        <f>35040+32980</f>
        <v>68020</v>
      </c>
      <c r="M19" s="9"/>
      <c r="N19" s="9"/>
      <c r="O19" s="9"/>
      <c r="P19" s="9"/>
      <c r="Q19" s="9"/>
      <c r="R19" s="9"/>
    </row>
    <row r="20" ht="17.25" customHeight="1">
      <c r="A20" s="13">
        <f t="shared" si="1"/>
        <v>14</v>
      </c>
      <c r="B20" s="14">
        <v>45030.0</v>
      </c>
      <c r="C20" s="13"/>
      <c r="D20" s="16">
        <f>7710+7000+5460</f>
        <v>20170</v>
      </c>
      <c r="E20" s="13">
        <f>11690+10880+12320+12080</f>
        <v>46970</v>
      </c>
      <c r="F20" s="13"/>
      <c r="G20" s="13"/>
      <c r="H20" s="9"/>
      <c r="I20" s="18">
        <v>8590.0</v>
      </c>
      <c r="J20" s="9"/>
      <c r="K20" s="18">
        <v>13690.0</v>
      </c>
      <c r="L20" s="9"/>
      <c r="M20" s="9"/>
      <c r="N20" s="9"/>
      <c r="O20" s="9"/>
      <c r="P20" s="9"/>
      <c r="Q20" s="9"/>
      <c r="R20" s="9"/>
    </row>
    <row r="21" ht="17.25" customHeight="1">
      <c r="A21" s="13">
        <f t="shared" si="1"/>
        <v>15</v>
      </c>
      <c r="B21" s="14">
        <v>45031.0</v>
      </c>
      <c r="C21" s="13"/>
      <c r="D21" s="13">
        <f>34150</f>
        <v>34150</v>
      </c>
      <c r="E21" s="13">
        <f>9600+22520+13070+16090</f>
        <v>61280</v>
      </c>
      <c r="F21" s="13"/>
      <c r="G21" s="13"/>
      <c r="H21" s="9"/>
      <c r="I21" s="9"/>
      <c r="J21" s="9"/>
      <c r="K21" s="9"/>
      <c r="L21" s="18">
        <v>29010.0</v>
      </c>
      <c r="M21" s="9"/>
      <c r="N21" s="9"/>
      <c r="O21" s="9"/>
      <c r="P21" s="9"/>
      <c r="Q21" s="9"/>
      <c r="R21" s="9"/>
    </row>
    <row r="22" ht="17.25" customHeight="1">
      <c r="A22" s="13">
        <f t="shared" si="1"/>
        <v>16</v>
      </c>
      <c r="B22" s="14">
        <v>45032.0</v>
      </c>
      <c r="C22" s="13"/>
      <c r="D22" s="16">
        <v>8020.0</v>
      </c>
      <c r="E22" s="13"/>
      <c r="F22" s="13"/>
      <c r="G22" s="13"/>
      <c r="H22" s="9"/>
      <c r="I22" s="9"/>
      <c r="J22" s="9">
        <f>34830+34870+33910</f>
        <v>103610</v>
      </c>
      <c r="K22" s="18">
        <v>17700.0</v>
      </c>
      <c r="L22" s="18">
        <v>27650.0</v>
      </c>
      <c r="M22" s="9"/>
      <c r="N22" s="9"/>
      <c r="O22" s="9"/>
      <c r="P22" s="9"/>
      <c r="Q22" s="9"/>
      <c r="R22" s="9"/>
    </row>
    <row r="23" ht="17.25" customHeight="1">
      <c r="A23" s="13">
        <f t="shared" si="1"/>
        <v>17</v>
      </c>
      <c r="B23" s="14">
        <v>45033.0</v>
      </c>
      <c r="C23" s="13"/>
      <c r="D23" s="13">
        <f>7660+8800+5160+10500</f>
        <v>32120</v>
      </c>
      <c r="E23" s="13">
        <f>5780+5580+6350+15970+5340+5440+3950+6410+8040+6320</f>
        <v>69180</v>
      </c>
      <c r="F23" s="13"/>
      <c r="G23" s="13"/>
      <c r="H23" s="9"/>
      <c r="I23" s="9"/>
      <c r="J23" s="9"/>
      <c r="K23" s="18">
        <f>17610+11320+10790+14390+20680</f>
        <v>74790</v>
      </c>
      <c r="L23" s="9"/>
      <c r="M23" s="9"/>
      <c r="N23" s="9"/>
      <c r="O23" s="9"/>
      <c r="P23" s="9"/>
      <c r="Q23" s="9"/>
      <c r="R23" s="9"/>
    </row>
    <row r="24" ht="17.25" customHeight="1">
      <c r="A24" s="13">
        <f t="shared" si="1"/>
        <v>18</v>
      </c>
      <c r="B24" s="14">
        <v>45034.0</v>
      </c>
      <c r="C24" s="13"/>
      <c r="D24" s="13">
        <f>9580+8580+6160+10050+9530+5310+8550+8830+10600+5010+6580+10730</f>
        <v>99510</v>
      </c>
      <c r="E24" s="13">
        <f>9630+9890+7780+6900+5340+7350+11260+6680+5990+12150+7930+14990+6150+4460+8500+5680+11980+7040+11860+3800+13360</f>
        <v>178720</v>
      </c>
      <c r="F24" s="13"/>
      <c r="G24" s="13"/>
      <c r="H24" s="18"/>
      <c r="I24" s="18"/>
      <c r="J24" s="9">
        <f>33330+36120+35550+35170</f>
        <v>140170</v>
      </c>
      <c r="K24" s="9"/>
      <c r="L24" s="9">
        <f>26520</f>
        <v>26520</v>
      </c>
      <c r="M24" s="18"/>
      <c r="N24" s="18"/>
      <c r="O24" s="9"/>
      <c r="P24" s="18"/>
      <c r="Q24" s="18"/>
      <c r="R24" s="18"/>
    </row>
    <row r="25" ht="17.25" customHeight="1">
      <c r="A25" s="13">
        <f t="shared" si="1"/>
        <v>19</v>
      </c>
      <c r="B25" s="14">
        <v>45035.0</v>
      </c>
      <c r="C25" s="13"/>
      <c r="D25" s="13">
        <f>8490+12100+9200+7580+4860+10060+6610+10560+8120+7780+9720+9250+6680+8300+7380+6520+7880+5140+11850+11450+8590</f>
        <v>178120</v>
      </c>
      <c r="E25" s="13">
        <f>9500+8510+5700+4250+7030+7510+6480+6090+8260+7740+9510+6940+6570+12590+5980+5110+4460+5820+7400+7140+5740+5550+7260+8530+8520</f>
        <v>178190</v>
      </c>
      <c r="F25" s="13"/>
      <c r="G25" s="13"/>
      <c r="H25" s="9"/>
      <c r="I25" s="9"/>
      <c r="J25" s="9">
        <f>33120+35130+32750+35000</f>
        <v>136000</v>
      </c>
      <c r="K25" s="18"/>
      <c r="L25" s="9">
        <f>25840</f>
        <v>25840</v>
      </c>
      <c r="M25" s="9"/>
      <c r="N25" s="9"/>
      <c r="O25" s="9"/>
      <c r="P25" s="9"/>
      <c r="Q25" s="18">
        <v>27.0</v>
      </c>
      <c r="R25" s="9"/>
    </row>
    <row r="26" ht="17.25" customHeight="1">
      <c r="A26" s="13">
        <f t="shared" si="1"/>
        <v>20</v>
      </c>
      <c r="B26" s="14">
        <v>45036.0</v>
      </c>
      <c r="C26" s="13"/>
      <c r="D26" s="13">
        <f>9920+8000+10350+11310+6070+8340+10520+5400+6500+5300+10990+6530+9250+9350</f>
        <v>117830</v>
      </c>
      <c r="E26" s="16">
        <f>6590+6300+10660+9650+5720+6860+7580+6750+7210+7070+8050+26720+6270+7860+24200+8650+7690+8770+6610+15360+4460+6440</f>
        <v>205470</v>
      </c>
      <c r="F26" s="16"/>
      <c r="G26" s="13"/>
      <c r="H26" s="18">
        <v>11590.0</v>
      </c>
      <c r="I26" s="9"/>
      <c r="J26" s="9">
        <f>36330+33790+33230+34870+33730+34280</f>
        <v>206230</v>
      </c>
      <c r="K26" s="18"/>
      <c r="L26" s="9"/>
      <c r="M26" s="9"/>
      <c r="N26" s="9"/>
      <c r="O26" s="9"/>
      <c r="P26" s="9"/>
      <c r="Q26" s="18">
        <v>16.0</v>
      </c>
      <c r="R26" s="9"/>
    </row>
    <row r="27" ht="17.25" customHeight="1">
      <c r="A27" s="13">
        <f t="shared" si="1"/>
        <v>21</v>
      </c>
      <c r="B27" s="14">
        <v>45037.0</v>
      </c>
      <c r="C27" s="13"/>
      <c r="D27" s="13">
        <f>8260+8230+11170+4550+7730+6830+3250+6690+9500+8690+6270+10520</f>
        <v>91690</v>
      </c>
      <c r="E27" s="13">
        <f>9860+9330+11630+6900+5780+13800+6320+5030+14820+7910+8610+7980+8140+6200+6600+13230+6300+7030+7480+5570+7010+12240+8050</f>
        <v>195820</v>
      </c>
      <c r="F27" s="13"/>
      <c r="G27" s="13"/>
      <c r="H27" s="18">
        <v>11710.0</v>
      </c>
      <c r="I27" s="18">
        <v>10920.0</v>
      </c>
      <c r="J27" s="18">
        <f>32680+34640+32560</f>
        <v>99880</v>
      </c>
      <c r="K27" s="9"/>
      <c r="L27" s="9"/>
      <c r="M27" s="9"/>
      <c r="N27" s="18"/>
      <c r="O27" s="9"/>
      <c r="P27" s="9"/>
      <c r="Q27" s="9"/>
      <c r="R27" s="9"/>
    </row>
    <row r="28" ht="17.25" customHeight="1">
      <c r="A28" s="13">
        <f t="shared" si="1"/>
        <v>22</v>
      </c>
      <c r="B28" s="14">
        <v>45038.0</v>
      </c>
      <c r="C28" s="13"/>
      <c r="D28" s="13">
        <f>7370+7570+9350+10600+11180+11430+10120+8940+7600+7070</f>
        <v>91230</v>
      </c>
      <c r="E28" s="13">
        <f>5900+7990+9460+7760+9290+7520+8000+28560+7470+4730+9630+6120+12430+7430+8200+7480+7440+13700+4210+7300+7610+5170+4990</f>
        <v>198390</v>
      </c>
      <c r="F28" s="16"/>
      <c r="G28" s="13"/>
      <c r="H28" s="9"/>
      <c r="I28" s="9"/>
      <c r="J28" s="9">
        <f>31770+32330+32700+34570+35040+32420</f>
        <v>198830</v>
      </c>
      <c r="K28" s="9"/>
      <c r="L28" s="9">
        <f>25580+29860</f>
        <v>55440</v>
      </c>
      <c r="M28" s="9"/>
      <c r="N28" s="18" t="s">
        <v>49</v>
      </c>
      <c r="O28" s="9"/>
      <c r="P28" s="9"/>
      <c r="Q28" s="9"/>
      <c r="R28" s="9"/>
    </row>
    <row r="29" ht="17.25" customHeight="1">
      <c r="A29" s="13">
        <f t="shared" si="1"/>
        <v>23</v>
      </c>
      <c r="B29" s="14">
        <v>45039.0</v>
      </c>
      <c r="C29" s="13"/>
      <c r="D29" s="13">
        <f>5100+9810+6980+9260+10520+9530+10160+2650+5880+12200+9650+11880</f>
        <v>103620</v>
      </c>
      <c r="E29" s="13">
        <f>8680+8670+9140+7990+7220+5820+8020+7630+6230+4770+8010+6880+9270+9380+14080+15610+13470+8080+11710+5370</f>
        <v>176030</v>
      </c>
      <c r="F29" s="16">
        <f>5800+6010</f>
        <v>11810</v>
      </c>
      <c r="G29" s="13"/>
      <c r="H29" s="18"/>
      <c r="I29" s="18"/>
      <c r="J29" s="18">
        <f>34650+33540+31730+34050+33950+33020</f>
        <v>200940</v>
      </c>
      <c r="K29" s="18"/>
      <c r="L29" s="18">
        <f>24730</f>
        <v>24730</v>
      </c>
      <c r="M29" s="18"/>
      <c r="N29" s="18"/>
      <c r="O29" s="9"/>
      <c r="P29" s="18"/>
      <c r="Q29" s="18"/>
      <c r="R29" s="18"/>
    </row>
    <row r="30" ht="17.25" customHeight="1">
      <c r="A30" s="13">
        <f t="shared" si="1"/>
        <v>24</v>
      </c>
      <c r="B30" s="14">
        <v>45040.0</v>
      </c>
      <c r="C30" s="13"/>
      <c r="D30" s="13">
        <f>10930+10580+7440+5080+8430+10870+9710+6880</f>
        <v>69920</v>
      </c>
      <c r="E30" s="13">
        <f>4760+8630+5970+3620+8170+8160+6070+8150+8530+6020+8440+6690+7760+5810</f>
        <v>96780</v>
      </c>
      <c r="F30" s="13"/>
      <c r="G30" s="13"/>
      <c r="H30" s="18"/>
      <c r="I30" s="18"/>
      <c r="J30" s="9">
        <f>31080+33270</f>
        <v>64350</v>
      </c>
      <c r="K30" s="18"/>
      <c r="L30" s="18">
        <v>25850.0</v>
      </c>
      <c r="M30" s="18"/>
      <c r="N30" s="18" t="s">
        <v>50</v>
      </c>
      <c r="O30" s="9"/>
      <c r="P30" s="18"/>
      <c r="Q30" s="18"/>
      <c r="R30" s="18"/>
    </row>
    <row r="31" ht="17.25" customHeight="1">
      <c r="A31" s="13">
        <f t="shared" si="1"/>
        <v>25</v>
      </c>
      <c r="B31" s="14">
        <v>45041.0</v>
      </c>
      <c r="C31" s="13"/>
      <c r="D31" s="13">
        <f>9930+12840+8220+8520+7390</f>
        <v>46900</v>
      </c>
      <c r="E31" s="13">
        <f>8910+9200+10150+8180+6800+8050+6520+13130</f>
        <v>70940</v>
      </c>
      <c r="F31" s="13"/>
      <c r="G31" s="13"/>
      <c r="H31" s="9"/>
      <c r="I31" s="9"/>
      <c r="J31" s="9">
        <f>35540+31410</f>
        <v>66950</v>
      </c>
      <c r="K31" s="18"/>
      <c r="L31" s="9"/>
      <c r="M31" s="9"/>
      <c r="N31" s="18" t="s">
        <v>51</v>
      </c>
      <c r="O31" s="9"/>
      <c r="P31" s="9"/>
      <c r="Q31" s="9"/>
      <c r="R31" s="9"/>
    </row>
    <row r="32" ht="17.25" customHeight="1">
      <c r="A32" s="13">
        <f t="shared" si="1"/>
        <v>26</v>
      </c>
      <c r="B32" s="14">
        <v>45042.0</v>
      </c>
      <c r="C32" s="13"/>
      <c r="D32" s="13">
        <f>4530+7900</f>
        <v>12430</v>
      </c>
      <c r="E32" s="13">
        <f>5960+6720+10400+3510+8900+7490</f>
        <v>42980</v>
      </c>
      <c r="F32" s="13"/>
      <c r="G32" s="13"/>
      <c r="H32" s="9"/>
      <c r="I32" s="18">
        <v>9050.0</v>
      </c>
      <c r="J32" s="9">
        <f>34770+31850+34210</f>
        <v>100830</v>
      </c>
      <c r="K32" s="18"/>
      <c r="L32" s="9"/>
      <c r="M32" s="9"/>
      <c r="N32" s="9"/>
      <c r="O32" s="9"/>
      <c r="P32" s="9"/>
      <c r="Q32" s="9"/>
      <c r="R32" s="9"/>
    </row>
    <row r="33" ht="17.25" customHeight="1">
      <c r="A33" s="13">
        <f t="shared" si="1"/>
        <v>27</v>
      </c>
      <c r="B33" s="14">
        <v>45043.0</v>
      </c>
      <c r="C33" s="13"/>
      <c r="D33" s="13">
        <f>6320+10530+10090+9520+10050+4310</f>
        <v>50820</v>
      </c>
      <c r="E33" s="13">
        <f>4380+8490+6360+5820+6870+4690</f>
        <v>36610</v>
      </c>
      <c r="F33" s="13"/>
      <c r="G33" s="13"/>
      <c r="H33" s="9"/>
      <c r="I33" s="9"/>
      <c r="J33" s="9"/>
      <c r="K33" s="18"/>
      <c r="L33" s="9"/>
      <c r="M33" s="9"/>
      <c r="N33" s="9"/>
      <c r="O33" s="9"/>
      <c r="P33" s="9"/>
      <c r="Q33" s="9"/>
      <c r="R33" s="9"/>
    </row>
    <row r="34" ht="17.25" customHeight="1">
      <c r="A34" s="13">
        <f t="shared" si="1"/>
        <v>28</v>
      </c>
      <c r="B34" s="14">
        <v>45044.0</v>
      </c>
      <c r="C34" s="13"/>
      <c r="D34" s="16">
        <f>9460+4500+8450+6230+9280+7700+1370+10030+9260+7370+6690</f>
        <v>80340</v>
      </c>
      <c r="E34" s="13">
        <f>8170+6990+7130+6890+6900+4440+3250+9120+6780+6950+7270+10180+5270+6490+1520+11290</f>
        <v>108640</v>
      </c>
      <c r="F34" s="13"/>
      <c r="G34" s="13"/>
      <c r="H34" s="9"/>
      <c r="I34" s="18">
        <v>9260.0</v>
      </c>
      <c r="J34" s="9"/>
      <c r="K34" s="18"/>
      <c r="L34" s="9"/>
      <c r="M34" s="9"/>
      <c r="N34" s="9"/>
      <c r="O34" s="9"/>
      <c r="P34" s="9"/>
      <c r="Q34" s="9"/>
      <c r="R34" s="9"/>
    </row>
    <row r="35" ht="17.25" customHeight="1">
      <c r="A35" s="13">
        <f t="shared" si="1"/>
        <v>29</v>
      </c>
      <c r="B35" s="14">
        <v>45045.0</v>
      </c>
      <c r="C35" s="13"/>
      <c r="D35" s="13">
        <f>11140+7970+5570+10730</f>
        <v>35410</v>
      </c>
      <c r="E35" s="13">
        <f>9250+10100+9170+6760</f>
        <v>35280</v>
      </c>
      <c r="F35" s="13"/>
      <c r="G35" s="13"/>
      <c r="H35" s="9"/>
      <c r="I35" s="9"/>
      <c r="J35" s="9"/>
      <c r="K35" s="18"/>
      <c r="L35" s="9"/>
      <c r="M35" s="9"/>
      <c r="N35" s="9"/>
      <c r="O35" s="9"/>
      <c r="P35" s="9"/>
      <c r="Q35" s="9"/>
      <c r="R35" s="9"/>
    </row>
    <row r="36" ht="17.25" customHeight="1">
      <c r="A36" s="13">
        <f t="shared" si="1"/>
        <v>30</v>
      </c>
      <c r="B36" s="14">
        <v>45046.0</v>
      </c>
      <c r="C36" s="13"/>
      <c r="D36" s="16">
        <v>10090.0</v>
      </c>
      <c r="E36" s="13"/>
      <c r="F36" s="13"/>
      <c r="G36" s="13"/>
      <c r="H36" s="9"/>
      <c r="I36" s="9"/>
      <c r="J36" s="9"/>
      <c r="K36" s="18"/>
      <c r="L36" s="9"/>
      <c r="M36" s="9"/>
      <c r="N36" s="9"/>
      <c r="O36" s="9"/>
      <c r="P36" s="9"/>
      <c r="Q36" s="9"/>
      <c r="R36" s="9"/>
    </row>
    <row r="37" ht="17.25" customHeight="1">
      <c r="A37" s="13">
        <f t="shared" si="1"/>
        <v>31</v>
      </c>
      <c r="B37" s="14">
        <v>45016.0</v>
      </c>
      <c r="C37" s="13"/>
      <c r="D37" s="16"/>
      <c r="E37" s="16"/>
      <c r="F37" s="13"/>
      <c r="G37" s="13"/>
      <c r="H37" s="9"/>
      <c r="I37" s="9"/>
      <c r="J37" s="18"/>
      <c r="K37" s="18"/>
      <c r="L37" s="9"/>
      <c r="M37" s="9"/>
      <c r="N37" s="9"/>
      <c r="O37" s="9"/>
      <c r="P37" s="9"/>
      <c r="Q37" s="9"/>
      <c r="R37" s="9"/>
    </row>
    <row r="38" ht="16.5" customHeight="1">
      <c r="A38" s="13" t="s">
        <v>39</v>
      </c>
      <c r="B38" s="13"/>
      <c r="C38" s="13"/>
      <c r="D38" s="19">
        <f t="shared" ref="D38:F38" si="2">SUM(D6:D37)</f>
        <v>2573820</v>
      </c>
      <c r="E38" s="19">
        <f t="shared" si="2"/>
        <v>3034800</v>
      </c>
      <c r="F38" s="19">
        <f t="shared" si="2"/>
        <v>27340</v>
      </c>
      <c r="G38" s="19"/>
      <c r="H38" s="19">
        <f t="shared" ref="H38:R38" si="3">SUM(H6:H37)</f>
        <v>51149</v>
      </c>
      <c r="I38" s="19">
        <f t="shared" si="3"/>
        <v>72900</v>
      </c>
      <c r="J38" s="19">
        <f t="shared" si="3"/>
        <v>2524990</v>
      </c>
      <c r="K38" s="19">
        <f t="shared" si="3"/>
        <v>534560</v>
      </c>
      <c r="L38" s="19">
        <f t="shared" si="3"/>
        <v>544580</v>
      </c>
      <c r="M38" s="19">
        <f t="shared" si="3"/>
        <v>0</v>
      </c>
      <c r="N38" s="19">
        <f t="shared" si="3"/>
        <v>99.17</v>
      </c>
      <c r="O38" s="19">
        <f t="shared" si="3"/>
        <v>49.72</v>
      </c>
      <c r="P38" s="19">
        <f t="shared" si="3"/>
        <v>0</v>
      </c>
      <c r="Q38" s="19">
        <f t="shared" si="3"/>
        <v>67</v>
      </c>
      <c r="R38" s="19">
        <f t="shared" si="3"/>
        <v>44.12</v>
      </c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ht="15.75" customHeight="1">
      <c r="D40" s="13"/>
      <c r="E40" s="13">
        <f>N7+N9+N11+35.77</f>
        <v>134.94</v>
      </c>
    </row>
    <row r="41" ht="15.75" customHeight="1"/>
    <row r="42" ht="15.75" customHeight="1"/>
    <row r="43" ht="15.75" customHeight="1"/>
    <row r="44" ht="15.75" customHeight="1">
      <c r="D44" s="13"/>
      <c r="E44" s="1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G5:G6"/>
    <mergeCell ref="H5:H6"/>
    <mergeCell ref="I5:I6"/>
    <mergeCell ref="J5:J6"/>
    <mergeCell ref="K5:L5"/>
    <mergeCell ref="M5:O5"/>
    <mergeCell ref="P5:R5"/>
    <mergeCell ref="A3:O3"/>
    <mergeCell ref="A5:A6"/>
    <mergeCell ref="B5:B6"/>
    <mergeCell ref="C5:C6"/>
    <mergeCell ref="D5:D6"/>
    <mergeCell ref="E5:E6"/>
    <mergeCell ref="F5:F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0"/>
    <col customWidth="1" min="3" max="3" width="15.86"/>
    <col customWidth="1" min="4" max="5" width="12.71"/>
    <col customWidth="1" min="6" max="6" width="11.43"/>
    <col customWidth="1" min="7" max="9" width="10.57"/>
    <col customWidth="1" min="10" max="10" width="12.71"/>
    <col customWidth="1" min="11" max="15" width="9.43"/>
    <col customWidth="1" min="16" max="28" width="8.0"/>
  </cols>
  <sheetData>
    <row r="3" ht="20.25" customHeight="1">
      <c r="A3" s="1" t="s">
        <v>0</v>
      </c>
    </row>
    <row r="4" ht="16.5" customHeight="1">
      <c r="A4" s="2"/>
      <c r="B4" s="3"/>
      <c r="C4" s="3"/>
      <c r="D4" s="3"/>
      <c r="E4" s="3"/>
      <c r="F4" s="3"/>
      <c r="G4" s="3"/>
      <c r="H4" s="3"/>
      <c r="I4" s="3"/>
    </row>
    <row r="5" ht="16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21" t="s">
        <v>40</v>
      </c>
      <c r="J5" s="4" t="s">
        <v>9</v>
      </c>
      <c r="K5" s="5" t="s">
        <v>10</v>
      </c>
      <c r="L5" s="7"/>
      <c r="M5" s="22" t="s">
        <v>41</v>
      </c>
      <c r="N5" s="6"/>
      <c r="O5" s="7"/>
      <c r="P5" s="23" t="s">
        <v>42</v>
      </c>
      <c r="Q5" s="6"/>
      <c r="R5" s="7"/>
    </row>
    <row r="6" ht="16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16" t="s">
        <v>43</v>
      </c>
      <c r="L6" s="16" t="s">
        <v>44</v>
      </c>
      <c r="M6" s="9" t="s">
        <v>12</v>
      </c>
      <c r="N6" s="18" t="s">
        <v>52</v>
      </c>
      <c r="O6" s="9" t="s">
        <v>14</v>
      </c>
      <c r="P6" s="24" t="s">
        <v>12</v>
      </c>
      <c r="Q6" s="24" t="s">
        <v>13</v>
      </c>
      <c r="R6" s="25" t="s">
        <v>14</v>
      </c>
    </row>
    <row r="7" ht="17.25" customHeight="1">
      <c r="A7" s="10">
        <f t="shared" ref="A7:A37" si="1">A6+1</f>
        <v>1</v>
      </c>
      <c r="B7" s="11">
        <v>45047.0</v>
      </c>
      <c r="C7" s="10"/>
      <c r="D7" s="10">
        <f>5000+9920+5400+3990</f>
        <v>24310</v>
      </c>
      <c r="E7" s="10">
        <f>8300+7640</f>
        <v>15940</v>
      </c>
      <c r="F7" s="10"/>
      <c r="G7" s="10"/>
      <c r="H7" s="9"/>
      <c r="I7" s="9"/>
      <c r="J7" s="12"/>
      <c r="K7" s="18"/>
      <c r="L7" s="9"/>
      <c r="M7" s="9"/>
      <c r="N7" s="18"/>
      <c r="O7" s="18"/>
      <c r="P7" s="9"/>
      <c r="Q7" s="9"/>
      <c r="R7" s="9"/>
    </row>
    <row r="8" ht="17.25" customHeight="1">
      <c r="A8" s="13">
        <f t="shared" si="1"/>
        <v>2</v>
      </c>
      <c r="B8" s="14">
        <v>45048.0</v>
      </c>
      <c r="C8" s="10"/>
      <c r="D8" s="13">
        <f>9050+10310</f>
        <v>19360</v>
      </c>
      <c r="E8" s="15">
        <f>6220+15570+8180</f>
        <v>29970</v>
      </c>
      <c r="F8" s="16"/>
      <c r="G8" s="13"/>
      <c r="H8" s="9">
        <f>9080+10860</f>
        <v>19940</v>
      </c>
      <c r="I8" s="9"/>
      <c r="J8" s="9"/>
      <c r="K8" s="9"/>
      <c r="L8" s="9">
        <f>23010</f>
        <v>23010</v>
      </c>
      <c r="M8" s="9"/>
      <c r="N8" s="9"/>
      <c r="O8" s="9"/>
      <c r="P8" s="9"/>
      <c r="Q8" s="9"/>
      <c r="R8" s="9"/>
    </row>
    <row r="9" ht="17.25" customHeight="1">
      <c r="A9" s="13">
        <f t="shared" si="1"/>
        <v>3</v>
      </c>
      <c r="B9" s="14">
        <v>45049.0</v>
      </c>
      <c r="C9" s="13"/>
      <c r="D9" s="16">
        <f>9480+12670+11760</f>
        <v>33910</v>
      </c>
      <c r="E9" s="16">
        <f>5740+5760+7080+5130</f>
        <v>23710</v>
      </c>
      <c r="F9" s="16"/>
      <c r="G9" s="13"/>
      <c r="H9" s="18">
        <f>10640+10350</f>
        <v>20990</v>
      </c>
      <c r="I9" s="18"/>
      <c r="J9" s="18">
        <v>30930.0</v>
      </c>
      <c r="K9" s="9"/>
      <c r="L9" s="9">
        <f>21410</f>
        <v>21410</v>
      </c>
      <c r="M9" s="9"/>
      <c r="N9" s="18"/>
      <c r="O9" s="9"/>
      <c r="P9" s="9"/>
      <c r="Q9" s="9"/>
      <c r="R9" s="9"/>
    </row>
    <row r="10" ht="17.25" customHeight="1">
      <c r="A10" s="13">
        <f t="shared" si="1"/>
        <v>4</v>
      </c>
      <c r="B10" s="14">
        <v>45050.0</v>
      </c>
      <c r="C10" s="13"/>
      <c r="D10" s="13">
        <f>9140+9010+10400+9030+9500+12330+5270+8500+4640+8790+6460+6730+6860</f>
        <v>106660</v>
      </c>
      <c r="E10" s="16">
        <f>7210+6350+4690+5930+7730+7820+6930+4790+9260+8500+4040</f>
        <v>73250</v>
      </c>
      <c r="F10" s="16"/>
      <c r="G10" s="13"/>
      <c r="H10" s="18">
        <v>8650.0</v>
      </c>
      <c r="I10" s="18"/>
      <c r="J10" s="9">
        <f>33910+30800+30750+33430</f>
        <v>128890</v>
      </c>
      <c r="K10" s="9"/>
      <c r="L10" s="18">
        <v>24200.0</v>
      </c>
      <c r="M10" s="18"/>
      <c r="N10" s="18"/>
      <c r="O10" s="9"/>
      <c r="P10" s="18"/>
      <c r="Q10" s="18"/>
      <c r="R10" s="18"/>
    </row>
    <row r="11" ht="17.25" customHeight="1">
      <c r="A11" s="13">
        <f t="shared" si="1"/>
        <v>5</v>
      </c>
      <c r="B11" s="14">
        <v>45051.0</v>
      </c>
      <c r="C11" s="13"/>
      <c r="D11" s="16">
        <f>6590+11250+6790+9400+10130</f>
        <v>44160</v>
      </c>
      <c r="E11" s="16">
        <f>4570+9000+5100+11030</f>
        <v>29700</v>
      </c>
      <c r="F11" s="16"/>
      <c r="G11" s="16"/>
      <c r="H11" s="9"/>
      <c r="I11" s="9"/>
      <c r="J11" s="18">
        <f>33390+30890</f>
        <v>64280</v>
      </c>
      <c r="K11" s="9"/>
      <c r="L11" s="18">
        <v>23580.0</v>
      </c>
      <c r="M11" s="9"/>
      <c r="N11" s="18"/>
      <c r="O11" s="9"/>
      <c r="P11" s="9"/>
      <c r="Q11" s="9"/>
      <c r="R11" s="9"/>
    </row>
    <row r="12" ht="17.25" customHeight="1">
      <c r="A12" s="13">
        <f t="shared" si="1"/>
        <v>6</v>
      </c>
      <c r="B12" s="14">
        <v>45052.0</v>
      </c>
      <c r="C12" s="13"/>
      <c r="D12" s="16">
        <f>9690+6470+9360+11410+8970+11440</f>
        <v>57340</v>
      </c>
      <c r="E12" s="16">
        <f>6750+8640+3130+8250+9250+6880+5620+4740+7880</f>
        <v>61140</v>
      </c>
      <c r="F12" s="16"/>
      <c r="G12" s="13"/>
      <c r="H12" s="18"/>
      <c r="I12" s="18">
        <v>8720.0</v>
      </c>
      <c r="J12" s="16">
        <f>34070+34210+34360</f>
        <v>102640</v>
      </c>
      <c r="K12" s="9"/>
      <c r="L12" s="18">
        <v>23300.0</v>
      </c>
      <c r="M12" s="18"/>
      <c r="N12" s="18" t="s">
        <v>53</v>
      </c>
      <c r="O12" s="9"/>
      <c r="P12" s="18"/>
      <c r="Q12" s="18" t="s">
        <v>54</v>
      </c>
      <c r="R12" s="18" t="s">
        <v>55</v>
      </c>
    </row>
    <row r="13" ht="17.25" customHeight="1">
      <c r="A13" s="13">
        <f t="shared" si="1"/>
        <v>7</v>
      </c>
      <c r="B13" s="14">
        <v>45053.0</v>
      </c>
      <c r="C13" s="13"/>
      <c r="D13" s="16">
        <f>75130+4590+10100+4540</f>
        <v>94360</v>
      </c>
      <c r="E13" s="16">
        <f>4510</f>
        <v>4510</v>
      </c>
      <c r="F13" s="16"/>
      <c r="G13" s="13"/>
      <c r="H13" s="18"/>
      <c r="I13" s="18"/>
      <c r="J13" s="9"/>
      <c r="K13" s="9"/>
      <c r="L13" s="18"/>
      <c r="M13" s="9"/>
      <c r="N13" s="9"/>
      <c r="O13" s="9"/>
      <c r="P13" s="9"/>
      <c r="Q13" s="18" t="s">
        <v>56</v>
      </c>
      <c r="R13" s="9"/>
    </row>
    <row r="14" ht="17.25" customHeight="1">
      <c r="A14" s="13">
        <f t="shared" si="1"/>
        <v>8</v>
      </c>
      <c r="B14" s="14">
        <v>45054.0</v>
      </c>
      <c r="C14" s="13"/>
      <c r="D14" s="13">
        <f>8380+10370+4970</f>
        <v>23720</v>
      </c>
      <c r="E14" s="13">
        <f>5480+8150</f>
        <v>13630</v>
      </c>
      <c r="F14" s="13"/>
      <c r="G14" s="13"/>
      <c r="H14" s="18"/>
      <c r="I14" s="18"/>
      <c r="J14" s="9"/>
      <c r="K14" s="18"/>
      <c r="L14" s="18"/>
      <c r="M14" s="18"/>
      <c r="N14" s="18"/>
      <c r="O14" s="9"/>
      <c r="P14" s="9"/>
      <c r="Q14" s="18" t="s">
        <v>57</v>
      </c>
      <c r="R14" s="9"/>
    </row>
    <row r="15" ht="17.25" customHeight="1">
      <c r="A15" s="13">
        <f t="shared" si="1"/>
        <v>9</v>
      </c>
      <c r="B15" s="14">
        <v>45055.0</v>
      </c>
      <c r="C15" s="13"/>
      <c r="D15" s="13"/>
      <c r="E15" s="13"/>
      <c r="F15" s="16"/>
      <c r="G15" s="13"/>
      <c r="H15" s="9"/>
      <c r="I15" s="9"/>
      <c r="J15" s="18"/>
      <c r="K15" s="9"/>
      <c r="L15" s="18">
        <v>22930.0</v>
      </c>
      <c r="M15" s="9"/>
      <c r="N15" s="18"/>
      <c r="O15" s="9"/>
      <c r="P15" s="9"/>
      <c r="Q15" s="18"/>
      <c r="R15" s="9"/>
    </row>
    <row r="16" ht="17.25" customHeight="1">
      <c r="A16" s="13">
        <f t="shared" si="1"/>
        <v>10</v>
      </c>
      <c r="B16" s="14">
        <v>45056.0</v>
      </c>
      <c r="C16" s="13"/>
      <c r="D16" s="13">
        <f>7020</f>
        <v>7020</v>
      </c>
      <c r="E16" s="13">
        <f>3410+5130</f>
        <v>8540</v>
      </c>
      <c r="F16" s="13"/>
      <c r="G16" s="13"/>
      <c r="H16" s="18"/>
      <c r="I16" s="18"/>
      <c r="J16" s="9"/>
      <c r="K16" s="9"/>
      <c r="L16" s="18">
        <v>24890.0</v>
      </c>
      <c r="M16" s="18"/>
      <c r="N16" s="18" t="s">
        <v>58</v>
      </c>
      <c r="O16" s="18"/>
      <c r="P16" s="18"/>
      <c r="Q16" s="18"/>
      <c r="R16" s="18" t="s">
        <v>59</v>
      </c>
    </row>
    <row r="17" ht="17.25" customHeight="1">
      <c r="A17" s="13">
        <f t="shared" si="1"/>
        <v>11</v>
      </c>
      <c r="B17" s="14">
        <v>45057.0</v>
      </c>
      <c r="C17" s="13"/>
      <c r="D17" s="16">
        <v>9980.0</v>
      </c>
      <c r="E17" s="13">
        <f>5560+5690</f>
        <v>11250</v>
      </c>
      <c r="F17" s="16"/>
      <c r="G17" s="13"/>
      <c r="H17" s="18"/>
      <c r="I17" s="18"/>
      <c r="J17" s="9"/>
      <c r="K17" s="9"/>
      <c r="L17" s="18">
        <v>21800.0</v>
      </c>
      <c r="M17" s="18"/>
      <c r="N17" s="26"/>
      <c r="O17" s="9"/>
      <c r="P17" s="18" t="s">
        <v>60</v>
      </c>
      <c r="Q17" s="18" t="s">
        <v>61</v>
      </c>
      <c r="R17" s="18"/>
    </row>
    <row r="18" ht="17.25" customHeight="1">
      <c r="A18" s="13">
        <f t="shared" si="1"/>
        <v>12</v>
      </c>
      <c r="B18" s="14">
        <v>45058.0</v>
      </c>
      <c r="C18" s="13"/>
      <c r="D18" s="13"/>
      <c r="E18" s="13"/>
      <c r="F18" s="13"/>
      <c r="G18" s="13"/>
      <c r="H18" s="9"/>
      <c r="I18" s="9"/>
      <c r="J18" s="9"/>
      <c r="K18" s="18"/>
      <c r="L18" s="18">
        <v>29800.0</v>
      </c>
      <c r="M18" s="9"/>
      <c r="N18" s="9"/>
      <c r="O18" s="9"/>
      <c r="P18" s="9"/>
      <c r="Q18" s="18" t="s">
        <v>62</v>
      </c>
      <c r="R18" s="9"/>
    </row>
    <row r="19" ht="17.25" customHeight="1">
      <c r="A19" s="13">
        <f t="shared" si="1"/>
        <v>13</v>
      </c>
      <c r="B19" s="14">
        <v>45059.0</v>
      </c>
      <c r="C19" s="13"/>
      <c r="D19" s="16">
        <v>6260.0</v>
      </c>
      <c r="E19" s="13"/>
      <c r="F19" s="13"/>
      <c r="G19" s="13"/>
      <c r="H19" s="9"/>
      <c r="I19" s="18">
        <v>9380.0</v>
      </c>
      <c r="J19" s="9"/>
      <c r="K19" s="9"/>
      <c r="L19" s="9"/>
      <c r="M19" s="9"/>
      <c r="N19" s="9"/>
      <c r="O19" s="9"/>
      <c r="P19" s="9"/>
      <c r="Q19" s="9"/>
      <c r="R19" s="9"/>
    </row>
    <row r="20" ht="17.25" customHeight="1">
      <c r="A20" s="13">
        <f t="shared" si="1"/>
        <v>14</v>
      </c>
      <c r="B20" s="14">
        <v>45060.0</v>
      </c>
      <c r="C20" s="13"/>
      <c r="D20" s="16">
        <f>7280+5920</f>
        <v>13200</v>
      </c>
      <c r="E20" s="16">
        <f>8550+6350</f>
        <v>14900</v>
      </c>
      <c r="F20" s="13"/>
      <c r="G20" s="13"/>
      <c r="H20" s="9"/>
      <c r="I20" s="18"/>
      <c r="J20" s="9"/>
      <c r="K20" s="18"/>
      <c r="L20" s="9"/>
      <c r="M20" s="9"/>
      <c r="N20" s="9"/>
      <c r="O20" s="9"/>
      <c r="P20" s="9"/>
      <c r="Q20" s="9"/>
      <c r="R20" s="9"/>
    </row>
    <row r="21" ht="17.25" customHeight="1">
      <c r="A21" s="13">
        <f t="shared" si="1"/>
        <v>15</v>
      </c>
      <c r="B21" s="14">
        <v>45061.0</v>
      </c>
      <c r="C21" s="13"/>
      <c r="D21" s="13">
        <f>4520+11250</f>
        <v>15770</v>
      </c>
      <c r="E21" s="13">
        <f>5840+6920+6330+6320</f>
        <v>25410</v>
      </c>
      <c r="F21" s="13"/>
      <c r="G21" s="13"/>
      <c r="H21" s="9"/>
      <c r="I21" s="9"/>
      <c r="J21" s="13">
        <f>29820+31570+30810</f>
        <v>92200</v>
      </c>
      <c r="K21" s="9"/>
      <c r="L21" s="18"/>
      <c r="M21" s="9"/>
      <c r="N21" s="9"/>
      <c r="O21" s="9"/>
      <c r="P21" s="9"/>
      <c r="Q21" s="9"/>
      <c r="R21" s="9"/>
    </row>
    <row r="22" ht="17.25" customHeight="1">
      <c r="A22" s="13">
        <f t="shared" si="1"/>
        <v>16</v>
      </c>
      <c r="B22" s="14">
        <v>45062.0</v>
      </c>
      <c r="C22" s="13"/>
      <c r="D22" s="16">
        <f>9120+4250+7130</f>
        <v>20500</v>
      </c>
      <c r="E22" s="13">
        <f>6960+7260+11620+4010</f>
        <v>29850</v>
      </c>
      <c r="F22" s="13"/>
      <c r="G22" s="13"/>
      <c r="H22" s="9"/>
      <c r="I22" s="9"/>
      <c r="J22" s="9"/>
      <c r="K22" s="18"/>
      <c r="L22" s="18"/>
      <c r="M22" s="9"/>
      <c r="N22" s="9"/>
      <c r="O22" s="9"/>
      <c r="P22" s="18">
        <v>64.0</v>
      </c>
      <c r="Q22" s="18">
        <v>8.72</v>
      </c>
      <c r="R22" s="9"/>
    </row>
    <row r="23" ht="17.25" customHeight="1">
      <c r="A23" s="13">
        <f t="shared" si="1"/>
        <v>17</v>
      </c>
      <c r="B23" s="14">
        <v>45063.0</v>
      </c>
      <c r="C23" s="13"/>
      <c r="D23" s="13">
        <f>5770+10240+9080+6410</f>
        <v>31500</v>
      </c>
      <c r="E23" s="13">
        <f>6510+6720+7310+11920</f>
        <v>32460</v>
      </c>
      <c r="F23" s="13"/>
      <c r="G23" s="13"/>
      <c r="H23" s="9"/>
      <c r="I23" s="9"/>
      <c r="J23" s="18">
        <v>33030.0</v>
      </c>
      <c r="K23" s="18"/>
      <c r="L23" s="9"/>
      <c r="M23" s="9"/>
      <c r="N23" s="9"/>
      <c r="O23" s="9"/>
      <c r="P23" s="18"/>
      <c r="Q23" s="18"/>
      <c r="R23" s="9"/>
    </row>
    <row r="24" ht="17.25" customHeight="1">
      <c r="A24" s="13">
        <f t="shared" si="1"/>
        <v>18</v>
      </c>
      <c r="B24" s="14">
        <v>45064.0</v>
      </c>
      <c r="C24" s="13"/>
      <c r="D24" s="13">
        <f>3480+12880+7380+9410+8120+9010+6720</f>
        <v>57000</v>
      </c>
      <c r="E24" s="13">
        <f>4240+6020+4420+6020+6040</f>
        <v>26740</v>
      </c>
      <c r="F24" s="13"/>
      <c r="G24" s="13"/>
      <c r="H24" s="18"/>
      <c r="I24" s="18">
        <v>9190.0</v>
      </c>
      <c r="J24" s="9"/>
      <c r="K24" s="9"/>
      <c r="L24" s="9"/>
      <c r="M24" s="18"/>
      <c r="N24" s="18"/>
      <c r="O24" s="9"/>
      <c r="P24" s="18"/>
      <c r="Q24" s="18"/>
      <c r="R24" s="18"/>
    </row>
    <row r="25" ht="17.25" customHeight="1">
      <c r="A25" s="13">
        <f t="shared" si="1"/>
        <v>19</v>
      </c>
      <c r="B25" s="14">
        <v>45065.0</v>
      </c>
      <c r="C25" s="13"/>
      <c r="D25" s="13">
        <f>3250+10510+10320+7960+8590</f>
        <v>40630</v>
      </c>
      <c r="E25" s="13">
        <f>4420+13150+4660+7040+12610+8200+7440+6460+4230</f>
        <v>68210</v>
      </c>
      <c r="F25" s="13"/>
      <c r="G25" s="13"/>
      <c r="H25" s="9"/>
      <c r="I25" s="9"/>
      <c r="J25" s="9"/>
      <c r="K25" s="18"/>
      <c r="L25" s="9"/>
      <c r="M25" s="9"/>
      <c r="N25" s="9"/>
      <c r="O25" s="9"/>
      <c r="P25" s="9"/>
      <c r="Q25" s="18"/>
      <c r="R25" s="9"/>
    </row>
    <row r="26" ht="17.25" customHeight="1">
      <c r="A26" s="13">
        <f t="shared" si="1"/>
        <v>20</v>
      </c>
      <c r="B26" s="14">
        <v>45066.0</v>
      </c>
      <c r="C26" s="13"/>
      <c r="D26" s="13">
        <f>8670+6960+7140+10570+2820+9610+4780+8270+9720+10450+10830</f>
        <v>89820</v>
      </c>
      <c r="E26" s="16">
        <f>4430+5320+10240+11630+5980+6330+4610+6710+5310+5980</f>
        <v>66540</v>
      </c>
      <c r="F26" s="16"/>
      <c r="G26" s="13"/>
      <c r="H26" s="18"/>
      <c r="I26" s="9"/>
      <c r="J26" s="18">
        <v>33300.0</v>
      </c>
      <c r="K26" s="18"/>
      <c r="L26" s="9"/>
      <c r="M26" s="9"/>
      <c r="N26" s="9"/>
      <c r="O26" s="9"/>
      <c r="P26" s="9"/>
      <c r="Q26" s="18"/>
      <c r="R26" s="9">
        <f>22.09+22.09+22.09</f>
        <v>66.27</v>
      </c>
    </row>
    <row r="27" ht="17.25" customHeight="1">
      <c r="A27" s="13">
        <f t="shared" si="1"/>
        <v>21</v>
      </c>
      <c r="B27" s="14">
        <v>45067.0</v>
      </c>
      <c r="C27" s="13"/>
      <c r="D27" s="13">
        <f>10300+13250+8240+5530+7680+6360+9560</f>
        <v>60920</v>
      </c>
      <c r="E27" s="13">
        <f>5300+5470+7640+7780+12020+6560+13040+3770+11740+12980+12210</f>
        <v>98510</v>
      </c>
      <c r="F27" s="13"/>
      <c r="G27" s="13"/>
      <c r="H27" s="18"/>
      <c r="I27" s="18"/>
      <c r="J27" s="18"/>
      <c r="K27" s="9"/>
      <c r="L27" s="9"/>
      <c r="M27" s="9"/>
      <c r="N27" s="18"/>
      <c r="O27" s="9"/>
      <c r="P27" s="9"/>
      <c r="Q27" s="9"/>
      <c r="R27" s="9"/>
    </row>
    <row r="28" ht="17.25" customHeight="1">
      <c r="A28" s="13">
        <f t="shared" si="1"/>
        <v>22</v>
      </c>
      <c r="B28" s="14">
        <v>45068.0</v>
      </c>
      <c r="C28" s="13"/>
      <c r="D28" s="13">
        <f>12800+7490+8340+10010+9740+8120+7040+6230+6630+7040</f>
        <v>83440</v>
      </c>
      <c r="E28" s="13">
        <f>5680+4760+9560+14050+8060+12980+4650+8510+7690+6400+7070+10910+6360+12980</f>
        <v>119660</v>
      </c>
      <c r="F28" s="16"/>
      <c r="G28" s="13"/>
      <c r="H28" s="9"/>
      <c r="I28" s="9"/>
      <c r="J28" s="18">
        <v>33080.0</v>
      </c>
      <c r="K28" s="9"/>
      <c r="L28" s="9"/>
      <c r="M28" s="9"/>
      <c r="N28" s="18"/>
      <c r="O28" s="9"/>
      <c r="P28" s="9"/>
      <c r="Q28" s="9"/>
      <c r="R28" s="9"/>
    </row>
    <row r="29" ht="17.25" customHeight="1">
      <c r="A29" s="13">
        <f t="shared" si="1"/>
        <v>23</v>
      </c>
      <c r="B29" s="14">
        <v>45069.0</v>
      </c>
      <c r="C29" s="13"/>
      <c r="D29" s="13">
        <f>8570+10470+5600+9600+9900+5320+4770+8030+8090</f>
        <v>70350</v>
      </c>
      <c r="E29" s="13">
        <f>9960+13800+7940+7200+14450+16420+7060+6570</f>
        <v>83400</v>
      </c>
      <c r="F29" s="16"/>
      <c r="G29" s="13"/>
      <c r="H29" s="18"/>
      <c r="I29" s="18"/>
      <c r="J29" s="18">
        <f>31200</f>
        <v>31200</v>
      </c>
      <c r="K29" s="18"/>
      <c r="L29" s="18"/>
      <c r="M29" s="18"/>
      <c r="N29" s="18"/>
      <c r="O29" s="9"/>
      <c r="P29" s="18"/>
      <c r="Q29" s="18"/>
      <c r="R29" s="18"/>
    </row>
    <row r="30" ht="17.25" customHeight="1">
      <c r="A30" s="13">
        <f t="shared" si="1"/>
        <v>24</v>
      </c>
      <c r="B30" s="14">
        <v>45070.0</v>
      </c>
      <c r="C30" s="13"/>
      <c r="D30" s="13">
        <f>11040+5690</f>
        <v>16730</v>
      </c>
      <c r="E30" s="13">
        <f>3820+8800+11040+13490</f>
        <v>37150</v>
      </c>
      <c r="F30" s="13"/>
      <c r="G30" s="13"/>
      <c r="H30" s="18"/>
      <c r="I30" s="18">
        <v>8630.0</v>
      </c>
      <c r="J30" s="9">
        <f>32070+31420</f>
        <v>63490</v>
      </c>
      <c r="K30" s="18"/>
      <c r="L30" s="18">
        <v>25440.0</v>
      </c>
      <c r="M30" s="18"/>
      <c r="N30" s="18"/>
      <c r="O30" s="9"/>
      <c r="P30" s="18" t="s">
        <v>63</v>
      </c>
      <c r="Q30" s="18" t="s">
        <v>64</v>
      </c>
      <c r="R30" s="18"/>
    </row>
    <row r="31" ht="17.25" customHeight="1">
      <c r="A31" s="13">
        <f t="shared" si="1"/>
        <v>25</v>
      </c>
      <c r="B31" s="14">
        <v>45071.0</v>
      </c>
      <c r="C31" s="13"/>
      <c r="D31" s="13"/>
      <c r="E31" s="13">
        <f>9770+13880</f>
        <v>23650</v>
      </c>
      <c r="F31" s="13"/>
      <c r="G31" s="13"/>
      <c r="H31" s="9"/>
      <c r="I31" s="9"/>
      <c r="J31" s="9">
        <f>31670+29860+33480</f>
        <v>95010</v>
      </c>
      <c r="K31" s="18"/>
      <c r="L31" s="18">
        <v>23640.0</v>
      </c>
      <c r="M31" s="9"/>
      <c r="N31" s="18"/>
      <c r="O31" s="9"/>
      <c r="P31" s="9"/>
      <c r="Q31" s="9"/>
      <c r="R31" s="9"/>
    </row>
    <row r="32" ht="17.25" customHeight="1">
      <c r="A32" s="13">
        <f t="shared" si="1"/>
        <v>26</v>
      </c>
      <c r="B32" s="14">
        <v>45072.0</v>
      </c>
      <c r="C32" s="13"/>
      <c r="D32" s="13">
        <f>6020+5470+10100</f>
        <v>21590</v>
      </c>
      <c r="E32" s="13">
        <f>5950+5690</f>
        <v>11640</v>
      </c>
      <c r="F32" s="13"/>
      <c r="G32" s="13"/>
      <c r="H32" s="9"/>
      <c r="I32" s="18"/>
      <c r="J32" s="18">
        <v>30710.0</v>
      </c>
      <c r="K32" s="18"/>
      <c r="L32" s="18">
        <v>32330.0</v>
      </c>
      <c r="M32" s="9"/>
      <c r="N32" s="9"/>
      <c r="O32" s="9"/>
      <c r="P32" s="9"/>
      <c r="Q32" s="9"/>
      <c r="R32" s="9"/>
    </row>
    <row r="33" ht="17.25" customHeight="1">
      <c r="A33" s="13">
        <f t="shared" si="1"/>
        <v>27</v>
      </c>
      <c r="B33" s="14">
        <v>45073.0</v>
      </c>
      <c r="C33" s="13"/>
      <c r="D33" s="13"/>
      <c r="E33" s="13">
        <f>7480+4960</f>
        <v>12440</v>
      </c>
      <c r="F33" s="13"/>
      <c r="G33" s="13"/>
      <c r="H33" s="9"/>
      <c r="I33" s="18">
        <v>7880.0</v>
      </c>
      <c r="J33" s="9"/>
      <c r="K33" s="18"/>
      <c r="L33" s="9">
        <f>31140+25580+31670+25840</f>
        <v>114230</v>
      </c>
      <c r="M33" s="9"/>
      <c r="N33" s="9"/>
      <c r="O33" s="9"/>
      <c r="P33" s="18" t="s">
        <v>65</v>
      </c>
      <c r="Q33" s="18" t="s">
        <v>66</v>
      </c>
      <c r="R33" s="18" t="s">
        <v>67</v>
      </c>
    </row>
    <row r="34" ht="17.25" customHeight="1">
      <c r="A34" s="13">
        <f t="shared" si="1"/>
        <v>28</v>
      </c>
      <c r="B34" s="14">
        <v>45074.0</v>
      </c>
      <c r="C34" s="13"/>
      <c r="D34" s="16">
        <f>9650+7700+4630+7700+7750+16510+4220+10070</f>
        <v>68230</v>
      </c>
      <c r="E34" s="13">
        <f>7650+6550+2900</f>
        <v>17100</v>
      </c>
      <c r="F34" s="13"/>
      <c r="G34" s="13"/>
      <c r="H34" s="9"/>
      <c r="I34" s="18"/>
      <c r="J34" s="9"/>
      <c r="K34" s="18"/>
      <c r="L34" s="9"/>
      <c r="M34" s="9"/>
      <c r="N34" s="9"/>
      <c r="O34" s="9"/>
      <c r="P34" s="9"/>
      <c r="Q34" s="9"/>
      <c r="R34" s="9"/>
    </row>
    <row r="35" ht="17.25" customHeight="1">
      <c r="A35" s="13">
        <f t="shared" si="1"/>
        <v>29</v>
      </c>
      <c r="B35" s="14">
        <v>45075.0</v>
      </c>
      <c r="C35" s="13"/>
      <c r="D35" s="13">
        <f>18980+9090+16090+4970+7450+9400+18170+12760+21230</f>
        <v>118140</v>
      </c>
      <c r="E35" s="13">
        <f>6950+5770+5440+7250+6590</f>
        <v>32000</v>
      </c>
      <c r="F35" s="13"/>
      <c r="G35" s="13"/>
      <c r="H35" s="9"/>
      <c r="I35" s="9"/>
      <c r="J35" s="9"/>
      <c r="K35" s="18"/>
      <c r="L35" s="9"/>
      <c r="M35" s="9"/>
      <c r="N35" s="9"/>
      <c r="O35" s="9"/>
      <c r="P35" s="9"/>
      <c r="Q35" s="9"/>
      <c r="R35" s="9"/>
    </row>
    <row r="36" ht="17.25" customHeight="1">
      <c r="A36" s="13">
        <f t="shared" si="1"/>
        <v>30</v>
      </c>
      <c r="B36" s="14">
        <v>45076.0</v>
      </c>
      <c r="C36" s="13"/>
      <c r="D36" s="16">
        <f>4410+16380+7370+11380+9230</f>
        <v>48770</v>
      </c>
      <c r="E36" s="13">
        <f>6760+5370+6850</f>
        <v>18980</v>
      </c>
      <c r="F36" s="13"/>
      <c r="G36" s="13"/>
      <c r="H36" s="9"/>
      <c r="I36" s="9"/>
      <c r="J36" s="9"/>
      <c r="K36" s="18"/>
      <c r="L36" s="9"/>
      <c r="M36" s="9"/>
      <c r="N36" s="9"/>
      <c r="O36" s="9"/>
      <c r="P36" s="9"/>
      <c r="Q36" s="9"/>
      <c r="R36" s="9"/>
    </row>
    <row r="37" ht="17.25" customHeight="1">
      <c r="A37" s="13">
        <f t="shared" si="1"/>
        <v>31</v>
      </c>
      <c r="B37" s="14">
        <v>45077.0</v>
      </c>
      <c r="C37" s="13"/>
      <c r="D37" s="16">
        <f>9140+17480+7410+7190+20220+9060+17630+8020+9640+16170</f>
        <v>121960</v>
      </c>
      <c r="E37" s="16">
        <f>6870+6210+6930+6930+3410+8410+7530+7340</f>
        <v>53630</v>
      </c>
      <c r="F37" s="13"/>
      <c r="G37" s="13"/>
      <c r="H37" s="9"/>
      <c r="I37" s="18">
        <v>8360.0</v>
      </c>
      <c r="J37" s="18"/>
      <c r="K37" s="18"/>
      <c r="L37" s="18">
        <v>31960.0</v>
      </c>
      <c r="M37" s="9"/>
      <c r="N37" s="9"/>
      <c r="O37" s="9"/>
      <c r="P37" s="18" t="s">
        <v>68</v>
      </c>
      <c r="Q37" s="18" t="s">
        <v>69</v>
      </c>
      <c r="R37" s="9"/>
    </row>
    <row r="38" ht="16.5" customHeight="1">
      <c r="A38" s="13" t="s">
        <v>39</v>
      </c>
      <c r="B38" s="13"/>
      <c r="C38" s="13"/>
      <c r="D38" s="19">
        <f t="shared" ref="D38:F38" si="2">SUM(D6:D37)</f>
        <v>1305630</v>
      </c>
      <c r="E38" s="19">
        <f t="shared" si="2"/>
        <v>1043910</v>
      </c>
      <c r="F38" s="19">
        <f t="shared" si="2"/>
        <v>0</v>
      </c>
      <c r="G38" s="19"/>
      <c r="H38" s="19">
        <f t="shared" ref="H38:R38" si="3">SUM(H6:H37)</f>
        <v>49580</v>
      </c>
      <c r="I38" s="19">
        <f t="shared" si="3"/>
        <v>52160</v>
      </c>
      <c r="J38" s="19">
        <f t="shared" si="3"/>
        <v>738760</v>
      </c>
      <c r="K38" s="19">
        <f t="shared" si="3"/>
        <v>0</v>
      </c>
      <c r="L38" s="19">
        <f t="shared" si="3"/>
        <v>442520</v>
      </c>
      <c r="M38" s="19">
        <f t="shared" si="3"/>
        <v>0</v>
      </c>
      <c r="N38" s="19">
        <f t="shared" si="3"/>
        <v>0</v>
      </c>
      <c r="O38" s="19">
        <f t="shared" si="3"/>
        <v>0</v>
      </c>
      <c r="P38" s="19">
        <f t="shared" si="3"/>
        <v>64</v>
      </c>
      <c r="Q38" s="19">
        <f t="shared" si="3"/>
        <v>8.72</v>
      </c>
      <c r="R38" s="19">
        <f t="shared" si="3"/>
        <v>66.27</v>
      </c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ht="15.75" customHeight="1">
      <c r="D40" s="13"/>
      <c r="E40" s="13"/>
    </row>
    <row r="41" ht="15.75" customHeight="1"/>
    <row r="42" ht="15.75" customHeight="1"/>
    <row r="43" ht="15.75" customHeight="1"/>
    <row r="44" ht="15.75" customHeight="1">
      <c r="D44" s="13"/>
      <c r="E44" s="1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G5:G6"/>
    <mergeCell ref="H5:H6"/>
    <mergeCell ref="I5:I6"/>
    <mergeCell ref="J5:J6"/>
    <mergeCell ref="K5:L5"/>
    <mergeCell ref="M5:O5"/>
    <mergeCell ref="P5:R5"/>
    <mergeCell ref="A3:O3"/>
    <mergeCell ref="A5:A6"/>
    <mergeCell ref="B5:B6"/>
    <mergeCell ref="C5:C6"/>
    <mergeCell ref="D5:D6"/>
    <mergeCell ref="E5:E6"/>
    <mergeCell ref="F5:F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0"/>
    <col customWidth="1" min="3" max="3" width="15.86"/>
    <col customWidth="1" min="4" max="5" width="12.71"/>
    <col customWidth="1" min="6" max="6" width="11.43"/>
    <col customWidth="1" min="7" max="9" width="10.57"/>
    <col customWidth="1" min="10" max="10" width="12.71"/>
    <col customWidth="1" min="11" max="15" width="9.43"/>
    <col customWidth="1" min="16" max="28" width="8.0"/>
  </cols>
  <sheetData>
    <row r="3" ht="20.25" customHeight="1">
      <c r="A3" s="1" t="s">
        <v>0</v>
      </c>
    </row>
    <row r="4" ht="16.5" customHeight="1">
      <c r="A4" s="2"/>
      <c r="B4" s="3"/>
      <c r="C4" s="3"/>
      <c r="D4" s="3"/>
      <c r="E4" s="3"/>
      <c r="F4" s="3"/>
      <c r="G4" s="3"/>
      <c r="H4" s="3"/>
      <c r="I4" s="3"/>
    </row>
    <row r="5" ht="16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21" t="s">
        <v>40</v>
      </c>
      <c r="J5" s="4" t="s">
        <v>9</v>
      </c>
      <c r="K5" s="5" t="s">
        <v>10</v>
      </c>
      <c r="L5" s="7"/>
      <c r="M5" s="22" t="s">
        <v>41</v>
      </c>
      <c r="N5" s="6"/>
      <c r="O5" s="7"/>
      <c r="P5" s="23" t="s">
        <v>42</v>
      </c>
      <c r="Q5" s="6"/>
      <c r="R5" s="7"/>
    </row>
    <row r="6" ht="16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16" t="s">
        <v>43</v>
      </c>
      <c r="L6" s="16" t="s">
        <v>44</v>
      </c>
      <c r="M6" s="9" t="s">
        <v>12</v>
      </c>
      <c r="N6" s="18" t="s">
        <v>52</v>
      </c>
      <c r="O6" s="9" t="s">
        <v>14</v>
      </c>
      <c r="P6" s="24" t="s">
        <v>12</v>
      </c>
      <c r="Q6" s="24" t="s">
        <v>13</v>
      </c>
      <c r="R6" s="25" t="s">
        <v>14</v>
      </c>
    </row>
    <row r="7" ht="17.25" customHeight="1">
      <c r="A7" s="10">
        <f t="shared" ref="A7:A37" si="1">A6+1</f>
        <v>1</v>
      </c>
      <c r="B7" s="11">
        <v>45078.0</v>
      </c>
      <c r="C7" s="10"/>
      <c r="D7" s="10">
        <f>10490+19560+7130+10650+4920+17800+15450+11030+9870+10580+7120+7520</f>
        <v>132120</v>
      </c>
      <c r="E7" s="10">
        <f>15070+8120+11660+6380+6810+13860+5950+7370+5890+4980+7870+5870+14640</f>
        <v>114470</v>
      </c>
      <c r="F7" s="10"/>
      <c r="G7" s="10"/>
      <c r="H7" s="9"/>
      <c r="I7" s="9"/>
      <c r="J7" s="12">
        <f>29170+27660</f>
        <v>56830</v>
      </c>
      <c r="K7" s="18"/>
      <c r="L7" s="18">
        <v>31470.0</v>
      </c>
      <c r="M7" s="9"/>
      <c r="N7" s="18"/>
      <c r="O7" s="18"/>
      <c r="P7" s="9"/>
      <c r="Q7" s="9"/>
      <c r="R7" s="9"/>
    </row>
    <row r="8" ht="17.25" customHeight="1">
      <c r="A8" s="13">
        <f t="shared" si="1"/>
        <v>2</v>
      </c>
      <c r="B8" s="14">
        <v>45079.0</v>
      </c>
      <c r="C8" s="10"/>
      <c r="D8" s="13">
        <f>11000+10340+6270+18860+8550+5140+6850</f>
        <v>67010</v>
      </c>
      <c r="E8" s="15">
        <f>6590+9880+5630+16430+11270+7210+14540+6990+4460</f>
        <v>83000</v>
      </c>
      <c r="F8" s="16"/>
      <c r="G8" s="13"/>
      <c r="H8" s="9"/>
      <c r="I8" s="18">
        <v>8750.0</v>
      </c>
      <c r="J8" s="9">
        <f>32430+29080+30870+28950</f>
        <v>121330</v>
      </c>
      <c r="K8" s="9"/>
      <c r="L8" s="9">
        <f>29140+30660</f>
        <v>59800</v>
      </c>
      <c r="M8" s="9"/>
      <c r="N8" s="9"/>
      <c r="O8" s="9"/>
      <c r="P8" s="9"/>
      <c r="Q8" s="9"/>
      <c r="R8" s="9"/>
    </row>
    <row r="9" ht="17.25" customHeight="1">
      <c r="A9" s="13">
        <f t="shared" si="1"/>
        <v>3</v>
      </c>
      <c r="B9" s="14">
        <v>45080.0</v>
      </c>
      <c r="C9" s="13"/>
      <c r="D9" s="16">
        <f>5080+6240+7150+15100+12020+11410+5240+12400+7280+11820+19920</f>
        <v>113660</v>
      </c>
      <c r="E9" s="16">
        <f>7240+5170+8720+4240+7420+14090+3280+10560+3160+3940+13300</f>
        <v>81120</v>
      </c>
      <c r="F9" s="16"/>
      <c r="G9" s="13"/>
      <c r="H9" s="18"/>
      <c r="I9" s="18"/>
      <c r="J9" s="18">
        <f>29140+30660</f>
        <v>59800</v>
      </c>
      <c r="K9" s="9"/>
      <c r="L9" s="9"/>
      <c r="M9" s="9"/>
      <c r="N9" s="18"/>
      <c r="O9" s="9"/>
      <c r="P9" s="9"/>
      <c r="Q9" s="9"/>
      <c r="R9" s="9"/>
    </row>
    <row r="10" ht="17.25" customHeight="1">
      <c r="A10" s="13">
        <f t="shared" si="1"/>
        <v>4</v>
      </c>
      <c r="B10" s="14">
        <v>45081.0</v>
      </c>
      <c r="C10" s="13"/>
      <c r="D10" s="13">
        <f>6570+9940+7120</f>
        <v>23630</v>
      </c>
      <c r="E10" s="16">
        <f>11490+6580+7640+6270+8110+7530</f>
        <v>47620</v>
      </c>
      <c r="F10" s="16"/>
      <c r="G10" s="13"/>
      <c r="H10" s="18"/>
      <c r="I10" s="18"/>
      <c r="J10" s="9">
        <f>29770+28680</f>
        <v>58450</v>
      </c>
      <c r="K10" s="9"/>
      <c r="L10" s="18"/>
      <c r="M10" s="18"/>
      <c r="N10" s="18"/>
      <c r="O10" s="9"/>
      <c r="P10" s="18"/>
      <c r="Q10" s="18"/>
      <c r="R10" s="18"/>
    </row>
    <row r="11" ht="17.25" customHeight="1">
      <c r="A11" s="13">
        <f t="shared" si="1"/>
        <v>5</v>
      </c>
      <c r="B11" s="14">
        <v>45082.0</v>
      </c>
      <c r="C11" s="13"/>
      <c r="D11" s="16">
        <f>12240+9040+7100+7160+8070+10290+8610+8920</f>
        <v>71430</v>
      </c>
      <c r="E11" s="16">
        <f>5990+5040+5270+9970</f>
        <v>26270</v>
      </c>
      <c r="F11" s="16"/>
      <c r="G11" s="16"/>
      <c r="H11" s="9"/>
      <c r="I11" s="9"/>
      <c r="J11" s="18">
        <f>30760+30920+30270+31360</f>
        <v>123310</v>
      </c>
      <c r="K11" s="18">
        <v>5350.0</v>
      </c>
      <c r="L11" s="18"/>
      <c r="M11" s="9"/>
      <c r="N11" s="18"/>
      <c r="O11" s="9"/>
      <c r="P11" s="9"/>
      <c r="Q11" s="9"/>
      <c r="R11" s="9"/>
    </row>
    <row r="12" ht="17.25" customHeight="1">
      <c r="A12" s="13">
        <f t="shared" si="1"/>
        <v>6</v>
      </c>
      <c r="B12" s="14">
        <v>45083.0</v>
      </c>
      <c r="C12" s="13"/>
      <c r="D12" s="16">
        <f>5760</f>
        <v>5760</v>
      </c>
      <c r="E12" s="16">
        <v>8020.0</v>
      </c>
      <c r="F12" s="16"/>
      <c r="G12" s="13"/>
      <c r="H12" s="18"/>
      <c r="I12" s="18"/>
      <c r="J12" s="16"/>
      <c r="K12" s="9">
        <f>4840+4530+5530</f>
        <v>14900</v>
      </c>
      <c r="L12" s="18">
        <f>29950+31230</f>
        <v>61180</v>
      </c>
      <c r="M12" s="18"/>
      <c r="N12" s="18"/>
      <c r="O12" s="9"/>
      <c r="P12" s="18"/>
      <c r="Q12" s="18"/>
      <c r="R12" s="18"/>
    </row>
    <row r="13" ht="17.25" customHeight="1">
      <c r="A13" s="13">
        <f t="shared" si="1"/>
        <v>7</v>
      </c>
      <c r="B13" s="14">
        <v>45084.0</v>
      </c>
      <c r="C13" s="13"/>
      <c r="D13" s="16">
        <f>4490+7930+7260+9940</f>
        <v>29620</v>
      </c>
      <c r="E13" s="16">
        <f>11000+2630+6000</f>
        <v>19630</v>
      </c>
      <c r="F13" s="16"/>
      <c r="G13" s="13"/>
      <c r="H13" s="18">
        <f>13000+7500</f>
        <v>20500</v>
      </c>
      <c r="I13" s="18"/>
      <c r="J13" s="9"/>
      <c r="K13" s="9">
        <f>5050+5690+5250</f>
        <v>15990</v>
      </c>
      <c r="L13" s="18">
        <f>31040</f>
        <v>31040</v>
      </c>
      <c r="M13" s="9"/>
      <c r="N13" s="9"/>
      <c r="O13" s="9"/>
      <c r="P13" s="9"/>
      <c r="Q13" s="18"/>
      <c r="R13" s="9"/>
    </row>
    <row r="14" ht="17.25" customHeight="1">
      <c r="A14" s="13">
        <f t="shared" si="1"/>
        <v>8</v>
      </c>
      <c r="B14" s="14">
        <v>45085.0</v>
      </c>
      <c r="C14" s="13"/>
      <c r="D14" s="13">
        <f>13780+8330+6250+12900+8120+9730</f>
        <v>59110</v>
      </c>
      <c r="E14" s="13">
        <f>4340+3040+9920+5150+4970</f>
        <v>27420</v>
      </c>
      <c r="F14" s="13"/>
      <c r="G14" s="13"/>
      <c r="H14" s="18"/>
      <c r="I14" s="18">
        <v>8790.0</v>
      </c>
      <c r="J14" s="9"/>
      <c r="K14" s="18">
        <f>5680+5300+5300</f>
        <v>16280</v>
      </c>
      <c r="L14" s="18">
        <f>32860+27630</f>
        <v>60490</v>
      </c>
      <c r="M14" s="18"/>
      <c r="N14" s="18"/>
      <c r="O14" s="9"/>
      <c r="P14" s="9"/>
      <c r="Q14" s="18"/>
      <c r="R14" s="9"/>
    </row>
    <row r="15" ht="17.25" customHeight="1">
      <c r="A15" s="13">
        <f t="shared" si="1"/>
        <v>9</v>
      </c>
      <c r="B15" s="14">
        <v>45086.0</v>
      </c>
      <c r="C15" s="13"/>
      <c r="D15" s="13"/>
      <c r="E15" s="13"/>
      <c r="F15" s="16"/>
      <c r="G15" s="13"/>
      <c r="H15" s="9"/>
      <c r="I15" s="18">
        <v>5600.0</v>
      </c>
      <c r="J15" s="18">
        <f>31710+31740+32390+31420</f>
        <v>127260</v>
      </c>
      <c r="K15" s="18">
        <v>5190.0</v>
      </c>
      <c r="L15" s="18"/>
      <c r="M15" s="9"/>
      <c r="N15" s="18"/>
      <c r="O15" s="9"/>
      <c r="P15" s="18" t="s">
        <v>70</v>
      </c>
      <c r="Q15" s="18" t="s">
        <v>71</v>
      </c>
      <c r="R15" s="9"/>
    </row>
    <row r="16" ht="17.25" customHeight="1">
      <c r="A16" s="13">
        <f t="shared" si="1"/>
        <v>10</v>
      </c>
      <c r="B16" s="14">
        <v>45087.0</v>
      </c>
      <c r="C16" s="13"/>
      <c r="D16" s="13">
        <f>4890+7040+8900+13350+3960+3870+8230+8750</f>
        <v>58990</v>
      </c>
      <c r="E16" s="13">
        <f>4420+9280+9820</f>
        <v>23520</v>
      </c>
      <c r="F16" s="13"/>
      <c r="G16" s="13"/>
      <c r="H16" s="18"/>
      <c r="I16" s="18"/>
      <c r="J16" s="9">
        <f>31670+32110+29600+31610+29770</f>
        <v>154760</v>
      </c>
      <c r="K16" s="9">
        <f>6820+6230</f>
        <v>13050</v>
      </c>
      <c r="L16" s="18"/>
      <c r="M16" s="18"/>
      <c r="N16" s="18"/>
      <c r="O16" s="18"/>
      <c r="P16" s="18"/>
      <c r="Q16" s="18"/>
      <c r="R16" s="18"/>
    </row>
    <row r="17" ht="17.25" customHeight="1">
      <c r="A17" s="13">
        <f t="shared" si="1"/>
        <v>11</v>
      </c>
      <c r="B17" s="14">
        <v>45088.0</v>
      </c>
      <c r="C17" s="13"/>
      <c r="D17" s="16">
        <f>6950+8350+6640+16950+8530+6960+7280+4990+7680+8210+9700</f>
        <v>92240</v>
      </c>
      <c r="E17" s="13">
        <f>6070+4960+6890+2520+6760+5590+9110</f>
        <v>41900</v>
      </c>
      <c r="F17" s="16"/>
      <c r="G17" s="13"/>
      <c r="H17" s="18"/>
      <c r="I17" s="18">
        <v>8260.0</v>
      </c>
      <c r="J17" s="9"/>
      <c r="K17" s="9">
        <f>7710+5700</f>
        <v>13410</v>
      </c>
      <c r="L17" s="18"/>
      <c r="M17" s="18"/>
      <c r="N17" s="26"/>
      <c r="O17" s="9"/>
      <c r="P17" s="18"/>
      <c r="Q17" s="18"/>
      <c r="R17" s="18"/>
    </row>
    <row r="18" ht="17.25" customHeight="1">
      <c r="A18" s="13">
        <f t="shared" si="1"/>
        <v>12</v>
      </c>
      <c r="B18" s="14">
        <v>45089.0</v>
      </c>
      <c r="C18" s="13"/>
      <c r="D18" s="13">
        <f>10690+5710+6980+4090+9730+3550+6930+9200+9110</f>
        <v>65990</v>
      </c>
      <c r="E18" s="13">
        <f>6290+3820+10210+5950+5770</f>
        <v>32040</v>
      </c>
      <c r="F18" s="13"/>
      <c r="G18" s="13"/>
      <c r="H18" s="9"/>
      <c r="I18" s="9"/>
      <c r="J18" s="9"/>
      <c r="K18" s="18">
        <f>6260+5520+5970+5020</f>
        <v>22770</v>
      </c>
      <c r="L18" s="18"/>
      <c r="M18" s="9"/>
      <c r="N18" s="9"/>
      <c r="O18" s="9"/>
      <c r="P18" s="9"/>
      <c r="Q18" s="18"/>
      <c r="R18" s="9"/>
    </row>
    <row r="19" ht="17.25" customHeight="1">
      <c r="A19" s="13">
        <f t="shared" si="1"/>
        <v>13</v>
      </c>
      <c r="B19" s="14">
        <v>45090.0</v>
      </c>
      <c r="C19" s="13"/>
      <c r="D19" s="16">
        <f>7840+10790+6730+9270+7360+9230+9160+7330+7890</f>
        <v>75600</v>
      </c>
      <c r="E19" s="13">
        <f>3900+7130+9630+5880</f>
        <v>26540</v>
      </c>
      <c r="F19" s="13"/>
      <c r="G19" s="13"/>
      <c r="H19" s="9"/>
      <c r="I19" s="18">
        <v>9090.0</v>
      </c>
      <c r="J19" s="18">
        <v>29140.0</v>
      </c>
      <c r="K19" s="9">
        <f>5910+5010+5740+5300</f>
        <v>21960</v>
      </c>
      <c r="L19" s="9"/>
      <c r="M19" s="9"/>
      <c r="N19" s="9"/>
      <c r="O19" s="9"/>
      <c r="P19" s="18" t="s">
        <v>72</v>
      </c>
      <c r="Q19" s="18" t="s">
        <v>73</v>
      </c>
      <c r="R19" s="9"/>
    </row>
    <row r="20" ht="17.25" customHeight="1">
      <c r="A20" s="13">
        <f t="shared" si="1"/>
        <v>14</v>
      </c>
      <c r="B20" s="14">
        <v>45091.0</v>
      </c>
      <c r="C20" s="13"/>
      <c r="D20" s="16">
        <f>7690+7640+9110+4830</f>
        <v>29270</v>
      </c>
      <c r="E20" s="16">
        <v>4850.0</v>
      </c>
      <c r="F20" s="13"/>
      <c r="G20" s="13"/>
      <c r="H20" s="9"/>
      <c r="I20" s="18"/>
      <c r="J20" s="9"/>
      <c r="K20" s="18">
        <v>5720.0</v>
      </c>
      <c r="L20" s="9">
        <f>25580+25100</f>
        <v>50680</v>
      </c>
      <c r="M20" s="9"/>
      <c r="N20" s="9"/>
      <c r="O20" s="9"/>
      <c r="P20" s="9"/>
      <c r="Q20" s="9"/>
      <c r="R20" s="9"/>
    </row>
    <row r="21" ht="17.25" customHeight="1">
      <c r="A21" s="13">
        <f t="shared" si="1"/>
        <v>15</v>
      </c>
      <c r="B21" s="14">
        <v>45092.0</v>
      </c>
      <c r="C21" s="13"/>
      <c r="D21" s="13">
        <f>8120+6020+6510+5950</f>
        <v>26600</v>
      </c>
      <c r="E21" s="13">
        <f>3000+5970+5020</f>
        <v>13990</v>
      </c>
      <c r="F21" s="13"/>
      <c r="G21" s="13"/>
      <c r="H21" s="9"/>
      <c r="I21" s="9"/>
      <c r="J21" s="13"/>
      <c r="K21" s="9"/>
      <c r="L21" s="18">
        <v>27020.0</v>
      </c>
      <c r="M21" s="9"/>
      <c r="N21" s="9"/>
      <c r="O21" s="9"/>
      <c r="P21" s="9"/>
      <c r="Q21" s="9"/>
      <c r="R21" s="9"/>
    </row>
    <row r="22" ht="17.25" customHeight="1">
      <c r="A22" s="13">
        <f t="shared" si="1"/>
        <v>16</v>
      </c>
      <c r="B22" s="14">
        <v>45093.0</v>
      </c>
      <c r="C22" s="13"/>
      <c r="D22" s="16">
        <f>4030+7050+6770+10290+9170+7030+9150+6740</f>
        <v>60230</v>
      </c>
      <c r="E22" s="13">
        <f>5600+5930+6740+7150+4180</f>
        <v>29600</v>
      </c>
      <c r="F22" s="13"/>
      <c r="G22" s="13"/>
      <c r="H22" s="9"/>
      <c r="I22" s="9"/>
      <c r="J22" s="9">
        <f>30710+30940</f>
        <v>61650</v>
      </c>
      <c r="K22" s="18">
        <f>6480+5400+5710+6610</f>
        <v>24200</v>
      </c>
      <c r="L22" s="18"/>
      <c r="M22" s="9"/>
      <c r="N22" s="9"/>
      <c r="O22" s="9"/>
      <c r="P22" s="18"/>
      <c r="Q22" s="18"/>
      <c r="R22" s="9"/>
    </row>
    <row r="23" ht="17.25" customHeight="1">
      <c r="A23" s="13">
        <f t="shared" si="1"/>
        <v>17</v>
      </c>
      <c r="B23" s="14">
        <v>45063.0</v>
      </c>
      <c r="C23" s="13"/>
      <c r="D23" s="13">
        <f>7480+24820+5830+7360+8140+5110+6630+9680+8700+9580+4160</f>
        <v>97490</v>
      </c>
      <c r="E23" s="16">
        <v>1820.0</v>
      </c>
      <c r="F23" s="13"/>
      <c r="G23" s="13"/>
      <c r="H23" s="9">
        <f>20360+10170</f>
        <v>30530</v>
      </c>
      <c r="I23" s="9"/>
      <c r="J23" s="18">
        <v>30430.0</v>
      </c>
      <c r="K23" s="18">
        <f>5810+5680+6070</f>
        <v>17560</v>
      </c>
      <c r="L23" s="9"/>
      <c r="M23" s="9"/>
      <c r="N23" s="9"/>
      <c r="O23" s="9"/>
      <c r="P23" s="18"/>
      <c r="Q23" s="18"/>
      <c r="R23" s="9"/>
    </row>
    <row r="24" ht="17.25" customHeight="1">
      <c r="A24" s="13">
        <f t="shared" si="1"/>
        <v>18</v>
      </c>
      <c r="B24" s="14">
        <v>45095.0</v>
      </c>
      <c r="C24" s="13"/>
      <c r="D24" s="13">
        <f>8400+7030+16240+13360+3190+3940+8190+7180+5120+3600</f>
        <v>76250</v>
      </c>
      <c r="E24" s="13">
        <f>5380+10410+14800+9480+10980</f>
        <v>51050</v>
      </c>
      <c r="F24" s="13"/>
      <c r="G24" s="13"/>
      <c r="H24" s="18">
        <v>11280.0</v>
      </c>
      <c r="I24" s="18">
        <v>8690.0</v>
      </c>
      <c r="J24" s="9"/>
      <c r="K24" s="9">
        <f>5970+6130</f>
        <v>12100</v>
      </c>
      <c r="L24" s="9"/>
      <c r="M24" s="18"/>
      <c r="N24" s="18"/>
      <c r="O24" s="9"/>
      <c r="P24" s="18"/>
      <c r="Q24" s="18"/>
      <c r="R24" s="18"/>
    </row>
    <row r="25" ht="17.25" customHeight="1">
      <c r="A25" s="13">
        <f t="shared" si="1"/>
        <v>19</v>
      </c>
      <c r="B25" s="14">
        <v>45096.0</v>
      </c>
      <c r="C25" s="13"/>
      <c r="D25" s="13">
        <f>5580+8900+5420+18370</f>
        <v>38270</v>
      </c>
      <c r="E25" s="13">
        <f>11470</f>
        <v>11470</v>
      </c>
      <c r="F25" s="13"/>
      <c r="G25" s="13"/>
      <c r="H25" s="9"/>
      <c r="I25" s="9"/>
      <c r="J25" s="18">
        <v>34150.0</v>
      </c>
      <c r="K25" s="18">
        <v>7280.0</v>
      </c>
      <c r="L25" s="9"/>
      <c r="M25" s="9"/>
      <c r="N25" s="9"/>
      <c r="O25" s="9"/>
      <c r="P25" s="9"/>
      <c r="Q25" s="18"/>
      <c r="R25" s="9"/>
    </row>
    <row r="26" ht="17.25" customHeight="1">
      <c r="A26" s="13">
        <f t="shared" si="1"/>
        <v>20</v>
      </c>
      <c r="B26" s="14">
        <v>45097.0</v>
      </c>
      <c r="C26" s="13"/>
      <c r="D26" s="13">
        <f>10680+7330+17680+5690+5780+15040+11280</f>
        <v>73480</v>
      </c>
      <c r="E26" s="16">
        <f>12270+5380</f>
        <v>17650</v>
      </c>
      <c r="F26" s="16"/>
      <c r="G26" s="13"/>
      <c r="H26" s="18"/>
      <c r="I26" s="9"/>
      <c r="J26" s="18"/>
      <c r="K26" s="18">
        <f>6120+5000</f>
        <v>11120</v>
      </c>
      <c r="L26" s="9"/>
      <c r="M26" s="9"/>
      <c r="N26" s="9"/>
      <c r="O26" s="9"/>
      <c r="P26" s="9"/>
      <c r="Q26" s="18"/>
      <c r="R26" s="9"/>
    </row>
    <row r="27" ht="17.25" customHeight="1">
      <c r="A27" s="13">
        <f t="shared" si="1"/>
        <v>21</v>
      </c>
      <c r="B27" s="14">
        <v>45098.0</v>
      </c>
      <c r="C27" s="13"/>
      <c r="D27" s="13">
        <f>28460+7280+9560+10090+14150+7740+11710+8450+4670</f>
        <v>102110</v>
      </c>
      <c r="E27" s="13">
        <f>1480+7230+5170+3470+4820+2290+7880</f>
        <v>32340</v>
      </c>
      <c r="F27" s="13"/>
      <c r="G27" s="13"/>
      <c r="H27" s="18"/>
      <c r="I27" s="18">
        <v>9430.0</v>
      </c>
      <c r="J27" s="18">
        <f>31820+32030</f>
        <v>63850</v>
      </c>
      <c r="K27" s="9">
        <f>6340+5370+6440</f>
        <v>18150</v>
      </c>
      <c r="L27" s="9"/>
      <c r="M27" s="9"/>
      <c r="N27" s="18"/>
      <c r="O27" s="9"/>
      <c r="P27" s="18" t="s">
        <v>74</v>
      </c>
      <c r="Q27" s="18" t="s">
        <v>75</v>
      </c>
      <c r="R27" s="9"/>
    </row>
    <row r="28" ht="17.25" customHeight="1">
      <c r="A28" s="13">
        <f t="shared" si="1"/>
        <v>22</v>
      </c>
      <c r="B28" s="14">
        <v>45099.0</v>
      </c>
      <c r="C28" s="13"/>
      <c r="D28" s="13">
        <f>33300+9070+7230+6500+12230</f>
        <v>68330</v>
      </c>
      <c r="E28" s="13">
        <f>7650+4920+32410</f>
        <v>44980</v>
      </c>
      <c r="F28" s="16"/>
      <c r="G28" s="13"/>
      <c r="H28" s="9"/>
      <c r="I28" s="9"/>
      <c r="J28" s="13">
        <f>31940+32040</f>
        <v>63980</v>
      </c>
      <c r="K28" s="9">
        <f>5600+5690</f>
        <v>11290</v>
      </c>
      <c r="L28" s="18">
        <v>30450.0</v>
      </c>
      <c r="M28" s="9"/>
      <c r="N28" s="18"/>
      <c r="O28" s="9"/>
      <c r="P28" s="9"/>
      <c r="Q28" s="9"/>
      <c r="R28" s="9"/>
    </row>
    <row r="29" ht="17.25" customHeight="1">
      <c r="A29" s="13">
        <f t="shared" si="1"/>
        <v>23</v>
      </c>
      <c r="B29" s="14">
        <v>45069.0</v>
      </c>
      <c r="C29" s="13"/>
      <c r="D29" s="13">
        <f>36940+10960+6570</f>
        <v>54470</v>
      </c>
      <c r="E29" s="13">
        <f>6450+23890</f>
        <v>30340</v>
      </c>
      <c r="F29" s="16"/>
      <c r="G29" s="13"/>
      <c r="H29" s="18"/>
      <c r="I29" s="18"/>
      <c r="J29" s="18">
        <f>33550</f>
        <v>33550</v>
      </c>
      <c r="K29" s="18">
        <v>6930.0</v>
      </c>
      <c r="L29" s="18">
        <v>31070.0</v>
      </c>
      <c r="M29" s="18"/>
      <c r="N29" s="18"/>
      <c r="O29" s="9"/>
      <c r="P29" s="18"/>
      <c r="Q29" s="18"/>
      <c r="R29" s="18"/>
    </row>
    <row r="30" ht="17.25" customHeight="1">
      <c r="A30" s="13">
        <f t="shared" si="1"/>
        <v>24</v>
      </c>
      <c r="B30" s="14">
        <v>45070.0</v>
      </c>
      <c r="C30" s="13"/>
      <c r="D30" s="13">
        <f>11570+20350+6020</f>
        <v>37940</v>
      </c>
      <c r="E30" s="16">
        <v>12830.0</v>
      </c>
      <c r="F30" s="13"/>
      <c r="G30" s="13"/>
      <c r="H30" s="18"/>
      <c r="I30" s="18">
        <v>8070.0</v>
      </c>
      <c r="J30" s="9"/>
      <c r="K30" s="18">
        <v>6550.0</v>
      </c>
      <c r="L30" s="18"/>
      <c r="M30" s="18"/>
      <c r="N30" s="18"/>
      <c r="O30" s="9"/>
      <c r="P30" s="9">
        <f>39.21+37.6+38.6</f>
        <v>115.41</v>
      </c>
      <c r="Q30" s="18">
        <f>3.88+5.13+5.23</f>
        <v>14.24</v>
      </c>
      <c r="R30" s="18"/>
    </row>
    <row r="31" ht="17.25" customHeight="1">
      <c r="A31" s="13">
        <f t="shared" si="1"/>
        <v>25</v>
      </c>
      <c r="B31" s="14">
        <v>45102.0</v>
      </c>
      <c r="C31" s="13"/>
      <c r="D31" s="16">
        <v>5100.0</v>
      </c>
      <c r="E31" s="13"/>
      <c r="F31" s="13"/>
      <c r="G31" s="13"/>
      <c r="H31" s="9"/>
      <c r="I31" s="9"/>
      <c r="J31" s="9"/>
      <c r="K31" s="18"/>
      <c r="L31" s="18"/>
      <c r="M31" s="9"/>
      <c r="N31" s="18"/>
      <c r="O31" s="9"/>
      <c r="P31" s="18" t="s">
        <v>76</v>
      </c>
      <c r="Q31" s="18" t="s">
        <v>77</v>
      </c>
      <c r="R31" s="9"/>
    </row>
    <row r="32" ht="17.25" customHeight="1">
      <c r="A32" s="13">
        <f t="shared" si="1"/>
        <v>26</v>
      </c>
      <c r="B32" s="14">
        <v>45103.0</v>
      </c>
      <c r="C32" s="13"/>
      <c r="D32" s="13"/>
      <c r="E32" s="16"/>
      <c r="F32" s="13"/>
      <c r="G32" s="13"/>
      <c r="H32" s="9"/>
      <c r="I32" s="18"/>
      <c r="J32" s="18"/>
      <c r="K32" s="18"/>
      <c r="L32" s="18"/>
      <c r="M32" s="9"/>
      <c r="N32" s="9"/>
      <c r="O32" s="9"/>
      <c r="P32" s="9"/>
      <c r="Q32" s="9"/>
      <c r="R32" s="9"/>
    </row>
    <row r="33" ht="17.25" customHeight="1">
      <c r="A33" s="13">
        <f t="shared" si="1"/>
        <v>27</v>
      </c>
      <c r="B33" s="14">
        <v>45104.0</v>
      </c>
      <c r="C33" s="13"/>
      <c r="D33" s="13">
        <f>6010+7210+6680</f>
        <v>19900</v>
      </c>
      <c r="E33" s="16">
        <v>6170.0</v>
      </c>
      <c r="F33" s="13"/>
      <c r="G33" s="13"/>
      <c r="H33" s="9"/>
      <c r="I33" s="18"/>
      <c r="J33" s="9"/>
      <c r="K33" s="18"/>
      <c r="L33" s="18">
        <f>29940+32220</f>
        <v>62160</v>
      </c>
      <c r="M33" s="9"/>
      <c r="N33" s="9"/>
      <c r="O33" s="9"/>
      <c r="P33" s="9"/>
      <c r="Q33" s="9"/>
      <c r="R33" s="9"/>
    </row>
    <row r="34" ht="17.25" customHeight="1">
      <c r="A34" s="13">
        <f t="shared" si="1"/>
        <v>28</v>
      </c>
      <c r="B34" s="14">
        <v>45105.0</v>
      </c>
      <c r="C34" s="13"/>
      <c r="D34" s="16">
        <f>3380+5000</f>
        <v>8380</v>
      </c>
      <c r="E34" s="16"/>
      <c r="F34" s="13"/>
      <c r="G34" s="13"/>
      <c r="H34" s="9"/>
      <c r="I34" s="18">
        <v>9190.0</v>
      </c>
      <c r="J34" s="9"/>
      <c r="K34" s="18"/>
      <c r="L34" s="18">
        <v>33370.0</v>
      </c>
      <c r="M34" s="9"/>
      <c r="N34" s="9"/>
      <c r="O34" s="9"/>
      <c r="P34" s="9"/>
      <c r="Q34" s="9"/>
      <c r="R34" s="9"/>
    </row>
    <row r="35" ht="17.25" customHeight="1">
      <c r="A35" s="13">
        <f t="shared" si="1"/>
        <v>29</v>
      </c>
      <c r="B35" s="14">
        <v>45106.0</v>
      </c>
      <c r="C35" s="13"/>
      <c r="D35" s="16">
        <f>7970+6390+6020+6700</f>
        <v>27080</v>
      </c>
      <c r="E35" s="16">
        <v>3670.0</v>
      </c>
      <c r="F35" s="13"/>
      <c r="G35" s="13"/>
      <c r="H35" s="9"/>
      <c r="I35" s="9"/>
      <c r="J35" s="9"/>
      <c r="K35" s="18"/>
      <c r="L35" s="18">
        <v>32580.0</v>
      </c>
      <c r="M35" s="9"/>
      <c r="N35" s="9"/>
      <c r="O35" s="9"/>
      <c r="P35" s="9"/>
      <c r="Q35" s="9"/>
      <c r="R35" s="9"/>
    </row>
    <row r="36" ht="17.25" customHeight="1">
      <c r="A36" s="13">
        <f t="shared" si="1"/>
        <v>30</v>
      </c>
      <c r="B36" s="14">
        <v>45107.0</v>
      </c>
      <c r="C36" s="13"/>
      <c r="D36" s="16">
        <f>7520+6360+6010+6130+3200+5230+25570+10370</f>
        <v>70390</v>
      </c>
      <c r="E36" s="13">
        <f>5930+7540+2930</f>
        <v>16400</v>
      </c>
      <c r="F36" s="13"/>
      <c r="G36" s="13"/>
      <c r="H36" s="9"/>
      <c r="I36" s="9"/>
      <c r="J36" s="9"/>
      <c r="K36" s="18"/>
      <c r="L36" s="18">
        <v>26910.0</v>
      </c>
      <c r="M36" s="9"/>
      <c r="N36" s="9"/>
      <c r="O36" s="9"/>
      <c r="P36" s="9"/>
      <c r="Q36" s="9"/>
      <c r="R36" s="9"/>
    </row>
    <row r="37" ht="17.25" customHeight="1">
      <c r="A37" s="13">
        <f t="shared" si="1"/>
        <v>31</v>
      </c>
      <c r="B37" s="14">
        <v>45077.0</v>
      </c>
      <c r="C37" s="13"/>
      <c r="D37" s="16"/>
      <c r="E37" s="16"/>
      <c r="F37" s="13"/>
      <c r="G37" s="13"/>
      <c r="H37" s="9"/>
      <c r="I37" s="18"/>
      <c r="J37" s="18"/>
      <c r="K37" s="18"/>
      <c r="L37" s="18"/>
      <c r="M37" s="9"/>
      <c r="N37" s="9"/>
      <c r="O37" s="9"/>
      <c r="P37" s="18"/>
      <c r="Q37" s="18"/>
      <c r="R37" s="9"/>
    </row>
    <row r="38" ht="16.5" customHeight="1">
      <c r="A38" s="13" t="s">
        <v>39</v>
      </c>
      <c r="B38" s="13"/>
      <c r="C38" s="13"/>
      <c r="D38" s="19">
        <f t="shared" ref="D38:F38" si="2">SUM(D6:D37)</f>
        <v>1590450</v>
      </c>
      <c r="E38" s="19">
        <f t="shared" si="2"/>
        <v>808710</v>
      </c>
      <c r="F38" s="19">
        <f t="shared" si="2"/>
        <v>0</v>
      </c>
      <c r="G38" s="19"/>
      <c r="H38" s="19">
        <f t="shared" ref="H38:R38" si="3">SUM(H6:H37)</f>
        <v>62310</v>
      </c>
      <c r="I38" s="19">
        <f t="shared" si="3"/>
        <v>75870</v>
      </c>
      <c r="J38" s="19">
        <f t="shared" si="3"/>
        <v>1018490</v>
      </c>
      <c r="K38" s="19">
        <f t="shared" si="3"/>
        <v>249800</v>
      </c>
      <c r="L38" s="19">
        <f t="shared" si="3"/>
        <v>538220</v>
      </c>
      <c r="M38" s="19">
        <f t="shared" si="3"/>
        <v>0</v>
      </c>
      <c r="N38" s="19">
        <f t="shared" si="3"/>
        <v>0</v>
      </c>
      <c r="O38" s="19">
        <f t="shared" si="3"/>
        <v>0</v>
      </c>
      <c r="P38" s="19">
        <f t="shared" si="3"/>
        <v>115.41</v>
      </c>
      <c r="Q38" s="19">
        <f t="shared" si="3"/>
        <v>14.24</v>
      </c>
      <c r="R38" s="19">
        <f t="shared" si="3"/>
        <v>0</v>
      </c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ht="15.75" customHeight="1">
      <c r="D40" s="13"/>
      <c r="E40" s="13"/>
    </row>
    <row r="41" ht="15.75" customHeight="1"/>
    <row r="42" ht="15.75" customHeight="1"/>
    <row r="43" ht="15.75" customHeight="1"/>
    <row r="44" ht="15.75" customHeight="1">
      <c r="D44" s="13"/>
      <c r="E44" s="1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G5:G6"/>
    <mergeCell ref="H5:H6"/>
    <mergeCell ref="I5:I6"/>
    <mergeCell ref="J5:J6"/>
    <mergeCell ref="K5:L5"/>
    <mergeCell ref="M5:O5"/>
    <mergeCell ref="P5:R5"/>
    <mergeCell ref="A3:O3"/>
    <mergeCell ref="A5:A6"/>
    <mergeCell ref="B5:B6"/>
    <mergeCell ref="C5:C6"/>
    <mergeCell ref="D5:D6"/>
    <mergeCell ref="E5:E6"/>
    <mergeCell ref="F5:F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0"/>
    <col customWidth="1" min="3" max="3" width="15.86"/>
    <col customWidth="1" min="4" max="5" width="12.71"/>
    <col customWidth="1" min="6" max="6" width="11.43"/>
    <col customWidth="1" min="7" max="9" width="10.57"/>
    <col customWidth="1" min="10" max="10" width="12.71"/>
    <col customWidth="1" min="11" max="15" width="9.43"/>
    <col customWidth="1" min="16" max="28" width="8.0"/>
  </cols>
  <sheetData>
    <row r="3" ht="20.25" customHeight="1">
      <c r="A3" s="1" t="s">
        <v>0</v>
      </c>
    </row>
    <row r="4" ht="16.5" customHeight="1">
      <c r="A4" s="2"/>
      <c r="B4" s="3"/>
      <c r="C4" s="3"/>
      <c r="D4" s="3"/>
      <c r="E4" s="3"/>
      <c r="F4" s="3"/>
      <c r="G4" s="3"/>
      <c r="H4" s="3"/>
      <c r="I4" s="3"/>
    </row>
    <row r="5" ht="16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21" t="s">
        <v>40</v>
      </c>
      <c r="J5" s="4" t="s">
        <v>9</v>
      </c>
      <c r="K5" s="5" t="s">
        <v>10</v>
      </c>
      <c r="L5" s="7"/>
      <c r="M5" s="22" t="s">
        <v>41</v>
      </c>
      <c r="N5" s="6"/>
      <c r="O5" s="7"/>
      <c r="P5" s="23" t="s">
        <v>42</v>
      </c>
      <c r="Q5" s="6"/>
      <c r="R5" s="7"/>
    </row>
    <row r="6" ht="16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16" t="s">
        <v>43</v>
      </c>
      <c r="L6" s="16" t="s">
        <v>44</v>
      </c>
      <c r="M6" s="9" t="s">
        <v>12</v>
      </c>
      <c r="N6" s="18" t="s">
        <v>52</v>
      </c>
      <c r="O6" s="9" t="s">
        <v>14</v>
      </c>
      <c r="P6" s="24" t="s">
        <v>12</v>
      </c>
      <c r="Q6" s="24" t="s">
        <v>13</v>
      </c>
      <c r="R6" s="25" t="s">
        <v>14</v>
      </c>
    </row>
    <row r="7" ht="17.25" customHeight="1">
      <c r="A7" s="10">
        <f t="shared" ref="A7:A37" si="1">A6+1</f>
        <v>1</v>
      </c>
      <c r="B7" s="11">
        <v>45108.0</v>
      </c>
      <c r="C7" s="10"/>
      <c r="D7" s="10">
        <f>5310+7550+7510+4950+7630+4070+6200+10050+25200+6270+9300</f>
        <v>94040</v>
      </c>
      <c r="E7" s="10">
        <f>3530+4110+5590+6590+7760</f>
        <v>27580</v>
      </c>
      <c r="F7" s="10"/>
      <c r="G7" s="10"/>
      <c r="H7" s="9">
        <f>15930</f>
        <v>15930</v>
      </c>
      <c r="I7" s="9"/>
      <c r="J7" s="27">
        <v>32420.0</v>
      </c>
      <c r="K7" s="18"/>
      <c r="L7" s="18">
        <v>23210.0</v>
      </c>
      <c r="M7" s="9"/>
      <c r="N7" s="18"/>
      <c r="O7" s="18"/>
      <c r="P7" s="9"/>
      <c r="Q7" s="9"/>
      <c r="R7" s="9"/>
    </row>
    <row r="8" ht="17.25" customHeight="1">
      <c r="A8" s="13">
        <f t="shared" si="1"/>
        <v>2</v>
      </c>
      <c r="B8" s="14">
        <v>45109.0</v>
      </c>
      <c r="C8" s="10"/>
      <c r="D8" s="13">
        <f>5760+6250+7650+10290+7220+5510+4890+6480+5520+7810+13130</f>
        <v>80510</v>
      </c>
      <c r="E8" s="15">
        <f>5330+7780+17110</f>
        <v>30220</v>
      </c>
      <c r="F8" s="16"/>
      <c r="G8" s="13"/>
      <c r="H8" s="9"/>
      <c r="I8" s="18"/>
      <c r="J8" s="9"/>
      <c r="K8" s="9"/>
      <c r="L8" s="9"/>
      <c r="M8" s="9"/>
      <c r="N8" s="9"/>
      <c r="O8" s="9"/>
      <c r="P8" s="9"/>
      <c r="Q8" s="9"/>
      <c r="R8" s="9"/>
    </row>
    <row r="9" ht="17.25" customHeight="1">
      <c r="A9" s="13">
        <f t="shared" si="1"/>
        <v>3</v>
      </c>
      <c r="B9" s="14">
        <v>45110.0</v>
      </c>
      <c r="C9" s="13"/>
      <c r="D9" s="16">
        <f>5920+6350+8390+3470+940+6150+28400+5810+7240+11530+6810</f>
        <v>91010</v>
      </c>
      <c r="E9" s="16">
        <f>6430+5080+7390+7840+4760+4010+4790+4220+7150+6320+4160</f>
        <v>62150</v>
      </c>
      <c r="F9" s="16"/>
      <c r="G9" s="13"/>
      <c r="H9" s="18"/>
      <c r="I9" s="18">
        <v>9710.0</v>
      </c>
      <c r="J9" s="18">
        <v>35030.0</v>
      </c>
      <c r="K9" s="9"/>
      <c r="L9" s="18">
        <f>35550</f>
        <v>35550</v>
      </c>
      <c r="M9" s="9"/>
      <c r="N9" s="18"/>
      <c r="O9" s="9"/>
      <c r="P9" s="9"/>
      <c r="Q9" s="9"/>
      <c r="R9" s="9"/>
    </row>
    <row r="10" ht="17.25" customHeight="1">
      <c r="A10" s="13">
        <f t="shared" si="1"/>
        <v>4</v>
      </c>
      <c r="B10" s="14">
        <v>45111.0</v>
      </c>
      <c r="C10" s="13"/>
      <c r="D10" s="13">
        <f>6090+7650+8270+1140+7910+6080+7470+3830+23770</f>
        <v>72210</v>
      </c>
      <c r="E10" s="16">
        <f>8420+4680+8370+5490+5250+5850+6470+9460+5690+10450+5400</f>
        <v>75530</v>
      </c>
      <c r="F10" s="16"/>
      <c r="G10" s="13"/>
      <c r="H10" s="18"/>
      <c r="I10" s="18"/>
      <c r="J10" s="9">
        <f>31950+33270+33360</f>
        <v>98580</v>
      </c>
      <c r="K10" s="9"/>
      <c r="L10" s="18">
        <v>34140.0</v>
      </c>
      <c r="M10" s="18"/>
      <c r="N10" s="18"/>
      <c r="O10" s="9"/>
      <c r="P10" s="18"/>
      <c r="Q10" s="18"/>
      <c r="R10" s="18"/>
    </row>
    <row r="11" ht="17.25" customHeight="1">
      <c r="A11" s="13">
        <f t="shared" si="1"/>
        <v>5</v>
      </c>
      <c r="B11" s="14">
        <v>45112.0</v>
      </c>
      <c r="C11" s="13"/>
      <c r="D11" s="16">
        <f>9430+7940+7660+8020+8220+4650+6680+7030+10100+5260+8820</f>
        <v>83810</v>
      </c>
      <c r="E11" s="16">
        <f>7280+8920+5780+5250+4820+6010+7610+6880+7060+10100+2380+6270</f>
        <v>78360</v>
      </c>
      <c r="F11" s="16"/>
      <c r="G11" s="16"/>
      <c r="H11" s="18">
        <v>10500.0</v>
      </c>
      <c r="I11" s="9"/>
      <c r="J11" s="18">
        <v>31800.0</v>
      </c>
      <c r="K11" s="18"/>
      <c r="L11" s="18">
        <f>33670+31720</f>
        <v>65390</v>
      </c>
      <c r="M11" s="9"/>
      <c r="N11" s="18"/>
      <c r="O11" s="9"/>
      <c r="P11" s="18" t="s">
        <v>78</v>
      </c>
      <c r="Q11" s="18" t="s">
        <v>79</v>
      </c>
      <c r="R11" s="9"/>
    </row>
    <row r="12" ht="17.25" customHeight="1">
      <c r="A12" s="13">
        <f t="shared" si="1"/>
        <v>6</v>
      </c>
      <c r="B12" s="14">
        <v>45113.0</v>
      </c>
      <c r="C12" s="13"/>
      <c r="D12" s="16">
        <f>6970+27110+8690+7520+12500+9000+4740+6890+14170+4400+7400</f>
        <v>109390</v>
      </c>
      <c r="E12" s="16">
        <f>21250+9080+9510+5250+7180+6970+6110+4140+6430</f>
        <v>75920</v>
      </c>
      <c r="F12" s="16"/>
      <c r="G12" s="13"/>
      <c r="H12" s="18"/>
      <c r="I12" s="18"/>
      <c r="J12" s="16"/>
      <c r="K12" s="9"/>
      <c r="L12" s="18"/>
      <c r="M12" s="18"/>
      <c r="N12" s="18"/>
      <c r="O12" s="9"/>
      <c r="P12" s="18"/>
      <c r="Q12" s="18"/>
      <c r="R12" s="18" t="s">
        <v>80</v>
      </c>
    </row>
    <row r="13" ht="17.25" customHeight="1">
      <c r="A13" s="13">
        <f t="shared" si="1"/>
        <v>7</v>
      </c>
      <c r="B13" s="14">
        <v>45114.0</v>
      </c>
      <c r="C13" s="13"/>
      <c r="D13" s="16">
        <f>6590+14080+7320+9370+9200+8360+7760+8280+3320+53820+10270+11110+4180+7830</f>
        <v>161490</v>
      </c>
      <c r="E13" s="16">
        <f>5350+10240+10310+3340+4830+5930+8150+10070+6200+3930+19710+4200+7340+7160+6480+5480</f>
        <v>118720</v>
      </c>
      <c r="F13" s="16"/>
      <c r="G13" s="13"/>
      <c r="H13" s="18">
        <v>16480.0</v>
      </c>
      <c r="I13" s="18">
        <v>9240.0</v>
      </c>
      <c r="J13" s="9">
        <f>31800+31810+32860</f>
        <v>96470</v>
      </c>
      <c r="K13" s="9"/>
      <c r="L13" s="18">
        <f>25470+26540</f>
        <v>52010</v>
      </c>
      <c r="M13" s="9"/>
      <c r="N13" s="9"/>
      <c r="O13" s="9"/>
      <c r="P13" s="9"/>
      <c r="Q13" s="18"/>
      <c r="R13" s="9"/>
    </row>
    <row r="14" ht="17.25" customHeight="1">
      <c r="A14" s="13">
        <f t="shared" si="1"/>
        <v>8</v>
      </c>
      <c r="B14" s="14">
        <v>45115.0</v>
      </c>
      <c r="C14" s="13"/>
      <c r="D14" s="13">
        <f>9070+4690+6730+8370+19760+9350+5990+4990+9780+10090+9460+7810+23630+5970+10740+8180+10770</f>
        <v>165380</v>
      </c>
      <c r="E14" s="13">
        <f>3970+8240+3290+5440+6460+9450+7470+8150+7600+9140+4630+21520+21160+6750+7620+18920+6100+5690</f>
        <v>161600</v>
      </c>
      <c r="F14" s="13"/>
      <c r="G14" s="13"/>
      <c r="H14" s="18"/>
      <c r="I14" s="18"/>
      <c r="J14" s="9">
        <f>31970</f>
        <v>31970</v>
      </c>
      <c r="K14" s="18"/>
      <c r="L14" s="18"/>
      <c r="M14" s="18"/>
      <c r="N14" s="18"/>
      <c r="O14" s="9"/>
      <c r="P14" s="9"/>
      <c r="Q14" s="18"/>
      <c r="R14" s="9"/>
    </row>
    <row r="15" ht="17.25" customHeight="1">
      <c r="A15" s="13">
        <f t="shared" si="1"/>
        <v>9</v>
      </c>
      <c r="B15" s="14">
        <v>45116.0</v>
      </c>
      <c r="C15" s="13"/>
      <c r="D15" s="13">
        <f>7580+5570+9130+10460+5820+4330+5260+8850+8050+16170+12580</f>
        <v>93800</v>
      </c>
      <c r="E15" s="13">
        <f>4050+9740+3000+4490+4550+8210+4280+24130+3960+9650+7720+7090+7380+9550+15010+5820+6260+23790+6700+7560+5600+7350+7100+21690+4560</f>
        <v>219240</v>
      </c>
      <c r="F15" s="16"/>
      <c r="G15" s="13"/>
      <c r="H15" s="9"/>
      <c r="I15" s="18"/>
      <c r="J15" s="9">
        <f>34770+32960</f>
        <v>67730</v>
      </c>
      <c r="K15" s="18"/>
      <c r="L15" s="18"/>
      <c r="M15" s="9"/>
      <c r="N15" s="18"/>
      <c r="O15" s="9"/>
      <c r="P15" s="18"/>
      <c r="Q15" s="18"/>
      <c r="R15" s="9"/>
    </row>
    <row r="16" ht="17.25" customHeight="1">
      <c r="A16" s="13">
        <f t="shared" si="1"/>
        <v>10</v>
      </c>
      <c r="B16" s="14">
        <v>45117.0</v>
      </c>
      <c r="C16" s="13"/>
      <c r="D16" s="13">
        <f>6770+9390+4950+9510+7280+6400+7670+9520+14150+7460+5420+9460+9530+10480+11590+19450+58330</f>
        <v>207360</v>
      </c>
      <c r="E16" s="13">
        <f>5420+7600+6930+24300+510+7080+5930+8680+4140+7230+15550</f>
        <v>93370</v>
      </c>
      <c r="F16" s="13"/>
      <c r="G16" s="13"/>
      <c r="H16" s="18"/>
      <c r="I16" s="18"/>
      <c r="J16" s="9">
        <f>32760+32770</f>
        <v>65530</v>
      </c>
      <c r="K16" s="9"/>
      <c r="L16" s="18"/>
      <c r="M16" s="18"/>
      <c r="N16" s="18"/>
      <c r="O16" s="18"/>
      <c r="P16" s="18"/>
      <c r="Q16" s="18"/>
      <c r="R16" s="18"/>
    </row>
    <row r="17" ht="17.25" customHeight="1">
      <c r="A17" s="13">
        <f t="shared" si="1"/>
        <v>11</v>
      </c>
      <c r="B17" s="14">
        <v>45118.0</v>
      </c>
      <c r="C17" s="13"/>
      <c r="D17" s="16">
        <f>4570+8810+8390+7990+5850+3140+12040+5480+6970+9040+5100+1990+9700+6360+9450+3820+9480+5880+7670</f>
        <v>131730</v>
      </c>
      <c r="E17" s="13">
        <f>4980+6250+4820+6640+14600+6380+7470+7650+3710+8150+6760+8140+8240+4630+6640+6880+7910+6200+7270+6050+4020</f>
        <v>143390</v>
      </c>
      <c r="F17" s="16"/>
      <c r="G17" s="13"/>
      <c r="H17" s="18"/>
      <c r="I17" s="18"/>
      <c r="J17" s="18">
        <f>32340+32630</f>
        <v>64970</v>
      </c>
      <c r="K17" s="9"/>
      <c r="L17" s="18"/>
      <c r="M17" s="18"/>
      <c r="N17" s="26"/>
      <c r="O17" s="9"/>
      <c r="P17" s="18"/>
      <c r="Q17" s="18"/>
      <c r="R17" s="18"/>
    </row>
    <row r="18" ht="17.25" customHeight="1">
      <c r="A18" s="13">
        <f t="shared" si="1"/>
        <v>12</v>
      </c>
      <c r="B18" s="14">
        <v>45119.0</v>
      </c>
      <c r="C18" s="13"/>
      <c r="D18" s="13">
        <f>9380+5830+9790+5630+13260+10870+2780+15210+8900+10440+6340+3430+9510+7940+9110+7730+5690+9820+6050+9740+9340+8050</f>
        <v>184840</v>
      </c>
      <c r="E18" s="13">
        <f>6360+7430+4050+1250+7200+6300+5900+7880+7450+5980+8430+3840+7820+6460+5100+6140</f>
        <v>97590</v>
      </c>
      <c r="F18" s="16">
        <v>6600.0</v>
      </c>
      <c r="G18" s="13"/>
      <c r="H18" s="9"/>
      <c r="I18" s="9"/>
      <c r="J18" s="9">
        <f>32320+32380+30850+32750</f>
        <v>128300</v>
      </c>
      <c r="K18" s="18"/>
      <c r="L18" s="18"/>
      <c r="M18" s="9"/>
      <c r="N18" s="9"/>
      <c r="O18" s="9"/>
      <c r="P18" s="9"/>
      <c r="Q18" s="18"/>
      <c r="R18" s="9"/>
    </row>
    <row r="19" ht="17.25" customHeight="1">
      <c r="A19" s="13">
        <f t="shared" si="1"/>
        <v>13</v>
      </c>
      <c r="B19" s="14">
        <v>45120.0</v>
      </c>
      <c r="C19" s="13"/>
      <c r="D19" s="16">
        <f>9280+6650+9060+8130+8900+8030+6510+5260+9640+7940+7450+9210+6550+5170+20240+17090+1760+1420</f>
        <v>148290</v>
      </c>
      <c r="E19" s="13">
        <f>6360+8750+3250+2140+5790+4200+10610+14580+6740+5500+6980+6220+4770+8410+15510+3820+11260+1660+5920+6510+5900+6620+6970+7970</f>
        <v>166440</v>
      </c>
      <c r="F19" s="13"/>
      <c r="G19" s="13"/>
      <c r="H19" s="9"/>
      <c r="I19" s="18">
        <v>9080.0</v>
      </c>
      <c r="J19" s="18">
        <f>32470+31940+30860</f>
        <v>95270</v>
      </c>
      <c r="K19" s="9"/>
      <c r="L19" s="9">
        <f>26020+31750</f>
        <v>57770</v>
      </c>
      <c r="M19" s="9"/>
      <c r="N19" s="9"/>
      <c r="O19" s="9"/>
      <c r="P19" s="18"/>
      <c r="Q19" s="18"/>
      <c r="R19" s="9"/>
    </row>
    <row r="20" ht="17.25" customHeight="1">
      <c r="A20" s="13">
        <f t="shared" si="1"/>
        <v>14</v>
      </c>
      <c r="B20" s="14">
        <v>45121.0</v>
      </c>
      <c r="C20" s="13"/>
      <c r="D20" s="16">
        <f>6520+17300+4600+8730+2060+7540+3370+6910+7090+6430+7170+8200+4760+7870+4850+9280+4290+14780+11930+6030+6890+5970+4460+7830+6720+6260+7240+6710+6420</f>
        <v>208210</v>
      </c>
      <c r="E20" s="16">
        <f>3340+9970+4210+4570+2150+4550+7460+8560+23840+5970+6360+15480+6020+6570+7980+4020+5460+5960+7230+7360+6650</f>
        <v>153710</v>
      </c>
      <c r="F20" s="13"/>
      <c r="G20" s="13"/>
      <c r="H20" s="18">
        <v>10710.0</v>
      </c>
      <c r="I20" s="18"/>
      <c r="J20" s="9">
        <f>32390+31150</f>
        <v>63540</v>
      </c>
      <c r="K20" s="18"/>
      <c r="L20" s="18">
        <v>32700.0</v>
      </c>
      <c r="M20" s="9"/>
      <c r="N20" s="9"/>
      <c r="O20" s="9"/>
      <c r="P20" s="9"/>
      <c r="Q20" s="9"/>
      <c r="R20" s="9"/>
    </row>
    <row r="21" ht="17.25" customHeight="1">
      <c r="A21" s="13">
        <f t="shared" si="1"/>
        <v>15</v>
      </c>
      <c r="B21" s="14">
        <v>45122.0</v>
      </c>
      <c r="C21" s="13"/>
      <c r="D21" s="13">
        <f>3760+10960+9550+7370+8090+8260+3500+2060+6180+6770+7730+8140+2000+8950</f>
        <v>93320</v>
      </c>
      <c r="E21" s="13">
        <f>7740+6720+7300+9370+4570+5660+8200+2480+6390+6590+6130+8130+8040+6930+7400+4870+7000+7420+9070+6390+7130+5090+5280+4560+7080+6570+8050+22310</f>
        <v>202470</v>
      </c>
      <c r="F21" s="13"/>
      <c r="G21" s="13"/>
      <c r="H21" s="18">
        <v>11280.0</v>
      </c>
      <c r="I21" s="18">
        <v>8880.0</v>
      </c>
      <c r="J21" s="13">
        <f>32510+33140+31340</f>
        <v>96990</v>
      </c>
      <c r="K21" s="9"/>
      <c r="L21" s="18">
        <v>23820.0</v>
      </c>
      <c r="M21" s="9"/>
      <c r="N21" s="9"/>
      <c r="O21" s="9"/>
      <c r="P21" s="18" t="s">
        <v>81</v>
      </c>
      <c r="Q21" s="18" t="s">
        <v>82</v>
      </c>
      <c r="R21" s="18" t="s">
        <v>83</v>
      </c>
    </row>
    <row r="22" ht="17.25" customHeight="1">
      <c r="A22" s="13">
        <f t="shared" si="1"/>
        <v>16</v>
      </c>
      <c r="B22" s="14">
        <v>45123.0</v>
      </c>
      <c r="C22" s="13"/>
      <c r="D22" s="16">
        <f>12010+2730+4880+5360+5720+4310+5540+6210+7660+6180+7630+7360+4180+7510+7200+9240+8560+7580+9360+6410+8750+14760+7710+4670+8330</f>
        <v>179850</v>
      </c>
      <c r="E22" s="13">
        <f>5620+1710+4500+4380+8180+2410+3670+6610+7520+8810+6400+8920+6550+6020+5670+7490+8000+6320+20970</f>
        <v>129750</v>
      </c>
      <c r="F22" s="13"/>
      <c r="G22" s="13"/>
      <c r="H22" s="18">
        <v>10580.0</v>
      </c>
      <c r="I22" s="9"/>
      <c r="J22" s="18">
        <v>32340.0</v>
      </c>
      <c r="K22" s="18"/>
      <c r="L22" s="18"/>
      <c r="M22" s="9"/>
      <c r="N22" s="9"/>
      <c r="O22" s="9"/>
      <c r="P22" s="18"/>
      <c r="Q22" s="18"/>
      <c r="R22" s="18" t="s">
        <v>84</v>
      </c>
    </row>
    <row r="23" ht="17.25" customHeight="1">
      <c r="A23" s="13">
        <f t="shared" si="1"/>
        <v>17</v>
      </c>
      <c r="B23" s="14">
        <v>45124.0</v>
      </c>
      <c r="C23" s="13"/>
      <c r="D23" s="16">
        <f>8820+9820+15790+10270+8510+7870+10140+20110+7140+5270+5920+11890+8510+9170+5370+8780+7290+5440+5340</f>
        <v>171450</v>
      </c>
      <c r="E23" s="16">
        <f>5120+3010+6980+7940+3980+4850+4250+8050+16650+9170+4960+6710+5330+6720+6830+6650+6490+6980+8360+7870+8130+4830+4310+5570+5690+6540+4810+5740+8270+20740+4560+6650</f>
        <v>222740</v>
      </c>
      <c r="F23" s="13"/>
      <c r="G23" s="13"/>
      <c r="H23" s="18">
        <v>11080.0</v>
      </c>
      <c r="I23" s="9"/>
      <c r="J23" s="13">
        <f>32450+30610</f>
        <v>63060</v>
      </c>
      <c r="K23" s="18"/>
      <c r="L23" s="9"/>
      <c r="M23" s="9"/>
      <c r="N23" s="9"/>
      <c r="O23" s="9"/>
      <c r="P23" s="18"/>
      <c r="Q23" s="18"/>
      <c r="R23" s="18" t="s">
        <v>85</v>
      </c>
    </row>
    <row r="24" ht="17.25" customHeight="1">
      <c r="A24" s="13">
        <f t="shared" si="1"/>
        <v>18</v>
      </c>
      <c r="B24" s="14">
        <v>45125.0</v>
      </c>
      <c r="C24" s="13"/>
      <c r="D24" s="13">
        <f>7230+4140+5150+6360+5880+5890+4530+8640+7340+5360+9820+8830+7120+3460+6450</f>
        <v>96200</v>
      </c>
      <c r="E24" s="13">
        <f>4930+3100+5360+9200+6400+5880+8640+8140+6090+5400+7690+7960+5530+8460</f>
        <v>92780</v>
      </c>
      <c r="F24" s="13"/>
      <c r="G24" s="13"/>
      <c r="H24" s="18">
        <v>11160.0</v>
      </c>
      <c r="I24" s="18"/>
      <c r="J24" s="9">
        <f>32760+30320</f>
        <v>63080</v>
      </c>
      <c r="K24" s="9"/>
      <c r="L24" s="9"/>
      <c r="M24" s="18"/>
      <c r="N24" s="18"/>
      <c r="O24" s="9"/>
      <c r="P24" s="18"/>
      <c r="Q24" s="18"/>
      <c r="R24" s="18"/>
    </row>
    <row r="25" ht="17.25" customHeight="1">
      <c r="A25" s="13">
        <f t="shared" si="1"/>
        <v>19</v>
      </c>
      <c r="B25" s="14">
        <v>45126.0</v>
      </c>
      <c r="C25" s="13"/>
      <c r="D25" s="13">
        <f>4870+9470+7910+8420+13880</f>
        <v>44550</v>
      </c>
      <c r="E25" s="13">
        <f>5550+9340+2570+6590+8400+8100+7460+6100+5350+20130+7310</f>
        <v>86900</v>
      </c>
      <c r="F25" s="13"/>
      <c r="G25" s="13"/>
      <c r="H25" s="9"/>
      <c r="I25" s="18">
        <v>9310.0</v>
      </c>
      <c r="J25" s="18">
        <f>32600+36400+31830</f>
        <v>100830</v>
      </c>
      <c r="K25" s="18"/>
      <c r="L25" s="9"/>
      <c r="M25" s="9"/>
      <c r="N25" s="9"/>
      <c r="O25" s="9"/>
      <c r="P25" s="9"/>
      <c r="Q25" s="18"/>
      <c r="R25" s="9"/>
    </row>
    <row r="26" ht="17.25" customHeight="1">
      <c r="A26" s="13">
        <f t="shared" si="1"/>
        <v>20</v>
      </c>
      <c r="B26" s="14">
        <v>45127.0</v>
      </c>
      <c r="C26" s="13"/>
      <c r="D26" s="16">
        <f>7310+5320+1890+8110+8040+9550+4670</f>
        <v>44890</v>
      </c>
      <c r="E26" s="16">
        <f>5330+1690+7190+24550+8270+6200</f>
        <v>53230</v>
      </c>
      <c r="F26" s="16"/>
      <c r="G26" s="13"/>
      <c r="H26" s="18">
        <v>11850.0</v>
      </c>
      <c r="I26" s="9"/>
      <c r="J26" s="13">
        <f>32760+31650+31730+33990</f>
        <v>130130</v>
      </c>
      <c r="K26" s="18"/>
      <c r="L26" s="18">
        <v>22410.0</v>
      </c>
      <c r="M26" s="9"/>
      <c r="N26" s="9"/>
      <c r="O26" s="9"/>
      <c r="P26" s="9"/>
      <c r="Q26" s="18"/>
      <c r="R26" s="9"/>
    </row>
    <row r="27" ht="17.25" customHeight="1">
      <c r="A27" s="13">
        <f t="shared" si="1"/>
        <v>21</v>
      </c>
      <c r="B27" s="14">
        <v>45128.0</v>
      </c>
      <c r="C27" s="13"/>
      <c r="D27" s="13">
        <f>7230+7480+4530+3060+3060+4500+4620+4000+7960</f>
        <v>46440</v>
      </c>
      <c r="E27" s="13">
        <f>2940+4580+9030+8540+2700+6460</f>
        <v>34250</v>
      </c>
      <c r="F27" s="13"/>
      <c r="G27" s="13"/>
      <c r="H27" s="18">
        <v>11440.0</v>
      </c>
      <c r="I27" s="18"/>
      <c r="J27" s="18">
        <v>32350.0</v>
      </c>
      <c r="K27" s="9"/>
      <c r="L27" s="9"/>
      <c r="M27" s="9"/>
      <c r="N27" s="18"/>
      <c r="O27" s="9"/>
      <c r="P27" s="18" t="s">
        <v>86</v>
      </c>
      <c r="Q27" s="18" t="s">
        <v>87</v>
      </c>
      <c r="R27" s="9"/>
    </row>
    <row r="28" ht="17.25" customHeight="1">
      <c r="A28" s="13">
        <f t="shared" si="1"/>
        <v>22</v>
      </c>
      <c r="B28" s="14">
        <v>45129.0</v>
      </c>
      <c r="C28" s="13"/>
      <c r="D28" s="13">
        <f>1500+6490+5930+5030+3830+6040</f>
        <v>28820</v>
      </c>
      <c r="E28" s="13">
        <f>3990+3810+6000+5060+6750+7960+3310+7150+6980+5410+7670</f>
        <v>64090</v>
      </c>
      <c r="F28" s="16"/>
      <c r="G28" s="13"/>
      <c r="H28" s="9"/>
      <c r="I28" s="18">
        <v>9510.0</v>
      </c>
      <c r="J28" s="13">
        <f>29980+31880+30350+30600++29800</f>
        <v>152610</v>
      </c>
      <c r="K28" s="9"/>
      <c r="L28" s="18"/>
      <c r="M28" s="9"/>
      <c r="N28" s="18"/>
      <c r="O28" s="9"/>
      <c r="P28" s="9"/>
      <c r="Q28" s="9"/>
      <c r="R28" s="9"/>
    </row>
    <row r="29" ht="17.25" customHeight="1">
      <c r="A29" s="13">
        <f t="shared" si="1"/>
        <v>23</v>
      </c>
      <c r="B29" s="14">
        <v>45130.0</v>
      </c>
      <c r="C29" s="13"/>
      <c r="D29" s="13">
        <f>7100+7270+7990+9410+7760+7470+4120+5700+8910+6710+3380+9000+7710+5140+9150+2250</f>
        <v>109070</v>
      </c>
      <c r="E29" s="13">
        <f>6420+4600+3880+6210+6220+6480+6670+6280+7450+6590+2850+7300+6970+5610+6060+4060+6640+5940+7480+6740+3690+7120+7320+7900</f>
        <v>146480</v>
      </c>
      <c r="F29" s="16"/>
      <c r="G29" s="13"/>
      <c r="H29" s="18"/>
      <c r="I29" s="18"/>
      <c r="J29" s="18">
        <f>32080+29710+30970+31560+31200+29800+34980</f>
        <v>220300</v>
      </c>
      <c r="K29" s="18"/>
      <c r="L29" s="18"/>
      <c r="M29" s="18"/>
      <c r="N29" s="18"/>
      <c r="O29" s="9"/>
      <c r="P29" s="18"/>
      <c r="Q29" s="18"/>
      <c r="R29" s="18"/>
    </row>
    <row r="30" ht="17.25" customHeight="1">
      <c r="A30" s="13">
        <f t="shared" si="1"/>
        <v>24</v>
      </c>
      <c r="B30" s="14">
        <v>45131.0</v>
      </c>
      <c r="C30" s="13"/>
      <c r="D30" s="13">
        <f>6510+3870+8100+6540+3760+10190+6070+7280+8770+8310+4220+10270+5550+6720+4860+8180+9510+6260+8000</f>
        <v>132970</v>
      </c>
      <c r="E30" s="16">
        <f>7060+4200+5520+4110+8550+7020+6360+5610+6190+6320+7110+4130+7040+6860+8090+7320+7150+6410+4580+7030+6280+6740+9210</f>
        <v>148890</v>
      </c>
      <c r="F30" s="13"/>
      <c r="G30" s="13"/>
      <c r="H30" s="18"/>
      <c r="I30" s="18"/>
      <c r="J30" s="9">
        <f>32430+32120+32760+30630+31810</f>
        <v>159750</v>
      </c>
      <c r="K30" s="18"/>
      <c r="L30" s="18">
        <f>26510+33450+22640</f>
        <v>82600</v>
      </c>
      <c r="M30" s="18"/>
      <c r="N30" s="18"/>
      <c r="O30" s="9"/>
      <c r="P30" s="9"/>
      <c r="Q30" s="18"/>
      <c r="R30" s="18"/>
    </row>
    <row r="31" ht="17.25" customHeight="1">
      <c r="A31" s="13">
        <f t="shared" si="1"/>
        <v>25</v>
      </c>
      <c r="B31" s="14">
        <v>45132.0</v>
      </c>
      <c r="C31" s="13"/>
      <c r="D31" s="16">
        <f>7720+8680+6950+5550+5030+8840+6630+6970+7190+7680+6680+7270+12170+11780+5890+7500+6190+6330+6120+7180+7740+6230</f>
        <v>162320</v>
      </c>
      <c r="E31" s="13">
        <f>9800+6460+10090+7040+5360+4440+7860+6100+6730+8590+6090+7840+6940+5720+6830+7190+7100+6730+7460+7770+5950+6260+8470</f>
        <v>162820</v>
      </c>
      <c r="F31" s="13"/>
      <c r="G31" s="13"/>
      <c r="H31" s="9"/>
      <c r="I31" s="9"/>
      <c r="J31" s="9">
        <f>32250+32860+32670+32000</f>
        <v>129780</v>
      </c>
      <c r="K31" s="18"/>
      <c r="L31" s="18">
        <f>27300+27750</f>
        <v>55050</v>
      </c>
      <c r="M31" s="9"/>
      <c r="N31" s="18"/>
      <c r="O31" s="9"/>
      <c r="P31" s="18"/>
      <c r="Q31" s="18"/>
      <c r="R31" s="9"/>
    </row>
    <row r="32" ht="17.25" customHeight="1">
      <c r="A32" s="13">
        <f t="shared" si="1"/>
        <v>26</v>
      </c>
      <c r="B32" s="14">
        <v>45133.0</v>
      </c>
      <c r="C32" s="13"/>
      <c r="D32" s="16">
        <f>9450+7910+7710+5210+4770+8650+5760+7270+3140+4090+7040+9560+8710+10380+5000+8190+10140+3980+4960+6230+8920+8560+8970+5700+4410</f>
        <v>174710</v>
      </c>
      <c r="E32" s="16">
        <f>5240+3030+6800+7660+8230+23050+7830+6200+6750+4920+6160+6850+5510+7240+7440+6830+6710+2040+6600+6480+6380</f>
        <v>147950</v>
      </c>
      <c r="F32" s="13"/>
      <c r="G32" s="13"/>
      <c r="H32" s="18">
        <v>12560.0</v>
      </c>
      <c r="I32" s="18">
        <v>8970.0</v>
      </c>
      <c r="J32" s="13">
        <f>32040+32740</f>
        <v>64780</v>
      </c>
      <c r="K32" s="18"/>
      <c r="L32" s="18">
        <v>27700.0</v>
      </c>
      <c r="M32" s="18" t="s">
        <v>88</v>
      </c>
      <c r="N32" s="18" t="s">
        <v>89</v>
      </c>
      <c r="O32" s="9"/>
      <c r="P32" s="9"/>
      <c r="Q32" s="9"/>
      <c r="R32" s="9"/>
    </row>
    <row r="33" ht="17.25" customHeight="1">
      <c r="A33" s="13">
        <f t="shared" si="1"/>
        <v>27</v>
      </c>
      <c r="B33" s="14">
        <v>45134.0</v>
      </c>
      <c r="C33" s="13"/>
      <c r="D33" s="13">
        <f>6390+7890+8540+10940+9270+8170+6220+10350+8510+12080+7480+4800+5910+6100+5610+10840+5740+5090+4800+6370+1950+9060</f>
        <v>162110</v>
      </c>
      <c r="E33" s="16">
        <f>6470+6080+5550+5560+8620+6090+20040+5040+5940+7720+8990+4900+6420+6760+7070+5960+4490+1680+7380+6240+8560</f>
        <v>145560</v>
      </c>
      <c r="F33" s="13"/>
      <c r="G33" s="13"/>
      <c r="H33" s="18">
        <v>12830.0</v>
      </c>
      <c r="I33" s="18">
        <v>8880.0</v>
      </c>
      <c r="J33" s="13">
        <f>31830+32170</f>
        <v>64000</v>
      </c>
      <c r="K33" s="18"/>
      <c r="L33" s="18"/>
      <c r="M33" s="9"/>
      <c r="N33" s="9"/>
      <c r="O33" s="9"/>
      <c r="P33" s="9"/>
      <c r="Q33" s="9"/>
      <c r="R33" s="9"/>
    </row>
    <row r="34" ht="17.25" customHeight="1">
      <c r="A34" s="13">
        <f t="shared" si="1"/>
        <v>28</v>
      </c>
      <c r="B34" s="14">
        <v>45135.0</v>
      </c>
      <c r="C34" s="13"/>
      <c r="D34" s="16">
        <f>8610+4190+3630+8260+8020+1880+7000+5130+3730</f>
        <v>50450</v>
      </c>
      <c r="E34" s="16">
        <f>8490+7690+8510+7150+4690+6260+7370+4950+6820+8250+8120+6520+6180+6410+6120+8500+6180+9200+3940+8050+7830+6570</f>
        <v>153800</v>
      </c>
      <c r="F34" s="13"/>
      <c r="G34" s="13"/>
      <c r="H34" s="9"/>
      <c r="I34" s="18"/>
      <c r="J34" s="9">
        <f>33170+33930+31850+33090</f>
        <v>132040</v>
      </c>
      <c r="K34" s="18"/>
      <c r="L34" s="18"/>
      <c r="M34" s="9"/>
      <c r="N34" s="9"/>
      <c r="O34" s="9"/>
      <c r="P34" s="9"/>
      <c r="Q34" s="9"/>
      <c r="R34" s="9"/>
    </row>
    <row r="35" ht="17.25" customHeight="1">
      <c r="A35" s="13">
        <f t="shared" si="1"/>
        <v>29</v>
      </c>
      <c r="B35" s="14">
        <v>45136.0</v>
      </c>
      <c r="C35" s="13"/>
      <c r="D35" s="16">
        <f>8050+8730+7920+9600+8530+3700+6670+8110+6080+7230+4410+8220+5260+6750+8100</f>
        <v>107360</v>
      </c>
      <c r="E35" s="16">
        <f>6160+7080+3850+6160+5250+8370+5250+6430+8020+6750+7590+7610+5580+8290</f>
        <v>92390</v>
      </c>
      <c r="F35" s="13"/>
      <c r="G35" s="13"/>
      <c r="H35" s="9"/>
      <c r="I35" s="9"/>
      <c r="J35" s="9">
        <f>31920+33350+32220+32580</f>
        <v>130070</v>
      </c>
      <c r="K35" s="18"/>
      <c r="L35" s="18">
        <v>30750.0</v>
      </c>
      <c r="M35" s="9"/>
      <c r="N35" s="9"/>
      <c r="O35" s="9"/>
      <c r="P35" s="9"/>
      <c r="Q35" s="9"/>
      <c r="R35" s="9"/>
    </row>
    <row r="36" ht="17.25" customHeight="1">
      <c r="A36" s="13">
        <f t="shared" si="1"/>
        <v>30</v>
      </c>
      <c r="B36" s="14">
        <v>45137.0</v>
      </c>
      <c r="C36" s="13"/>
      <c r="D36" s="16">
        <f>27930+8010+8400+5540+8120+6390+6600+7690+7360+6690+4670+12710+1940+8080+10490</f>
        <v>130620</v>
      </c>
      <c r="E36" s="13">
        <f>8820+3650+5890+7110+9040+6860+5850+4740+7100+7550+8410</f>
        <v>75020</v>
      </c>
      <c r="F36" s="13"/>
      <c r="G36" s="13"/>
      <c r="H36" s="9"/>
      <c r="I36" s="9"/>
      <c r="J36" s="9">
        <f>33530+33910</f>
        <v>67440</v>
      </c>
      <c r="K36" s="18"/>
      <c r="L36" s="18">
        <v>33570.0</v>
      </c>
      <c r="M36" s="9"/>
      <c r="N36" s="9"/>
      <c r="O36" s="9"/>
      <c r="P36" s="9"/>
      <c r="Q36" s="9"/>
      <c r="R36" s="9"/>
    </row>
    <row r="37" ht="17.25" customHeight="1">
      <c r="A37" s="13">
        <f t="shared" si="1"/>
        <v>31</v>
      </c>
      <c r="B37" s="14">
        <v>45138.0</v>
      </c>
      <c r="C37" s="13"/>
      <c r="D37" s="16">
        <f>5680+5510+8400+9540+6710+6130+5730+7760</f>
        <v>55460</v>
      </c>
      <c r="E37" s="16">
        <f>6470+7100+6810+5780+7530+7260</f>
        <v>40950</v>
      </c>
      <c r="F37" s="13"/>
      <c r="G37" s="13"/>
      <c r="H37" s="18">
        <v>12540.0</v>
      </c>
      <c r="I37" s="18">
        <v>9230.0</v>
      </c>
      <c r="J37" s="18">
        <f>31750+30440+33600</f>
        <v>95790</v>
      </c>
      <c r="K37" s="18"/>
      <c r="L37" s="18"/>
      <c r="M37" s="9"/>
      <c r="N37" s="9"/>
      <c r="O37" s="9"/>
      <c r="P37" s="18">
        <f>39.76+40.09</f>
        <v>79.85</v>
      </c>
      <c r="Q37" s="18">
        <f>3.96+4.42</f>
        <v>8.38</v>
      </c>
      <c r="R37" s="9"/>
    </row>
    <row r="38" ht="16.5" customHeight="1">
      <c r="A38" s="13" t="s">
        <v>39</v>
      </c>
      <c r="B38" s="13"/>
      <c r="C38" s="13"/>
      <c r="D38" s="19">
        <f t="shared" ref="D38:F38" si="2">SUM(D6:D37)</f>
        <v>3622660</v>
      </c>
      <c r="E38" s="19">
        <f t="shared" si="2"/>
        <v>3503890</v>
      </c>
      <c r="F38" s="19">
        <f t="shared" si="2"/>
        <v>6600</v>
      </c>
      <c r="G38" s="19"/>
      <c r="H38" s="19">
        <f t="shared" ref="H38:R38" si="3">SUM(H6:H37)</f>
        <v>158940</v>
      </c>
      <c r="I38" s="19">
        <f t="shared" si="3"/>
        <v>82810</v>
      </c>
      <c r="J38" s="19">
        <f t="shared" si="3"/>
        <v>2546950</v>
      </c>
      <c r="K38" s="19">
        <f t="shared" si="3"/>
        <v>0</v>
      </c>
      <c r="L38" s="19">
        <f t="shared" si="3"/>
        <v>576670</v>
      </c>
      <c r="M38" s="19">
        <f t="shared" si="3"/>
        <v>0</v>
      </c>
      <c r="N38" s="19">
        <f t="shared" si="3"/>
        <v>0</v>
      </c>
      <c r="O38" s="19">
        <f t="shared" si="3"/>
        <v>0</v>
      </c>
      <c r="P38" s="19">
        <f t="shared" si="3"/>
        <v>79.85</v>
      </c>
      <c r="Q38" s="19">
        <f t="shared" si="3"/>
        <v>8.38</v>
      </c>
      <c r="R38" s="19">
        <f t="shared" si="3"/>
        <v>0</v>
      </c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ht="15.75" customHeight="1">
      <c r="D40" s="13"/>
      <c r="E40" s="13"/>
    </row>
    <row r="41" ht="15.75" customHeight="1"/>
    <row r="42" ht="15.75" customHeight="1"/>
    <row r="43" ht="15.75" customHeight="1"/>
    <row r="44" ht="15.75" customHeight="1">
      <c r="D44" s="13"/>
      <c r="E44" s="1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G5:G6"/>
    <mergeCell ref="H5:H6"/>
    <mergeCell ref="I5:I6"/>
    <mergeCell ref="J5:J6"/>
    <mergeCell ref="K5:L5"/>
    <mergeCell ref="M5:O5"/>
    <mergeCell ref="P5:R5"/>
    <mergeCell ref="A3:O3"/>
    <mergeCell ref="A5:A6"/>
    <mergeCell ref="B5:B6"/>
    <mergeCell ref="C5:C6"/>
    <mergeCell ref="D5:D6"/>
    <mergeCell ref="E5:E6"/>
    <mergeCell ref="F5:F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0"/>
    <col customWidth="1" min="3" max="3" width="15.86"/>
    <col customWidth="1" min="4" max="5" width="12.71"/>
    <col customWidth="1" min="6" max="6" width="11.43"/>
    <col customWidth="1" min="7" max="9" width="10.57"/>
    <col customWidth="1" min="10" max="10" width="12.71"/>
    <col customWidth="1" min="11" max="15" width="9.43"/>
    <col customWidth="1" min="16" max="28" width="8.0"/>
  </cols>
  <sheetData>
    <row r="3" ht="20.25" customHeight="1">
      <c r="A3" s="1" t="s">
        <v>0</v>
      </c>
    </row>
    <row r="4" ht="16.5" customHeight="1">
      <c r="A4" s="2"/>
      <c r="B4" s="3"/>
      <c r="C4" s="3"/>
      <c r="D4" s="3"/>
      <c r="E4" s="3"/>
      <c r="F4" s="3"/>
      <c r="G4" s="3"/>
      <c r="H4" s="3"/>
      <c r="I4" s="3"/>
    </row>
    <row r="5" ht="16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21" t="s">
        <v>40</v>
      </c>
      <c r="J5" s="4" t="s">
        <v>9</v>
      </c>
      <c r="K5" s="5" t="s">
        <v>10</v>
      </c>
      <c r="L5" s="7"/>
      <c r="M5" s="22" t="s">
        <v>41</v>
      </c>
      <c r="N5" s="6"/>
      <c r="O5" s="7"/>
      <c r="P5" s="23" t="s">
        <v>42</v>
      </c>
      <c r="Q5" s="6"/>
      <c r="R5" s="7"/>
    </row>
    <row r="6" ht="16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16" t="s">
        <v>43</v>
      </c>
      <c r="L6" s="16" t="s">
        <v>44</v>
      </c>
      <c r="M6" s="9" t="s">
        <v>12</v>
      </c>
      <c r="N6" s="18" t="s">
        <v>52</v>
      </c>
      <c r="O6" s="9" t="s">
        <v>14</v>
      </c>
      <c r="P6" s="24" t="s">
        <v>12</v>
      </c>
      <c r="Q6" s="24" t="s">
        <v>13</v>
      </c>
      <c r="R6" s="25" t="s">
        <v>14</v>
      </c>
    </row>
    <row r="7" ht="17.25" customHeight="1">
      <c r="A7" s="10">
        <f t="shared" ref="A7:A37" si="1">A6+1</f>
        <v>1</v>
      </c>
      <c r="B7" s="11">
        <v>45139.0</v>
      </c>
      <c r="C7" s="10"/>
      <c r="D7" s="10">
        <f>2720+7770+5670+6680+9600</f>
        <v>32440</v>
      </c>
      <c r="E7" s="10">
        <f>10340+4730+6630+9200</f>
        <v>30900</v>
      </c>
      <c r="F7" s="10"/>
      <c r="G7" s="10"/>
      <c r="H7" s="9"/>
      <c r="I7" s="9"/>
      <c r="J7" s="27">
        <f>31590+31060+33210+32450</f>
        <v>128310</v>
      </c>
      <c r="K7" s="18"/>
      <c r="L7" s="18"/>
      <c r="M7" s="9"/>
      <c r="N7" s="18"/>
      <c r="O7" s="18"/>
      <c r="P7" s="9"/>
      <c r="Q7" s="9"/>
      <c r="R7" s="9"/>
    </row>
    <row r="8" ht="17.25" customHeight="1">
      <c r="A8" s="13">
        <f t="shared" si="1"/>
        <v>2</v>
      </c>
      <c r="B8" s="14">
        <v>45140.0</v>
      </c>
      <c r="C8" s="10"/>
      <c r="D8" s="13">
        <f>4080+7840+9260</f>
        <v>21180</v>
      </c>
      <c r="E8" s="15">
        <f>9480+6300+6710</f>
        <v>22490</v>
      </c>
      <c r="F8" s="16"/>
      <c r="G8" s="13"/>
      <c r="H8" s="9"/>
      <c r="I8" s="18"/>
      <c r="J8" s="9">
        <f>31870+32330+31900</f>
        <v>96100</v>
      </c>
      <c r="K8" s="9"/>
      <c r="L8" s="9"/>
      <c r="M8" s="9"/>
      <c r="N8" s="9"/>
      <c r="O8" s="9"/>
      <c r="P8" s="9"/>
      <c r="Q8" s="9"/>
      <c r="R8" s="9"/>
    </row>
    <row r="9" ht="17.25" customHeight="1">
      <c r="A9" s="13">
        <f t="shared" si="1"/>
        <v>3</v>
      </c>
      <c r="B9" s="14">
        <v>45141.0</v>
      </c>
      <c r="C9" s="13"/>
      <c r="D9" s="16">
        <f>8030+10210+4860</f>
        <v>23100</v>
      </c>
      <c r="E9" s="16">
        <f>1440+4070</f>
        <v>5510</v>
      </c>
      <c r="F9" s="16"/>
      <c r="G9" s="13"/>
      <c r="H9" s="18">
        <v>12540.0</v>
      </c>
      <c r="I9" s="18">
        <v>8710.0</v>
      </c>
      <c r="J9" s="18">
        <f>29930+31400+32000+30990</f>
        <v>124320</v>
      </c>
      <c r="K9" s="9"/>
      <c r="L9" s="18"/>
      <c r="M9" s="9"/>
      <c r="N9" s="18"/>
      <c r="O9" s="9"/>
      <c r="P9" s="9"/>
      <c r="Q9" s="9"/>
      <c r="R9" s="9"/>
    </row>
    <row r="10" ht="17.25" customHeight="1">
      <c r="A10" s="13">
        <f t="shared" si="1"/>
        <v>4</v>
      </c>
      <c r="B10" s="14">
        <v>45142.0</v>
      </c>
      <c r="C10" s="13"/>
      <c r="D10" s="13"/>
      <c r="E10" s="16"/>
      <c r="F10" s="16"/>
      <c r="G10" s="13"/>
      <c r="H10" s="18"/>
      <c r="I10" s="18"/>
      <c r="J10" s="18">
        <v>33410.0</v>
      </c>
      <c r="K10" s="9"/>
      <c r="L10" s="18"/>
      <c r="M10" s="18"/>
      <c r="N10" s="18"/>
      <c r="O10" s="9"/>
      <c r="P10" s="18"/>
      <c r="Q10" s="18"/>
      <c r="R10" s="18"/>
    </row>
    <row r="11" ht="17.25" customHeight="1">
      <c r="A11" s="13">
        <f t="shared" si="1"/>
        <v>5</v>
      </c>
      <c r="B11" s="14">
        <v>45143.0</v>
      </c>
      <c r="C11" s="13"/>
      <c r="D11" s="16"/>
      <c r="E11" s="16">
        <f>28060+1630+27010+6580+1280</f>
        <v>64560</v>
      </c>
      <c r="F11" s="16"/>
      <c r="G11" s="16"/>
      <c r="H11" s="18"/>
      <c r="I11" s="9"/>
      <c r="J11" s="18">
        <f>34180+33610+35510</f>
        <v>103300</v>
      </c>
      <c r="K11" s="18"/>
      <c r="L11" s="18">
        <v>33660.0</v>
      </c>
      <c r="M11" s="9"/>
      <c r="N11" s="18"/>
      <c r="O11" s="9"/>
      <c r="P11" s="18"/>
      <c r="Q11" s="18"/>
      <c r="R11" s="9"/>
    </row>
    <row r="12" ht="17.25" customHeight="1">
      <c r="A12" s="13">
        <f t="shared" si="1"/>
        <v>6</v>
      </c>
      <c r="B12" s="14">
        <v>45144.0</v>
      </c>
      <c r="C12" s="13"/>
      <c r="D12" s="16">
        <f>13250+4090+7990</f>
        <v>25330</v>
      </c>
      <c r="E12" s="16">
        <f>1780+2230</f>
        <v>4010</v>
      </c>
      <c r="F12" s="16"/>
      <c r="G12" s="13"/>
      <c r="H12" s="18"/>
      <c r="I12" s="18"/>
      <c r="J12" s="16">
        <f>31600+32110</f>
        <v>63710</v>
      </c>
      <c r="K12" s="9"/>
      <c r="L12" s="18">
        <v>29680.0</v>
      </c>
      <c r="M12" s="18"/>
      <c r="N12" s="18"/>
      <c r="O12" s="9"/>
      <c r="P12" s="18"/>
      <c r="Q12" s="18"/>
      <c r="R12" s="18"/>
    </row>
    <row r="13" ht="17.25" customHeight="1">
      <c r="A13" s="13">
        <f t="shared" si="1"/>
        <v>7</v>
      </c>
      <c r="B13" s="14">
        <v>45145.0</v>
      </c>
      <c r="C13" s="13"/>
      <c r="D13" s="16">
        <f>8280+8920+8360+11570+6540+10380+10560</f>
        <v>64610</v>
      </c>
      <c r="E13" s="16">
        <f>3610+8450+4610+6800+7100+7950+7360</f>
        <v>45880</v>
      </c>
      <c r="F13" s="16"/>
      <c r="G13" s="13"/>
      <c r="H13" s="18"/>
      <c r="I13" s="18">
        <v>10000.0</v>
      </c>
      <c r="J13" s="9"/>
      <c r="K13" s="9"/>
      <c r="L13" s="18">
        <v>26480.0</v>
      </c>
      <c r="M13" s="9"/>
      <c r="N13" s="9"/>
      <c r="O13" s="9"/>
      <c r="P13" s="9"/>
      <c r="Q13" s="18"/>
      <c r="R13" s="9"/>
    </row>
    <row r="14" ht="17.25" customHeight="1">
      <c r="A14" s="13">
        <f t="shared" si="1"/>
        <v>8</v>
      </c>
      <c r="B14" s="14">
        <v>45146.0</v>
      </c>
      <c r="C14" s="13"/>
      <c r="D14" s="13"/>
      <c r="E14" s="13"/>
      <c r="F14" s="13"/>
      <c r="G14" s="13"/>
      <c r="H14" s="18"/>
      <c r="I14" s="18"/>
      <c r="J14" s="9"/>
      <c r="K14" s="18"/>
      <c r="L14" s="18"/>
      <c r="M14" s="18"/>
      <c r="N14" s="18"/>
      <c r="O14" s="9"/>
      <c r="P14" s="9"/>
      <c r="Q14" s="18"/>
      <c r="R14" s="9"/>
    </row>
    <row r="15" ht="17.25" customHeight="1">
      <c r="A15" s="13">
        <f t="shared" si="1"/>
        <v>9</v>
      </c>
      <c r="B15" s="14">
        <v>45147.0</v>
      </c>
      <c r="C15" s="13"/>
      <c r="D15" s="13"/>
      <c r="E15" s="13"/>
      <c r="F15" s="16"/>
      <c r="G15" s="13"/>
      <c r="H15" s="9"/>
      <c r="I15" s="18"/>
      <c r="J15" s="9"/>
      <c r="K15" s="18"/>
      <c r="L15" s="18"/>
      <c r="M15" s="9"/>
      <c r="N15" s="18"/>
      <c r="O15" s="9"/>
      <c r="P15" s="18"/>
      <c r="Q15" s="18"/>
      <c r="R15" s="9"/>
    </row>
    <row r="16" ht="17.25" customHeight="1">
      <c r="A16" s="13">
        <f t="shared" si="1"/>
        <v>10</v>
      </c>
      <c r="B16" s="14">
        <v>45148.0</v>
      </c>
      <c r="C16" s="13"/>
      <c r="D16" s="13"/>
      <c r="E16" s="13"/>
      <c r="F16" s="13"/>
      <c r="G16" s="13"/>
      <c r="H16" s="18"/>
      <c r="I16" s="18"/>
      <c r="J16" s="9"/>
      <c r="K16" s="9"/>
      <c r="L16" s="18"/>
      <c r="M16" s="18"/>
      <c r="N16" s="18"/>
      <c r="O16" s="18"/>
      <c r="P16" s="18"/>
      <c r="Q16" s="18"/>
      <c r="R16" s="18"/>
    </row>
    <row r="17" ht="17.25" customHeight="1">
      <c r="A17" s="13">
        <f t="shared" si="1"/>
        <v>11</v>
      </c>
      <c r="B17" s="14">
        <v>45149.0</v>
      </c>
      <c r="C17" s="13"/>
      <c r="D17" s="16"/>
      <c r="E17" s="13"/>
      <c r="F17" s="16"/>
      <c r="G17" s="13"/>
      <c r="H17" s="18"/>
      <c r="I17" s="18"/>
      <c r="J17" s="18"/>
      <c r="K17" s="9"/>
      <c r="L17" s="18"/>
      <c r="M17" s="18"/>
      <c r="N17" s="26"/>
      <c r="O17" s="9"/>
      <c r="P17" s="18"/>
      <c r="Q17" s="18"/>
      <c r="R17" s="18"/>
    </row>
    <row r="18" ht="17.25" customHeight="1">
      <c r="A18" s="13">
        <f t="shared" si="1"/>
        <v>12</v>
      </c>
      <c r="B18" s="14">
        <v>45150.0</v>
      </c>
      <c r="C18" s="13"/>
      <c r="D18" s="13"/>
      <c r="E18" s="13"/>
      <c r="F18" s="16"/>
      <c r="G18" s="13"/>
      <c r="H18" s="9"/>
      <c r="I18" s="9"/>
      <c r="J18" s="9"/>
      <c r="K18" s="18"/>
      <c r="L18" s="18"/>
      <c r="M18" s="9"/>
      <c r="N18" s="9"/>
      <c r="O18" s="9"/>
      <c r="P18" s="9"/>
      <c r="Q18" s="18"/>
      <c r="R18" s="9"/>
    </row>
    <row r="19" ht="17.25" customHeight="1">
      <c r="A19" s="13">
        <f t="shared" si="1"/>
        <v>13</v>
      </c>
      <c r="B19" s="14">
        <v>45151.0</v>
      </c>
      <c r="C19" s="13"/>
      <c r="D19" s="16"/>
      <c r="E19" s="13"/>
      <c r="F19" s="13"/>
      <c r="G19" s="13"/>
      <c r="H19" s="9"/>
      <c r="I19" s="18"/>
      <c r="J19" s="18"/>
      <c r="K19" s="9"/>
      <c r="L19" s="9"/>
      <c r="M19" s="9"/>
      <c r="N19" s="9"/>
      <c r="O19" s="9"/>
      <c r="P19" s="18"/>
      <c r="Q19" s="18"/>
      <c r="R19" s="9"/>
    </row>
    <row r="20" ht="17.25" customHeight="1">
      <c r="A20" s="13">
        <f t="shared" si="1"/>
        <v>14</v>
      </c>
      <c r="B20" s="14">
        <v>45152.0</v>
      </c>
      <c r="C20" s="13"/>
      <c r="D20" s="16"/>
      <c r="E20" s="16"/>
      <c r="F20" s="13"/>
      <c r="G20" s="13"/>
      <c r="H20" s="18"/>
      <c r="I20" s="18"/>
      <c r="J20" s="9"/>
      <c r="K20" s="18"/>
      <c r="L20" s="18"/>
      <c r="M20" s="9"/>
      <c r="N20" s="9"/>
      <c r="O20" s="9"/>
      <c r="P20" s="9"/>
      <c r="Q20" s="9"/>
      <c r="R20" s="9"/>
    </row>
    <row r="21" ht="17.25" customHeight="1">
      <c r="A21" s="13">
        <f t="shared" si="1"/>
        <v>15</v>
      </c>
      <c r="B21" s="14">
        <v>45153.0</v>
      </c>
      <c r="C21" s="13"/>
      <c r="D21" s="13"/>
      <c r="E21" s="13"/>
      <c r="F21" s="13"/>
      <c r="G21" s="13"/>
      <c r="H21" s="18"/>
      <c r="I21" s="18"/>
      <c r="J21" s="13"/>
      <c r="K21" s="9"/>
      <c r="L21" s="18"/>
      <c r="M21" s="9"/>
      <c r="N21" s="9"/>
      <c r="O21" s="9"/>
      <c r="P21" s="18"/>
      <c r="Q21" s="18"/>
      <c r="R21" s="18"/>
    </row>
    <row r="22" ht="17.25" customHeight="1">
      <c r="A22" s="13">
        <f t="shared" si="1"/>
        <v>16</v>
      </c>
      <c r="B22" s="14">
        <v>45154.0</v>
      </c>
      <c r="C22" s="13"/>
      <c r="D22" s="16"/>
      <c r="E22" s="13"/>
      <c r="F22" s="13"/>
      <c r="G22" s="13"/>
      <c r="H22" s="18"/>
      <c r="I22" s="9"/>
      <c r="J22" s="18"/>
      <c r="K22" s="18"/>
      <c r="L22" s="18"/>
      <c r="M22" s="9"/>
      <c r="N22" s="9"/>
      <c r="O22" s="9"/>
      <c r="P22" s="18"/>
      <c r="Q22" s="18"/>
      <c r="R22" s="18"/>
    </row>
    <row r="23" ht="17.25" customHeight="1">
      <c r="A23" s="13">
        <f t="shared" si="1"/>
        <v>17</v>
      </c>
      <c r="B23" s="14">
        <v>45155.0</v>
      </c>
      <c r="C23" s="13"/>
      <c r="D23" s="16"/>
      <c r="E23" s="16"/>
      <c r="F23" s="13"/>
      <c r="G23" s="13"/>
      <c r="H23" s="18"/>
      <c r="I23" s="9"/>
      <c r="J23" s="13"/>
      <c r="K23" s="18"/>
      <c r="L23" s="9"/>
      <c r="M23" s="9"/>
      <c r="N23" s="9"/>
      <c r="O23" s="9"/>
      <c r="P23" s="18"/>
      <c r="Q23" s="18"/>
      <c r="R23" s="18"/>
    </row>
    <row r="24" ht="17.25" customHeight="1">
      <c r="A24" s="13">
        <f t="shared" si="1"/>
        <v>18</v>
      </c>
      <c r="B24" s="14">
        <v>45156.0</v>
      </c>
      <c r="C24" s="13"/>
      <c r="D24" s="13"/>
      <c r="E24" s="13"/>
      <c r="F24" s="13"/>
      <c r="G24" s="13"/>
      <c r="H24" s="18"/>
      <c r="I24" s="18"/>
      <c r="J24" s="9"/>
      <c r="K24" s="9"/>
      <c r="L24" s="9"/>
      <c r="M24" s="18"/>
      <c r="N24" s="18"/>
      <c r="O24" s="9"/>
      <c r="P24" s="18"/>
      <c r="Q24" s="18"/>
      <c r="R24" s="18"/>
    </row>
    <row r="25" ht="17.25" customHeight="1">
      <c r="A25" s="13">
        <f t="shared" si="1"/>
        <v>19</v>
      </c>
      <c r="B25" s="14">
        <v>45157.0</v>
      </c>
      <c r="C25" s="13"/>
      <c r="D25" s="13"/>
      <c r="E25" s="13"/>
      <c r="F25" s="13"/>
      <c r="G25" s="13"/>
      <c r="H25" s="9"/>
      <c r="I25" s="18"/>
      <c r="J25" s="18"/>
      <c r="K25" s="18"/>
      <c r="L25" s="9"/>
      <c r="M25" s="9"/>
      <c r="N25" s="9"/>
      <c r="O25" s="9"/>
      <c r="P25" s="9"/>
      <c r="Q25" s="18"/>
      <c r="R25" s="9"/>
    </row>
    <row r="26" ht="17.25" customHeight="1">
      <c r="A26" s="13">
        <f t="shared" si="1"/>
        <v>20</v>
      </c>
      <c r="B26" s="14">
        <v>45158.0</v>
      </c>
      <c r="C26" s="13"/>
      <c r="D26" s="16"/>
      <c r="E26" s="16"/>
      <c r="F26" s="16"/>
      <c r="G26" s="13"/>
      <c r="H26" s="18"/>
      <c r="I26" s="9"/>
      <c r="J26" s="13"/>
      <c r="K26" s="18"/>
      <c r="L26" s="18"/>
      <c r="M26" s="9"/>
      <c r="N26" s="9"/>
      <c r="O26" s="9"/>
      <c r="P26" s="9"/>
      <c r="Q26" s="18"/>
      <c r="R26" s="9"/>
    </row>
    <row r="27" ht="17.25" customHeight="1">
      <c r="A27" s="13">
        <f t="shared" si="1"/>
        <v>21</v>
      </c>
      <c r="B27" s="14">
        <v>45159.0</v>
      </c>
      <c r="C27" s="13"/>
      <c r="D27" s="13"/>
      <c r="E27" s="13"/>
      <c r="F27" s="13"/>
      <c r="G27" s="13"/>
      <c r="H27" s="18"/>
      <c r="I27" s="18"/>
      <c r="J27" s="18"/>
      <c r="K27" s="9"/>
      <c r="L27" s="9"/>
      <c r="M27" s="9"/>
      <c r="N27" s="18"/>
      <c r="O27" s="9"/>
      <c r="P27" s="18"/>
      <c r="Q27" s="18"/>
      <c r="R27" s="9"/>
    </row>
    <row r="28" ht="17.25" customHeight="1">
      <c r="A28" s="13">
        <f t="shared" si="1"/>
        <v>22</v>
      </c>
      <c r="B28" s="14">
        <v>45160.0</v>
      </c>
      <c r="C28" s="13"/>
      <c r="D28" s="13"/>
      <c r="E28" s="13"/>
      <c r="F28" s="16"/>
      <c r="G28" s="13"/>
      <c r="H28" s="9"/>
      <c r="I28" s="18"/>
      <c r="J28" s="13"/>
      <c r="K28" s="9"/>
      <c r="L28" s="18"/>
      <c r="M28" s="9"/>
      <c r="N28" s="18"/>
      <c r="O28" s="9"/>
      <c r="P28" s="9"/>
      <c r="Q28" s="9"/>
      <c r="R28" s="9"/>
    </row>
    <row r="29" ht="17.25" customHeight="1">
      <c r="A29" s="13">
        <f t="shared" si="1"/>
        <v>23</v>
      </c>
      <c r="B29" s="14">
        <v>45161.0</v>
      </c>
      <c r="C29" s="13"/>
      <c r="D29" s="13"/>
      <c r="E29" s="13"/>
      <c r="F29" s="16"/>
      <c r="G29" s="13"/>
      <c r="H29" s="18"/>
      <c r="I29" s="18"/>
      <c r="J29" s="18"/>
      <c r="K29" s="18"/>
      <c r="L29" s="18"/>
      <c r="M29" s="18"/>
      <c r="N29" s="18"/>
      <c r="O29" s="9"/>
      <c r="P29" s="18"/>
      <c r="Q29" s="18"/>
      <c r="R29" s="18"/>
    </row>
    <row r="30" ht="17.25" customHeight="1">
      <c r="A30" s="13">
        <f t="shared" si="1"/>
        <v>24</v>
      </c>
      <c r="B30" s="14">
        <v>45162.0</v>
      </c>
      <c r="C30" s="13"/>
      <c r="D30" s="13"/>
      <c r="E30" s="16"/>
      <c r="F30" s="13"/>
      <c r="G30" s="13"/>
      <c r="H30" s="18"/>
      <c r="I30" s="18"/>
      <c r="J30" s="9"/>
      <c r="K30" s="18"/>
      <c r="L30" s="18"/>
      <c r="M30" s="18"/>
      <c r="N30" s="18"/>
      <c r="O30" s="9"/>
      <c r="P30" s="9"/>
      <c r="Q30" s="18"/>
      <c r="R30" s="18"/>
    </row>
    <row r="31" ht="17.25" customHeight="1">
      <c r="A31" s="13">
        <f t="shared" si="1"/>
        <v>25</v>
      </c>
      <c r="B31" s="14">
        <v>45163.0</v>
      </c>
      <c r="C31" s="13"/>
      <c r="D31" s="16"/>
      <c r="E31" s="13"/>
      <c r="F31" s="13"/>
      <c r="G31" s="13"/>
      <c r="H31" s="9"/>
      <c r="I31" s="9"/>
      <c r="J31" s="9"/>
      <c r="K31" s="18"/>
      <c r="L31" s="18"/>
      <c r="M31" s="9"/>
      <c r="N31" s="18"/>
      <c r="O31" s="9"/>
      <c r="P31" s="18"/>
      <c r="Q31" s="18"/>
      <c r="R31" s="9"/>
    </row>
    <row r="32" ht="17.25" customHeight="1">
      <c r="A32" s="13">
        <f t="shared" si="1"/>
        <v>26</v>
      </c>
      <c r="B32" s="14">
        <v>45164.0</v>
      </c>
      <c r="C32" s="13"/>
      <c r="D32" s="16"/>
      <c r="E32" s="16"/>
      <c r="F32" s="13"/>
      <c r="G32" s="13"/>
      <c r="H32" s="18"/>
      <c r="I32" s="18"/>
      <c r="J32" s="13"/>
      <c r="K32" s="18"/>
      <c r="L32" s="18"/>
      <c r="M32" s="18"/>
      <c r="N32" s="18"/>
      <c r="O32" s="9"/>
      <c r="P32" s="9"/>
      <c r="Q32" s="9"/>
      <c r="R32" s="9"/>
    </row>
    <row r="33" ht="17.25" customHeight="1">
      <c r="A33" s="13">
        <f t="shared" si="1"/>
        <v>27</v>
      </c>
      <c r="B33" s="14">
        <v>45165.0</v>
      </c>
      <c r="C33" s="13"/>
      <c r="D33" s="13"/>
      <c r="E33" s="16"/>
      <c r="F33" s="13"/>
      <c r="G33" s="13"/>
      <c r="H33" s="18"/>
      <c r="I33" s="18"/>
      <c r="J33" s="13"/>
      <c r="K33" s="18"/>
      <c r="L33" s="18"/>
      <c r="M33" s="9"/>
      <c r="N33" s="9"/>
      <c r="O33" s="9"/>
      <c r="P33" s="9"/>
      <c r="Q33" s="9"/>
      <c r="R33" s="9"/>
    </row>
    <row r="34" ht="17.25" customHeight="1">
      <c r="A34" s="13">
        <f t="shared" si="1"/>
        <v>28</v>
      </c>
      <c r="B34" s="14">
        <v>45166.0</v>
      </c>
      <c r="C34" s="13"/>
      <c r="D34" s="16"/>
      <c r="E34" s="16"/>
      <c r="F34" s="13"/>
      <c r="G34" s="13"/>
      <c r="H34" s="9"/>
      <c r="I34" s="18"/>
      <c r="J34" s="9"/>
      <c r="K34" s="18"/>
      <c r="L34" s="18"/>
      <c r="M34" s="9"/>
      <c r="N34" s="9"/>
      <c r="O34" s="9"/>
      <c r="P34" s="9"/>
      <c r="Q34" s="9"/>
      <c r="R34" s="9"/>
    </row>
    <row r="35" ht="17.25" customHeight="1">
      <c r="A35" s="13">
        <f t="shared" si="1"/>
        <v>29</v>
      </c>
      <c r="B35" s="14">
        <v>45167.0</v>
      </c>
      <c r="C35" s="13"/>
      <c r="D35" s="16"/>
      <c r="E35" s="16"/>
      <c r="F35" s="13"/>
      <c r="G35" s="13"/>
      <c r="H35" s="9"/>
      <c r="I35" s="9"/>
      <c r="J35" s="9"/>
      <c r="K35" s="18"/>
      <c r="L35" s="18"/>
      <c r="M35" s="9"/>
      <c r="N35" s="9"/>
      <c r="O35" s="9"/>
      <c r="P35" s="9"/>
      <c r="Q35" s="9"/>
      <c r="R35" s="9"/>
    </row>
    <row r="36" ht="17.25" customHeight="1">
      <c r="A36" s="13">
        <f t="shared" si="1"/>
        <v>30</v>
      </c>
      <c r="B36" s="14">
        <v>45168.0</v>
      </c>
      <c r="C36" s="13"/>
      <c r="D36" s="16"/>
      <c r="E36" s="13"/>
      <c r="F36" s="13"/>
      <c r="G36" s="13"/>
      <c r="H36" s="9"/>
      <c r="I36" s="9"/>
      <c r="J36" s="9"/>
      <c r="K36" s="18"/>
      <c r="L36" s="18"/>
      <c r="M36" s="9"/>
      <c r="N36" s="9"/>
      <c r="O36" s="9"/>
      <c r="P36" s="9"/>
      <c r="Q36" s="9"/>
      <c r="R36" s="9"/>
    </row>
    <row r="37" ht="17.25" customHeight="1">
      <c r="A37" s="13">
        <f t="shared" si="1"/>
        <v>31</v>
      </c>
      <c r="B37" s="14">
        <v>45138.0</v>
      </c>
      <c r="C37" s="13"/>
      <c r="D37" s="16"/>
      <c r="E37" s="16"/>
      <c r="F37" s="13"/>
      <c r="G37" s="13"/>
      <c r="H37" s="18"/>
      <c r="I37" s="18"/>
      <c r="J37" s="18"/>
      <c r="K37" s="18"/>
      <c r="L37" s="18"/>
      <c r="M37" s="9"/>
      <c r="N37" s="9"/>
      <c r="O37" s="9"/>
      <c r="P37" s="18"/>
      <c r="Q37" s="18"/>
      <c r="R37" s="9"/>
    </row>
    <row r="38" ht="16.5" customHeight="1">
      <c r="A38" s="13" t="s">
        <v>39</v>
      </c>
      <c r="B38" s="13"/>
      <c r="C38" s="13"/>
      <c r="D38" s="19">
        <f t="shared" ref="D38:F38" si="2">SUM(D6:D37)</f>
        <v>166660</v>
      </c>
      <c r="E38" s="19">
        <f t="shared" si="2"/>
        <v>173350</v>
      </c>
      <c r="F38" s="19">
        <f t="shared" si="2"/>
        <v>0</v>
      </c>
      <c r="G38" s="19"/>
      <c r="H38" s="19">
        <f t="shared" ref="H38:R38" si="3">SUM(H6:H37)</f>
        <v>12540</v>
      </c>
      <c r="I38" s="19">
        <f t="shared" si="3"/>
        <v>18710</v>
      </c>
      <c r="J38" s="19">
        <f t="shared" si="3"/>
        <v>549150</v>
      </c>
      <c r="K38" s="19">
        <f t="shared" si="3"/>
        <v>0</v>
      </c>
      <c r="L38" s="19">
        <f t="shared" si="3"/>
        <v>89820</v>
      </c>
      <c r="M38" s="19">
        <f t="shared" si="3"/>
        <v>0</v>
      </c>
      <c r="N38" s="19">
        <f t="shared" si="3"/>
        <v>0</v>
      </c>
      <c r="O38" s="19">
        <f t="shared" si="3"/>
        <v>0</v>
      </c>
      <c r="P38" s="19">
        <f t="shared" si="3"/>
        <v>0</v>
      </c>
      <c r="Q38" s="19">
        <f t="shared" si="3"/>
        <v>0</v>
      </c>
      <c r="R38" s="19">
        <f t="shared" si="3"/>
        <v>0</v>
      </c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ht="15.75" customHeight="1">
      <c r="D40" s="13"/>
      <c r="E40" s="13"/>
    </row>
    <row r="41" ht="15.75" customHeight="1"/>
    <row r="42" ht="15.75" customHeight="1"/>
    <row r="43" ht="15.75" customHeight="1"/>
    <row r="44" ht="15.75" customHeight="1">
      <c r="D44" s="13"/>
      <c r="E44" s="1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G5:G6"/>
    <mergeCell ref="H5:H6"/>
    <mergeCell ref="I5:I6"/>
    <mergeCell ref="J5:J6"/>
    <mergeCell ref="K5:L5"/>
    <mergeCell ref="M5:O5"/>
    <mergeCell ref="P5:R5"/>
    <mergeCell ref="A3:O3"/>
    <mergeCell ref="A5:A6"/>
    <mergeCell ref="B5:B6"/>
    <mergeCell ref="C5:C6"/>
    <mergeCell ref="D5:D6"/>
    <mergeCell ref="E5:E6"/>
    <mergeCell ref="F5:F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2023-02-23T14:59:01Z</dcterms:created>
  <dc:creator>ThuanLQ</dc:creator>
</cp:coreProperties>
</file>