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/>
  <mc:AlternateContent xmlns:mc="http://schemas.openxmlformats.org/markup-compatibility/2006">
    <mc:Choice Requires="x15">
      <x15ac:absPath xmlns:x15ac="http://schemas.microsoft.com/office/spreadsheetml/2010/11/ac" url="/Volumes/USB/Data_Analytics/Udacity/Data_Analyst_Nanodegree/9_AB_Testing/Project Design an AB Test/"/>
    </mc:Choice>
  </mc:AlternateContent>
  <xr:revisionPtr revIDLastSave="0" documentId="13_ncr:1_{8997CF43-2914-944F-A0AD-9D880E032925}" xr6:coauthVersionLast="40" xr6:coauthVersionMax="40" xr10:uidLastSave="{00000000-0000-0000-0000-000000000000}"/>
  <bookViews>
    <workbookView xWindow="1800" yWindow="460" windowWidth="20320" windowHeight="20940" xr2:uid="{00000000-000D-0000-FFFF-FFFF00000000}"/>
  </bookViews>
  <sheets>
    <sheet name="Calculations" sheetId="1" r:id="rId1"/>
    <sheet name="Experiment" sheetId="3" r:id="rId2"/>
    <sheet name="Control" sheetId="2" r:id="rId3"/>
  </sheets>
  <calcPr calcId="191029"/>
</workbook>
</file>

<file path=xl/calcChain.xml><?xml version="1.0" encoding="utf-8"?>
<calcChain xmlns="http://schemas.openxmlformats.org/spreadsheetml/2006/main">
  <c r="B33" i="1" l="1"/>
  <c r="B38" i="1"/>
  <c r="B44" i="1" l="1"/>
  <c r="E40" i="3"/>
  <c r="C40" i="3"/>
  <c r="E54" i="1" s="1"/>
  <c r="D40" i="3"/>
  <c r="D40" i="2"/>
  <c r="E40" i="2"/>
  <c r="E40" i="1"/>
  <c r="B39" i="1"/>
  <c r="B48" i="1"/>
  <c r="B49" i="1"/>
  <c r="B50" i="1" s="1"/>
  <c r="B40" i="1" l="1"/>
  <c r="B41" i="1" s="1"/>
  <c r="B43" i="1" s="1"/>
  <c r="B51" i="1"/>
  <c r="B53" i="1" s="1"/>
  <c r="B54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" i="3"/>
  <c r="H3" i="2"/>
  <c r="K3" i="2" s="1"/>
  <c r="H4" i="2"/>
  <c r="K4" i="2" s="1"/>
  <c r="H5" i="2"/>
  <c r="K5" i="2" s="1"/>
  <c r="H6" i="2"/>
  <c r="H7" i="2"/>
  <c r="K7" i="2" s="1"/>
  <c r="H8" i="2"/>
  <c r="K8" i="2" s="1"/>
  <c r="H9" i="2"/>
  <c r="K9" i="2" s="1"/>
  <c r="H10" i="2"/>
  <c r="H11" i="2"/>
  <c r="K11" i="2" s="1"/>
  <c r="H12" i="2"/>
  <c r="K12" i="2" s="1"/>
  <c r="H13" i="2"/>
  <c r="K13" i="2" s="1"/>
  <c r="H14" i="2"/>
  <c r="H15" i="2"/>
  <c r="K15" i="2" s="1"/>
  <c r="H16" i="2"/>
  <c r="K16" i="2" s="1"/>
  <c r="H17" i="2"/>
  <c r="K17" i="2" s="1"/>
  <c r="H18" i="2"/>
  <c r="H19" i="2"/>
  <c r="K19" i="2" s="1"/>
  <c r="H20" i="2"/>
  <c r="K20" i="2" s="1"/>
  <c r="H21" i="2"/>
  <c r="K21" i="2" s="1"/>
  <c r="H22" i="2"/>
  <c r="H23" i="2"/>
  <c r="K23" i="2" s="1"/>
  <c r="H24" i="2"/>
  <c r="K24" i="2" s="1"/>
  <c r="H2" i="2"/>
  <c r="G3" i="2"/>
  <c r="G4" i="2"/>
  <c r="J4" i="2" s="1"/>
  <c r="G5" i="2"/>
  <c r="G6" i="2"/>
  <c r="G7" i="2"/>
  <c r="G8" i="2"/>
  <c r="J8" i="2" s="1"/>
  <c r="G9" i="2"/>
  <c r="G10" i="2"/>
  <c r="G11" i="2"/>
  <c r="G12" i="2"/>
  <c r="J12" i="2" s="1"/>
  <c r="G13" i="2"/>
  <c r="G14" i="2"/>
  <c r="G15" i="2"/>
  <c r="G16" i="2"/>
  <c r="J16" i="2" s="1"/>
  <c r="G17" i="2"/>
  <c r="G18" i="2"/>
  <c r="G19" i="2"/>
  <c r="G20" i="2"/>
  <c r="J20" i="2" s="1"/>
  <c r="G21" i="2"/>
  <c r="G22" i="2"/>
  <c r="G23" i="2"/>
  <c r="G24" i="2"/>
  <c r="J24" i="2" s="1"/>
  <c r="G2" i="2"/>
  <c r="J23" i="2" l="1"/>
  <c r="J19" i="2"/>
  <c r="J15" i="2"/>
  <c r="J11" i="2"/>
  <c r="J7" i="2"/>
  <c r="J3" i="2"/>
  <c r="K22" i="2"/>
  <c r="K18" i="2"/>
  <c r="K14" i="2"/>
  <c r="K10" i="2"/>
  <c r="K6" i="2"/>
  <c r="J18" i="2"/>
  <c r="J14" i="2"/>
  <c r="J10" i="2"/>
  <c r="J6" i="2"/>
  <c r="K2" i="2"/>
  <c r="K25" i="2" s="1"/>
  <c r="J22" i="2"/>
  <c r="J2" i="2"/>
  <c r="J25" i="2" s="1"/>
  <c r="J21" i="2"/>
  <c r="J17" i="2"/>
  <c r="J13" i="2"/>
  <c r="J9" i="2"/>
  <c r="J5" i="2"/>
  <c r="B42" i="1"/>
  <c r="B52" i="1"/>
  <c r="B40" i="3"/>
  <c r="C40" i="2"/>
  <c r="B40" i="2"/>
  <c r="C39" i="2"/>
  <c r="B57" i="1" s="1"/>
  <c r="C39" i="3"/>
  <c r="B58" i="1" s="1"/>
  <c r="B62" i="1" s="1"/>
  <c r="D39" i="3"/>
  <c r="E38" i="1" s="1"/>
  <c r="E39" i="3"/>
  <c r="E52" i="1" s="1"/>
  <c r="B39" i="3"/>
  <c r="B60" i="1" s="1"/>
  <c r="D39" i="2"/>
  <c r="E37" i="1" s="1"/>
  <c r="E39" i="2"/>
  <c r="E51" i="1" s="1"/>
  <c r="B39" i="2"/>
  <c r="B59" i="1" s="1"/>
  <c r="E39" i="1" l="1"/>
  <c r="E41" i="1" s="1"/>
  <c r="E42" i="1" s="1"/>
  <c r="E46" i="1" s="1"/>
  <c r="E53" i="1"/>
  <c r="E55" i="1" s="1"/>
  <c r="E56" i="1" s="1"/>
  <c r="E60" i="1" s="1"/>
  <c r="B63" i="1"/>
  <c r="B66" i="1" s="1"/>
  <c r="B61" i="1"/>
  <c r="B64" i="1" s="1"/>
  <c r="B65" i="1" s="1"/>
  <c r="C7" i="1"/>
  <c r="B6" i="1"/>
  <c r="B2" i="1"/>
  <c r="B5" i="1" s="1"/>
  <c r="E58" i="1" l="1"/>
  <c r="E61" i="1" s="1"/>
  <c r="B8" i="1"/>
  <c r="C8" i="1" s="1"/>
  <c r="C6" i="1"/>
  <c r="B68" i="1"/>
  <c r="B67" i="1"/>
  <c r="E44" i="1"/>
  <c r="B28" i="1"/>
  <c r="B29" i="1"/>
  <c r="B22" i="1" s="1"/>
  <c r="E62" i="1" l="1"/>
  <c r="D27" i="1"/>
  <c r="E27" i="1"/>
  <c r="B21" i="1"/>
  <c r="E47" i="1"/>
  <c r="E48" i="1"/>
  <c r="B23" i="1"/>
  <c r="C27" i="1"/>
</calcChain>
</file>

<file path=xl/sharedStrings.xml><?xml version="1.0" encoding="utf-8"?>
<sst xmlns="http://schemas.openxmlformats.org/spreadsheetml/2006/main" count="205" uniqueCount="115">
  <si>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</si>
  <si>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</si>
  <si>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</si>
  <si>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</si>
  <si>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Description</t>
  </si>
  <si>
    <t>UserIDs that pay / cookies that click on start free trial</t>
  </si>
  <si>
    <t>UserIDs that pay / UserIDs that enroll</t>
  </si>
  <si>
    <t>Probability of enrolling, given click: (Gross Conversion)</t>
  </si>
  <si>
    <t>Probability of payment, given enroll: (Retention)</t>
  </si>
  <si>
    <t>Probability of payment, given click (Net Conversion)</t>
  </si>
  <si>
    <t>Baseline Values</t>
  </si>
  <si>
    <t>Baseline</t>
  </si>
  <si>
    <t>dmin</t>
  </si>
  <si>
    <t>Sample Size 5000 cookies adjusted</t>
  </si>
  <si>
    <t>Experiment values</t>
  </si>
  <si>
    <t>UserIDs that enroll in free trial / cookies that click on start free trial</t>
  </si>
  <si>
    <t>Unique cookies to view course overview page</t>
  </si>
  <si>
    <t>Unique cookies to click "Start free trial"</t>
  </si>
  <si>
    <t>Enrollments</t>
  </si>
  <si>
    <t>Fraction of traffic exposed</t>
  </si>
  <si>
    <t>Length of experiment [days]</t>
  </si>
  <si>
    <t>Date</t>
  </si>
  <si>
    <t>Pageviews</t>
  </si>
  <si>
    <t>Clicks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</si>
  <si>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</si>
  <si>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</si>
  <si>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</si>
  <si>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</si>
  <si>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</si>
  <si>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</si>
  <si>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</si>
  <si>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</si>
  <si>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</si>
  <si>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</si>
  <si>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</si>
  <si>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</si>
  <si>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</si>
  <si>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</si>
  <si>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</si>
  <si>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</si>
  <si>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</si>
  <si>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</si>
  <si>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</si>
  <si>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</si>
  <si>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</si>
  <si>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</si>
  <si>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</si>
  <si>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</si>
  <si>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</si>
  <si>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</si>
  <si>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</si>
  <si>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</si>
  <si>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</si>
  <si>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</si>
  <si>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</si>
  <si>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</si>
  <si>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</si>
  <si>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</si>
  <si>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</si>
  <si>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</si>
  <si>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</si>
  <si>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</si>
  <si>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Number of cookies</t>
  </si>
  <si>
    <t>Number of clicks</t>
  </si>
  <si>
    <t>Click-through-probability</t>
  </si>
  <si>
    <t>Number of unique cookies to view the course overview page</t>
  </si>
  <si>
    <t>Number of unique cookies to click "Start free trial"</t>
  </si>
  <si>
    <t>Number of unique cookies to click "Start free trial" / number of unique cookies to view page</t>
  </si>
  <si>
    <t>Observed value</t>
  </si>
  <si>
    <t>Upper bound</t>
  </si>
  <si>
    <t>Lower bound</t>
  </si>
  <si>
    <t>Standard deviation</t>
  </si>
  <si>
    <t>Number of days</t>
  </si>
  <si>
    <t>Margin of error</t>
  </si>
  <si>
    <t>ppool</t>
  </si>
  <si>
    <t>d</t>
  </si>
  <si>
    <t>Pageviews Control</t>
  </si>
  <si>
    <t>Pageviews Experiment</t>
  </si>
  <si>
    <t>Clicks Control</t>
  </si>
  <si>
    <t>Clicks Experiment</t>
  </si>
  <si>
    <t>Sanity Checks</t>
  </si>
  <si>
    <t>Gross Conversion</t>
  </si>
  <si>
    <t>lower bound</t>
  </si>
  <si>
    <t>upper bound</t>
  </si>
  <si>
    <t>z</t>
  </si>
  <si>
    <t>xcont</t>
  </si>
  <si>
    <t>xexp</t>
  </si>
  <si>
    <t>ncont</t>
  </si>
  <si>
    <t>nexp</t>
  </si>
  <si>
    <t>sepool</t>
  </si>
  <si>
    <t>me</t>
  </si>
  <si>
    <t>Net Conversion</t>
  </si>
  <si>
    <t>Sign Test</t>
  </si>
  <si>
    <t>Sign Gross</t>
  </si>
  <si>
    <t>Sign Conv</t>
  </si>
  <si>
    <t>Count</t>
  </si>
  <si>
    <t>p value</t>
  </si>
  <si>
    <t>Invariant Metrics</t>
  </si>
  <si>
    <t>Evaluation Metrics</t>
  </si>
  <si>
    <t>Retention</t>
  </si>
  <si>
    <t>Calculating standard deviation</t>
  </si>
  <si>
    <t>SE</t>
  </si>
  <si>
    <t>Standard Deviation</t>
  </si>
  <si>
    <t>Calculating Number of Pageviews</t>
  </si>
  <si>
    <t>Choosing Duration and Exposure</t>
  </si>
  <si>
    <t>Effect Size Tests</t>
  </si>
  <si>
    <t>Total (all)</t>
  </si>
  <si>
    <t>Total (subset)</t>
  </si>
  <si>
    <t>pexp</t>
  </si>
  <si>
    <t xml:space="preserve">pcont </t>
  </si>
  <si>
    <t>src: http://www.evanmiller.org/ab-testing/sample-size.html</t>
  </si>
  <si>
    <t>src: https://www.graphpad.com/quickcalcs/binomial1.cfm</t>
  </si>
  <si>
    <t>Sample Size Retention</t>
  </si>
  <si>
    <t>Sample Size Net Conversion</t>
  </si>
  <si>
    <t>Sample Size Gross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</si>
</sst>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E+0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3" fontId="0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2" fontId="0" fillId="0" borderId="0" xfId="0" applyNumberFormat="1" applyFont="1" applyAlignment="1"/>
    <xf numFmtId="9" fontId="0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164" fontId="0" fillId="0" borderId="0" xfId="0" applyNumberFormat="1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3" fontId="0" fillId="0" borderId="0" xfId="0" applyNumberFormat="1" applyFont="1" applyFill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76"/>
  <sheetViews>
    <sheetView tabSelected="1" topLeftCell="A24" zoomScaleNormal="100" workbookViewId="0">
      <selection activeCell="D58" sqref="D58"/>
    </sheetView>
  </sheetViews>
  <sheetFormatPr baseColWidth="10" defaultColWidth="14.5" defaultRowHeight="15.75" customHeight="1" x14ac:dyDescent="0.15"/>
  <cols>
    <col min="1" max="1" width="54.83203125" customWidth="1"/>
    <col min="2" max="2" width="17" customWidth="1"/>
    <col min="3" max="3" width="25.1640625" customWidth="1"/>
    <col min="4" max="4" width="30.5" customWidth="1"/>
    <col min="5" max="5" width="32.33203125" customWidth="1"/>
    <col min="7" max="7" width="28.5" bestFit="1" customWidth="1"/>
  </cols>
  <sheetData>
    <row r="1" spans="1:5" ht="15.75" customHeight="1" x14ac:dyDescent="0.15">
      <c r="A1" s="13" t="s">
        <v>11</v>
      </c>
      <c r="B1" s="13" t="s">
        <v>10</v>
      </c>
      <c r="C1" s="13" t="s">
        <v>102</v>
      </c>
      <c r="D1" s="13"/>
      <c r="E1" s="13"/>
    </row>
    <row r="2" spans="1:5" ht="13" x14ac:dyDescent="0.15">
      <c r="A2" t="s">
        <v>0</v>
      </c>
      <c r="B2">
        <f>40000</f>
        <v>40000</v>
      </c>
    </row>
    <row r="3" spans="1:5" ht="13" x14ac:dyDescent="0.15">
      <c r="A3" t="s">
        <v>1</v>
      </c>
      <c r="B3">
        <v>3200</v>
      </c>
    </row>
    <row r="4" spans="1:5" ht="13" x14ac:dyDescent="0.15">
      <c r="A4" t="s">
        <v>2</v>
      </c>
      <c r="B4">
        <v>660</v>
      </c>
    </row>
    <row r="5" spans="1:5" ht="13" x14ac:dyDescent="0.15">
      <c r="A5" t="s">
        <v>3</v>
      </c>
      <c r="B5">
        <f t="shared" ref="B5:B6" si="0">B3/B2</f>
        <v>0.08</v>
      </c>
    </row>
    <row r="6" spans="1:5" ht="13" x14ac:dyDescent="0.15">
      <c r="A6" t="s">
        <v>7</v>
      </c>
      <c r="B6">
        <f t="shared" si="0"/>
        <v>0.20624999999999999</v>
      </c>
      <c r="C6">
        <f>SQRT(Calculations!$B6*(1-Calculations!$B6)/B3)</f>
        <v>7.1525986864041241E-3</v>
      </c>
    </row>
    <row r="7" spans="1:5" ht="13" x14ac:dyDescent="0.15">
      <c r="A7" t="s">
        <v>8</v>
      </c>
      <c r="B7">
        <v>0.53</v>
      </c>
      <c r="C7">
        <f>SQRT(Calculations!$B7*(1-Calculations!$B7)/B4)</f>
        <v>1.9427409565462978E-2</v>
      </c>
    </row>
    <row r="8" spans="1:5" ht="13" x14ac:dyDescent="0.15">
      <c r="A8" t="s">
        <v>9</v>
      </c>
      <c r="B8">
        <f>B6*B7</f>
        <v>0.10931249999999999</v>
      </c>
      <c r="C8">
        <f>SQRT(Calculations!$B8*(1-Calculations!$B8)/B3)</f>
        <v>5.5159789856309158E-3</v>
      </c>
    </row>
    <row r="10" spans="1:5" ht="15.75" customHeight="1" x14ac:dyDescent="0.15">
      <c r="A10" s="13" t="s">
        <v>97</v>
      </c>
      <c r="B10" s="13" t="s">
        <v>4</v>
      </c>
      <c r="C10" s="13"/>
      <c r="D10" s="13"/>
      <c r="E10" s="13"/>
    </row>
    <row r="11" spans="1:5" ht="15.75" customHeight="1" x14ac:dyDescent="0.15">
      <c r="A11" t="s">
        <v>62</v>
      </c>
      <c r="B11" t="s">
        <v>65</v>
      </c>
    </row>
    <row r="12" spans="1:5" ht="15.75" customHeight="1" x14ac:dyDescent="0.15">
      <c r="A12" t="s">
        <v>63</v>
      </c>
      <c r="B12" t="s">
        <v>66</v>
      </c>
    </row>
    <row r="13" spans="1:5" ht="15.75" customHeight="1" x14ac:dyDescent="0.15">
      <c r="A13" t="s">
        <v>64</v>
      </c>
      <c r="B13" s="4" t="s">
        <v>67</v>
      </c>
    </row>
    <row r="15" spans="1:5" ht="13" x14ac:dyDescent="0.15">
      <c r="A15" s="13" t="s">
        <v>98</v>
      </c>
      <c r="B15" s="13" t="s">
        <v>4</v>
      </c>
      <c r="C15" s="13"/>
      <c r="D15" s="13"/>
      <c r="E15" s="13"/>
    </row>
    <row r="16" spans="1:5" ht="13" x14ac:dyDescent="0.15">
      <c r="A16" t="s">
        <v>81</v>
      </c>
      <c r="B16" t="s">
        <v>15</v>
      </c>
    </row>
    <row r="17" spans="1:5" ht="15.75" customHeight="1" x14ac:dyDescent="0.15">
      <c r="A17" t="s">
        <v>99</v>
      </c>
      <c r="B17" t="s">
        <v>6</v>
      </c>
    </row>
    <row r="18" spans="1:5" ht="15.75" customHeight="1" x14ac:dyDescent="0.15">
      <c r="A18" t="s">
        <v>91</v>
      </c>
      <c r="B18" t="s">
        <v>5</v>
      </c>
    </row>
    <row r="20" spans="1:5" ht="15.75" customHeight="1" x14ac:dyDescent="0.15">
      <c r="A20" s="13" t="s">
        <v>100</v>
      </c>
      <c r="B20" s="13" t="s">
        <v>101</v>
      </c>
      <c r="C20" s="13" t="s">
        <v>12</v>
      </c>
      <c r="D20" s="13"/>
      <c r="E20" s="13"/>
    </row>
    <row r="21" spans="1:5" ht="15.75" customHeight="1" x14ac:dyDescent="0.15">
      <c r="A21" t="s">
        <v>81</v>
      </c>
      <c r="B21">
        <f>SQRT(1/B28)*(Calculations!$C6/SQRT(1/B3))</f>
        <v>2.0230604137049395E-2</v>
      </c>
      <c r="C21">
        <v>0.01</v>
      </c>
    </row>
    <row r="22" spans="1:5" ht="15.75" customHeight="1" x14ac:dyDescent="0.15">
      <c r="A22" t="s">
        <v>99</v>
      </c>
      <c r="B22">
        <f>SQRT(1/B29)*(Calculations!$C7/SQRT(1/B4))</f>
        <v>5.4949012178509081E-2</v>
      </c>
      <c r="C22">
        <v>0.01</v>
      </c>
    </row>
    <row r="23" spans="1:5" ht="15.75" customHeight="1" x14ac:dyDescent="0.15">
      <c r="A23" t="s">
        <v>91</v>
      </c>
      <c r="B23">
        <f>SQRT(1/B28)*(Calculations!$C8/SQRT(1/B3))</f>
        <v>1.5601544582488459E-2</v>
      </c>
      <c r="C23">
        <v>7.4999999999999997E-3</v>
      </c>
    </row>
    <row r="25" spans="1:5" ht="15.75" customHeight="1" x14ac:dyDescent="0.15">
      <c r="A25" s="13" t="s">
        <v>103</v>
      </c>
      <c r="B25" s="4" t="s">
        <v>110</v>
      </c>
    </row>
    <row r="26" spans="1:5" ht="15.75" customHeight="1" x14ac:dyDescent="0.15">
      <c r="A26" s="13" t="s">
        <v>13</v>
      </c>
      <c r="B26" s="13" t="s">
        <v>14</v>
      </c>
      <c r="C26" s="13" t="s">
        <v>112</v>
      </c>
      <c r="D26" s="13" t="s">
        <v>113</v>
      </c>
      <c r="E26" s="13" t="s">
        <v>114</v>
      </c>
    </row>
    <row r="27" spans="1:5" ht="15.75" customHeight="1" x14ac:dyDescent="0.15">
      <c r="A27" s="4" t="s">
        <v>16</v>
      </c>
      <c r="B27">
        <v>5000</v>
      </c>
      <c r="C27" s="2">
        <f>(B27/B29)*C29*2</f>
        <v>4741212.1212121211</v>
      </c>
      <c r="D27" s="14">
        <f>(B27/B28)*D28*2</f>
        <v>685325</v>
      </c>
      <c r="E27" s="2">
        <f>(B27/B28)*E28*2</f>
        <v>645875</v>
      </c>
    </row>
    <row r="28" spans="1:5" ht="15.75" customHeight="1" x14ac:dyDescent="0.15">
      <c r="A28" s="4" t="s">
        <v>17</v>
      </c>
      <c r="B28" s="2">
        <f>B27*(B3/B2)</f>
        <v>400</v>
      </c>
      <c r="C28" s="2"/>
      <c r="D28" s="2">
        <v>27413</v>
      </c>
      <c r="E28">
        <v>25835</v>
      </c>
    </row>
    <row r="29" spans="1:5" ht="15.75" customHeight="1" x14ac:dyDescent="0.15">
      <c r="A29" s="4" t="s">
        <v>18</v>
      </c>
      <c r="B29" s="2">
        <f>B27*B4/B2</f>
        <v>82.5</v>
      </c>
      <c r="C29" s="2">
        <v>39115</v>
      </c>
      <c r="D29" s="2"/>
    </row>
    <row r="31" spans="1:5" ht="15.75" customHeight="1" x14ac:dyDescent="0.15">
      <c r="A31" s="13" t="s">
        <v>104</v>
      </c>
    </row>
    <row r="32" spans="1:5" ht="15.75" customHeight="1" x14ac:dyDescent="0.15">
      <c r="A32" s="4" t="s">
        <v>19</v>
      </c>
      <c r="B32" s="6">
        <v>0.6</v>
      </c>
    </row>
    <row r="33" spans="1:5" ht="15.75" customHeight="1" x14ac:dyDescent="0.15">
      <c r="A33" s="4" t="s">
        <v>20</v>
      </c>
      <c r="B33" s="5">
        <f>D27/(B2*B32)</f>
        <v>28.555208333333333</v>
      </c>
    </row>
    <row r="35" spans="1:5" ht="15.75" customHeight="1" x14ac:dyDescent="0.15">
      <c r="A35" s="13" t="s">
        <v>80</v>
      </c>
      <c r="D35" s="13" t="s">
        <v>105</v>
      </c>
    </row>
    <row r="36" spans="1:5" ht="15.75" customHeight="1" x14ac:dyDescent="0.15">
      <c r="A36" s="7" t="s">
        <v>62</v>
      </c>
      <c r="B36" s="3"/>
      <c r="D36" s="7" t="s">
        <v>81</v>
      </c>
    </row>
    <row r="37" spans="1:5" ht="15.75" customHeight="1" x14ac:dyDescent="0.15">
      <c r="A37" t="s">
        <v>72</v>
      </c>
      <c r="B37">
        <v>37</v>
      </c>
      <c r="D37" s="4" t="s">
        <v>85</v>
      </c>
      <c r="E37" s="4">
        <f>Control!D39</f>
        <v>3785</v>
      </c>
    </row>
    <row r="38" spans="1:5" ht="15.75" customHeight="1" x14ac:dyDescent="0.15">
      <c r="A38" t="s">
        <v>76</v>
      </c>
      <c r="B38">
        <f>SUM(Control!B2:B38)</f>
        <v>345543</v>
      </c>
      <c r="D38" t="s">
        <v>86</v>
      </c>
      <c r="E38">
        <f>Experiment!D39</f>
        <v>3423</v>
      </c>
    </row>
    <row r="39" spans="1:5" ht="15.75" customHeight="1" x14ac:dyDescent="0.15">
      <c r="A39" t="s">
        <v>77</v>
      </c>
      <c r="B39">
        <f>SUM(Experiment!B2:B38)</f>
        <v>344660</v>
      </c>
      <c r="D39" t="s">
        <v>87</v>
      </c>
      <c r="E39">
        <f>Control!C40</f>
        <v>17293</v>
      </c>
    </row>
    <row r="40" spans="1:5" ht="15.75" customHeight="1" x14ac:dyDescent="0.15">
      <c r="A40" t="s">
        <v>71</v>
      </c>
      <c r="B40">
        <f>SQRT((0.5*0.5)/(B38+B39))</f>
        <v>6.0184074029432473E-4</v>
      </c>
      <c r="D40" t="s">
        <v>88</v>
      </c>
      <c r="E40">
        <f>Experiment!C40</f>
        <v>17260</v>
      </c>
    </row>
    <row r="41" spans="1:5" ht="15.75" customHeight="1" x14ac:dyDescent="0.15">
      <c r="A41" t="s">
        <v>73</v>
      </c>
      <c r="B41">
        <f>B40*1.96</f>
        <v>1.1796078509768765E-3</v>
      </c>
      <c r="D41" t="s">
        <v>74</v>
      </c>
      <c r="E41">
        <f>(E37+E38)/(E39+E40)</f>
        <v>0.20860706740369866</v>
      </c>
    </row>
    <row r="42" spans="1:5" ht="15.75" customHeight="1" x14ac:dyDescent="0.15">
      <c r="A42" t="s">
        <v>70</v>
      </c>
      <c r="B42">
        <f>0.5-B41</f>
        <v>0.49882039214902313</v>
      </c>
      <c r="D42" t="s">
        <v>89</v>
      </c>
      <c r="E42">
        <f>SQRT(E41*(1-E41)*(1/E39+1/E40))</f>
        <v>4.3716753852259364E-3</v>
      </c>
    </row>
    <row r="43" spans="1:5" ht="15.75" customHeight="1" x14ac:dyDescent="0.15">
      <c r="A43" t="s">
        <v>69</v>
      </c>
      <c r="B43">
        <f>0.5+B41</f>
        <v>0.50117960785097693</v>
      </c>
      <c r="D43" t="s">
        <v>12</v>
      </c>
      <c r="E43">
        <v>0.01</v>
      </c>
    </row>
    <row r="44" spans="1:5" ht="15.75" customHeight="1" x14ac:dyDescent="0.15">
      <c r="A44" t="s">
        <v>68</v>
      </c>
      <c r="B44">
        <f>B38/(B38+B39)</f>
        <v>0.50063966688061334</v>
      </c>
      <c r="D44" t="s">
        <v>75</v>
      </c>
      <c r="E44">
        <f>E38/E40-E37/E39</f>
        <v>-2.0554874580361565E-2</v>
      </c>
    </row>
    <row r="45" spans="1:5" ht="15.75" customHeight="1" x14ac:dyDescent="0.15">
      <c r="D45" t="s">
        <v>84</v>
      </c>
      <c r="E45">
        <v>1.96</v>
      </c>
    </row>
    <row r="46" spans="1:5" ht="15.75" customHeight="1" x14ac:dyDescent="0.15">
      <c r="A46" s="7" t="s">
        <v>63</v>
      </c>
      <c r="B46" s="3"/>
      <c r="D46" t="s">
        <v>90</v>
      </c>
      <c r="E46">
        <f>E45*E42</f>
        <v>8.5684837550428355E-3</v>
      </c>
    </row>
    <row r="47" spans="1:5" ht="15.75" customHeight="1" x14ac:dyDescent="0.15">
      <c r="A47" t="s">
        <v>72</v>
      </c>
      <c r="B47">
        <v>37</v>
      </c>
      <c r="D47" t="s">
        <v>82</v>
      </c>
      <c r="E47">
        <f>E44-E46</f>
        <v>-2.9123358335404401E-2</v>
      </c>
    </row>
    <row r="48" spans="1:5" ht="15.75" customHeight="1" x14ac:dyDescent="0.15">
      <c r="A48" t="s">
        <v>78</v>
      </c>
      <c r="B48">
        <f>SUM(Control!C2:C38)</f>
        <v>28378</v>
      </c>
      <c r="D48" t="s">
        <v>83</v>
      </c>
      <c r="E48">
        <f>E44+E46</f>
        <v>-1.198639082531873E-2</v>
      </c>
    </row>
    <row r="49" spans="1:5" ht="15.75" customHeight="1" x14ac:dyDescent="0.15">
      <c r="A49" t="s">
        <v>79</v>
      </c>
      <c r="B49">
        <f>SUM(Experiment!C2:C38)</f>
        <v>28325</v>
      </c>
    </row>
    <row r="50" spans="1:5" ht="15.75" customHeight="1" x14ac:dyDescent="0.15">
      <c r="A50" t="s">
        <v>71</v>
      </c>
      <c r="B50">
        <f>SQRT((0.5*0.5)/(B48+B49))</f>
        <v>2.0997470796992519E-3</v>
      </c>
      <c r="D50" s="7" t="s">
        <v>91</v>
      </c>
    </row>
    <row r="51" spans="1:5" ht="15.75" customHeight="1" x14ac:dyDescent="0.15">
      <c r="A51" t="s">
        <v>73</v>
      </c>
      <c r="B51">
        <f>B50*1.96</f>
        <v>4.1155042762105335E-3</v>
      </c>
      <c r="D51" s="4" t="s">
        <v>85</v>
      </c>
      <c r="E51">
        <f>Control!E39</f>
        <v>2033</v>
      </c>
    </row>
    <row r="52" spans="1:5" ht="15.75" customHeight="1" x14ac:dyDescent="0.15">
      <c r="A52" t="s">
        <v>70</v>
      </c>
      <c r="B52">
        <f>0.5-B51</f>
        <v>0.49588449572378945</v>
      </c>
      <c r="D52" t="s">
        <v>86</v>
      </c>
      <c r="E52">
        <f>Experiment!E39</f>
        <v>1945</v>
      </c>
    </row>
    <row r="53" spans="1:5" ht="15.75" customHeight="1" x14ac:dyDescent="0.15">
      <c r="A53" t="s">
        <v>69</v>
      </c>
      <c r="B53">
        <f>0.5+B51</f>
        <v>0.50411550427621055</v>
      </c>
      <c r="D53" t="s">
        <v>87</v>
      </c>
      <c r="E53">
        <f>Control!C40</f>
        <v>17293</v>
      </c>
    </row>
    <row r="54" spans="1:5" ht="15.75" customHeight="1" x14ac:dyDescent="0.15">
      <c r="A54" t="s">
        <v>68</v>
      </c>
      <c r="B54">
        <f>B48/(B48+B49)</f>
        <v>0.50046734740666277</v>
      </c>
      <c r="D54" t="s">
        <v>88</v>
      </c>
      <c r="E54">
        <f>Experiment!C40</f>
        <v>17260</v>
      </c>
    </row>
    <row r="55" spans="1:5" ht="15.75" customHeight="1" x14ac:dyDescent="0.15">
      <c r="D55" t="s">
        <v>74</v>
      </c>
      <c r="E55">
        <f>(E51+E52)/(E53+E54)</f>
        <v>0.11512748531241861</v>
      </c>
    </row>
    <row r="56" spans="1:5" ht="15.75" customHeight="1" x14ac:dyDescent="0.15">
      <c r="A56" s="7" t="s">
        <v>64</v>
      </c>
      <c r="B56" s="3"/>
      <c r="D56" t="s">
        <v>89</v>
      </c>
      <c r="E56">
        <f>SQRT(E55*(1-E55)*(1/E53+1/E54))</f>
        <v>3.4341335129324238E-3</v>
      </c>
    </row>
    <row r="57" spans="1:5" ht="15.75" customHeight="1" x14ac:dyDescent="0.15">
      <c r="A57" s="4" t="s">
        <v>85</v>
      </c>
      <c r="B57">
        <f>Control!C39</f>
        <v>28378</v>
      </c>
      <c r="D57" t="s">
        <v>12</v>
      </c>
      <c r="E57">
        <v>7.4999999999999997E-3</v>
      </c>
    </row>
    <row r="58" spans="1:5" ht="15.75" customHeight="1" x14ac:dyDescent="0.15">
      <c r="A58" s="4" t="s">
        <v>86</v>
      </c>
      <c r="B58">
        <f>Experiment!C39</f>
        <v>28325</v>
      </c>
      <c r="D58" t="s">
        <v>75</v>
      </c>
      <c r="E58">
        <f>E52/E54-E51/E53</f>
        <v>-4.8737226745441675E-3</v>
      </c>
    </row>
    <row r="59" spans="1:5" ht="15.75" customHeight="1" x14ac:dyDescent="0.15">
      <c r="A59" s="4" t="s">
        <v>87</v>
      </c>
      <c r="B59">
        <f>Control!B39</f>
        <v>345543</v>
      </c>
      <c r="D59" t="s">
        <v>84</v>
      </c>
      <c r="E59">
        <v>1.96</v>
      </c>
    </row>
    <row r="60" spans="1:5" ht="15.75" customHeight="1" x14ac:dyDescent="0.15">
      <c r="A60" s="4" t="s">
        <v>88</v>
      </c>
      <c r="B60">
        <f>Experiment!B39</f>
        <v>344660</v>
      </c>
      <c r="D60" t="s">
        <v>90</v>
      </c>
      <c r="E60">
        <f>E56*E59</f>
        <v>6.7309016853475505E-3</v>
      </c>
    </row>
    <row r="61" spans="1:5" ht="15.75" customHeight="1" x14ac:dyDescent="0.15">
      <c r="A61" s="4" t="s">
        <v>74</v>
      </c>
      <c r="B61">
        <f>(B57+B58)/(B59+B60)</f>
        <v>8.2154090897895257E-2</v>
      </c>
      <c r="D61" t="s">
        <v>82</v>
      </c>
      <c r="E61">
        <f>E58-E60</f>
        <v>-1.1604624359891718E-2</v>
      </c>
    </row>
    <row r="62" spans="1:5" ht="15.75" customHeight="1" x14ac:dyDescent="0.15">
      <c r="A62" s="4" t="s">
        <v>108</v>
      </c>
      <c r="B62">
        <f>B58/B60</f>
        <v>8.2182440666163759E-2</v>
      </c>
      <c r="D62" t="s">
        <v>83</v>
      </c>
      <c r="E62">
        <f>E58+E60</f>
        <v>1.857179010803383E-3</v>
      </c>
    </row>
    <row r="63" spans="1:5" ht="15.75" customHeight="1" x14ac:dyDescent="0.15">
      <c r="A63" s="4" t="s">
        <v>109</v>
      </c>
      <c r="B63">
        <f>B57/B59</f>
        <v>8.2125813574576823E-2</v>
      </c>
    </row>
    <row r="64" spans="1:5" ht="15.75" customHeight="1" x14ac:dyDescent="0.15">
      <c r="A64" s="4" t="s">
        <v>89</v>
      </c>
      <c r="B64">
        <f>SQRT(B61*(1-B61)*((1/B59)+(1/B60)))</f>
        <v>6.6106081563872224E-4</v>
      </c>
      <c r="D64" s="13" t="s">
        <v>92</v>
      </c>
      <c r="E64" s="4" t="s">
        <v>111</v>
      </c>
    </row>
    <row r="65" spans="1:5" ht="15.75" customHeight="1" x14ac:dyDescent="0.15">
      <c r="A65" s="4" t="s">
        <v>90</v>
      </c>
      <c r="B65">
        <f>1.96*B64</f>
        <v>1.2956791986518956E-3</v>
      </c>
      <c r="D65" s="7" t="s">
        <v>81</v>
      </c>
    </row>
    <row r="66" spans="1:5" ht="15.75" customHeight="1" x14ac:dyDescent="0.15">
      <c r="A66" s="4" t="s">
        <v>75</v>
      </c>
      <c r="B66">
        <f>B62-B63</f>
        <v>5.6627091586936018E-5</v>
      </c>
      <c r="D66" s="4" t="s">
        <v>96</v>
      </c>
      <c r="E66">
        <v>2.5999999999999999E-3</v>
      </c>
    </row>
    <row r="67" spans="1:5" ht="15.75" customHeight="1" x14ac:dyDescent="0.15">
      <c r="A67" s="4" t="s">
        <v>82</v>
      </c>
      <c r="B67">
        <f>-B65</f>
        <v>-1.2956791986518956E-3</v>
      </c>
    </row>
    <row r="68" spans="1:5" ht="15.75" customHeight="1" x14ac:dyDescent="0.15">
      <c r="A68" s="4" t="s">
        <v>83</v>
      </c>
      <c r="B68">
        <f>B65</f>
        <v>1.2956791986518956E-3</v>
      </c>
      <c r="D68" s="7" t="s">
        <v>91</v>
      </c>
    </row>
    <row r="69" spans="1:5" ht="15.75" customHeight="1" x14ac:dyDescent="0.15">
      <c r="D69" s="4" t="s">
        <v>96</v>
      </c>
      <c r="E69">
        <v>0.67759999999999998</v>
      </c>
    </row>
    <row r="71" spans="1:5" ht="15.75" customHeight="1" x14ac:dyDescent="0.15">
      <c r="A71" s="4"/>
    </row>
    <row r="72" spans="1:5" ht="15.75" customHeight="1" x14ac:dyDescent="0.15">
      <c r="A72" s="4"/>
    </row>
    <row r="73" spans="1:5" ht="15.75" customHeight="1" x14ac:dyDescent="0.15">
      <c r="A73" s="4"/>
    </row>
    <row r="74" spans="1:5" ht="15.75" customHeight="1" x14ac:dyDescent="0.15">
      <c r="A74" s="4"/>
    </row>
    <row r="76" spans="1:5" ht="15.75" customHeight="1" x14ac:dyDescent="0.15">
      <c r="B76" s="10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workbookViewId="0">
      <selection activeCell="B38" sqref="B38"/>
    </sheetView>
  </sheetViews>
  <sheetFormatPr baseColWidth="10" defaultRowHeight="13" x14ac:dyDescent="0.15"/>
  <cols>
    <col min="7" max="7" width="16" bestFit="1" customWidth="1"/>
    <col min="8" max="8" width="13.6640625" bestFit="1" customWidth="1"/>
  </cols>
  <sheetData>
    <row r="1" spans="1:8" s="7" customFormat="1" x14ac:dyDescent="0.15">
      <c r="A1" s="12" t="s">
        <v>21</v>
      </c>
      <c r="B1" s="12" t="s">
        <v>22</v>
      </c>
      <c r="C1" s="12" t="s">
        <v>23</v>
      </c>
      <c r="D1" s="12" t="s">
        <v>18</v>
      </c>
      <c r="E1" s="12" t="s">
        <v>24</v>
      </c>
      <c r="G1" s="12" t="s">
        <v>81</v>
      </c>
      <c r="H1" s="12" t="s">
        <v>91</v>
      </c>
    </row>
    <row r="2" spans="1:8" x14ac:dyDescent="0.15">
      <c r="A2" s="1" t="s">
        <v>25</v>
      </c>
      <c r="B2" s="8">
        <v>7716</v>
      </c>
      <c r="C2" s="8">
        <v>686</v>
      </c>
      <c r="D2" s="8">
        <v>105</v>
      </c>
      <c r="E2" s="8">
        <v>34</v>
      </c>
      <c r="G2">
        <f>D2/C2</f>
        <v>0.15306122448979592</v>
      </c>
      <c r="H2">
        <f>E2/C2</f>
        <v>4.9562682215743441E-2</v>
      </c>
    </row>
    <row r="3" spans="1:8" x14ac:dyDescent="0.15">
      <c r="A3" s="1" t="s">
        <v>26</v>
      </c>
      <c r="B3" s="8">
        <v>9288</v>
      </c>
      <c r="C3" s="8">
        <v>785</v>
      </c>
      <c r="D3" s="8">
        <v>116</v>
      </c>
      <c r="E3" s="8">
        <v>91</v>
      </c>
      <c r="G3">
        <f t="shared" ref="G3:G24" si="0">D3/C3</f>
        <v>0.14777070063694267</v>
      </c>
      <c r="H3">
        <f t="shared" ref="H3:H24" si="1">E3/C3</f>
        <v>0.11592356687898089</v>
      </c>
    </row>
    <row r="4" spans="1:8" x14ac:dyDescent="0.15">
      <c r="A4" s="1" t="s">
        <v>27</v>
      </c>
      <c r="B4" s="8">
        <v>10480</v>
      </c>
      <c r="C4" s="8">
        <v>884</v>
      </c>
      <c r="D4" s="8">
        <v>145</v>
      </c>
      <c r="E4" s="8">
        <v>79</v>
      </c>
      <c r="G4">
        <f t="shared" si="0"/>
        <v>0.16402714932126697</v>
      </c>
      <c r="H4">
        <f t="shared" si="1"/>
        <v>8.9366515837104074E-2</v>
      </c>
    </row>
    <row r="5" spans="1:8" x14ac:dyDescent="0.15">
      <c r="A5" s="1" t="s">
        <v>28</v>
      </c>
      <c r="B5" s="8">
        <v>9867</v>
      </c>
      <c r="C5" s="8">
        <v>827</v>
      </c>
      <c r="D5" s="8">
        <v>138</v>
      </c>
      <c r="E5" s="8">
        <v>92</v>
      </c>
      <c r="G5">
        <f t="shared" si="0"/>
        <v>0.16686819830713423</v>
      </c>
      <c r="H5">
        <f t="shared" si="1"/>
        <v>0.11124546553808948</v>
      </c>
    </row>
    <row r="6" spans="1:8" x14ac:dyDescent="0.15">
      <c r="A6" s="1" t="s">
        <v>29</v>
      </c>
      <c r="B6" s="8">
        <v>9793</v>
      </c>
      <c r="C6" s="8">
        <v>832</v>
      </c>
      <c r="D6" s="8">
        <v>140</v>
      </c>
      <c r="E6" s="8">
        <v>94</v>
      </c>
      <c r="G6">
        <f t="shared" si="0"/>
        <v>0.16826923076923078</v>
      </c>
      <c r="H6">
        <f t="shared" si="1"/>
        <v>0.11298076923076923</v>
      </c>
    </row>
    <row r="7" spans="1:8" x14ac:dyDescent="0.15">
      <c r="A7" s="1" t="s">
        <v>30</v>
      </c>
      <c r="B7" s="8">
        <v>9500</v>
      </c>
      <c r="C7" s="8">
        <v>788</v>
      </c>
      <c r="D7" s="8">
        <v>129</v>
      </c>
      <c r="E7" s="8">
        <v>61</v>
      </c>
      <c r="G7">
        <f t="shared" si="0"/>
        <v>0.16370558375634517</v>
      </c>
      <c r="H7">
        <f t="shared" si="1"/>
        <v>7.7411167512690351E-2</v>
      </c>
    </row>
    <row r="8" spans="1:8" x14ac:dyDescent="0.15">
      <c r="A8" s="1" t="s">
        <v>31</v>
      </c>
      <c r="B8" s="8">
        <v>9088</v>
      </c>
      <c r="C8" s="8">
        <v>780</v>
      </c>
      <c r="D8" s="8">
        <v>127</v>
      </c>
      <c r="E8" s="8">
        <v>44</v>
      </c>
      <c r="G8">
        <f t="shared" si="0"/>
        <v>0.16282051282051282</v>
      </c>
      <c r="H8">
        <f t="shared" si="1"/>
        <v>5.6410256410256411E-2</v>
      </c>
    </row>
    <row r="9" spans="1:8" x14ac:dyDescent="0.15">
      <c r="A9" s="1" t="s">
        <v>32</v>
      </c>
      <c r="B9" s="8">
        <v>7664</v>
      </c>
      <c r="C9" s="8">
        <v>652</v>
      </c>
      <c r="D9" s="8">
        <v>94</v>
      </c>
      <c r="E9" s="8">
        <v>62</v>
      </c>
      <c r="G9">
        <f t="shared" si="0"/>
        <v>0.14417177914110429</v>
      </c>
      <c r="H9">
        <f t="shared" si="1"/>
        <v>9.5092024539877307E-2</v>
      </c>
    </row>
    <row r="10" spans="1:8" x14ac:dyDescent="0.15">
      <c r="A10" s="1" t="s">
        <v>33</v>
      </c>
      <c r="B10" s="8">
        <v>8434</v>
      </c>
      <c r="C10" s="8">
        <v>697</v>
      </c>
      <c r="D10" s="8">
        <v>120</v>
      </c>
      <c r="E10" s="8">
        <v>77</v>
      </c>
      <c r="G10">
        <f t="shared" si="0"/>
        <v>0.17216642754662842</v>
      </c>
      <c r="H10">
        <f t="shared" si="1"/>
        <v>0.11047345767575323</v>
      </c>
    </row>
    <row r="11" spans="1:8" x14ac:dyDescent="0.15">
      <c r="A11" s="1" t="s">
        <v>34</v>
      </c>
      <c r="B11" s="8">
        <v>10496</v>
      </c>
      <c r="C11" s="8">
        <v>860</v>
      </c>
      <c r="D11" s="8">
        <v>153</v>
      </c>
      <c r="E11" s="8">
        <v>98</v>
      </c>
      <c r="G11">
        <f t="shared" si="0"/>
        <v>0.17790697674418604</v>
      </c>
      <c r="H11">
        <f t="shared" si="1"/>
        <v>0.11395348837209303</v>
      </c>
    </row>
    <row r="12" spans="1:8" x14ac:dyDescent="0.15">
      <c r="A12" s="1" t="s">
        <v>35</v>
      </c>
      <c r="B12" s="8">
        <v>10551</v>
      </c>
      <c r="C12" s="8">
        <v>864</v>
      </c>
      <c r="D12" s="8">
        <v>143</v>
      </c>
      <c r="E12" s="8">
        <v>71</v>
      </c>
      <c r="G12">
        <f t="shared" si="0"/>
        <v>0.16550925925925927</v>
      </c>
      <c r="H12">
        <f t="shared" si="1"/>
        <v>8.217592592592593E-2</v>
      </c>
    </row>
    <row r="13" spans="1:8" x14ac:dyDescent="0.15">
      <c r="A13" s="1" t="s">
        <v>36</v>
      </c>
      <c r="B13" s="8">
        <v>9737</v>
      </c>
      <c r="C13" s="8">
        <v>801</v>
      </c>
      <c r="D13" s="8">
        <v>128</v>
      </c>
      <c r="E13" s="8">
        <v>70</v>
      </c>
      <c r="G13">
        <f t="shared" si="0"/>
        <v>0.15980024968789014</v>
      </c>
      <c r="H13">
        <f t="shared" si="1"/>
        <v>8.7390761548064924E-2</v>
      </c>
    </row>
    <row r="14" spans="1:8" x14ac:dyDescent="0.15">
      <c r="A14" s="1" t="s">
        <v>37</v>
      </c>
      <c r="B14" s="8">
        <v>8176</v>
      </c>
      <c r="C14" s="8">
        <v>642</v>
      </c>
      <c r="D14" s="8">
        <v>122</v>
      </c>
      <c r="E14" s="8">
        <v>68</v>
      </c>
      <c r="G14">
        <f t="shared" si="0"/>
        <v>0.19003115264797507</v>
      </c>
      <c r="H14">
        <f t="shared" si="1"/>
        <v>0.1059190031152648</v>
      </c>
    </row>
    <row r="15" spans="1:8" x14ac:dyDescent="0.15">
      <c r="A15" s="1" t="s">
        <v>38</v>
      </c>
      <c r="B15" s="8">
        <v>9402</v>
      </c>
      <c r="C15" s="8">
        <v>697</v>
      </c>
      <c r="D15" s="8">
        <v>194</v>
      </c>
      <c r="E15" s="8">
        <v>94</v>
      </c>
      <c r="G15">
        <f t="shared" si="0"/>
        <v>0.27833572453371591</v>
      </c>
      <c r="H15">
        <f t="shared" si="1"/>
        <v>0.13486370157819225</v>
      </c>
    </row>
    <row r="16" spans="1:8" x14ac:dyDescent="0.15">
      <c r="A16" s="1" t="s">
        <v>39</v>
      </c>
      <c r="B16" s="8">
        <v>8669</v>
      </c>
      <c r="C16" s="8">
        <v>669</v>
      </c>
      <c r="D16" s="8">
        <v>127</v>
      </c>
      <c r="E16" s="8">
        <v>81</v>
      </c>
      <c r="G16">
        <f t="shared" si="0"/>
        <v>0.18983557548579971</v>
      </c>
      <c r="H16">
        <f t="shared" si="1"/>
        <v>0.1210762331838565</v>
      </c>
    </row>
    <row r="17" spans="1:8" x14ac:dyDescent="0.15">
      <c r="A17" s="1" t="s">
        <v>40</v>
      </c>
      <c r="B17" s="8">
        <v>8881</v>
      </c>
      <c r="C17" s="8">
        <v>693</v>
      </c>
      <c r="D17" s="8">
        <v>153</v>
      </c>
      <c r="E17" s="8">
        <v>101</v>
      </c>
      <c r="G17">
        <f t="shared" si="0"/>
        <v>0.22077922077922077</v>
      </c>
      <c r="H17">
        <f t="shared" si="1"/>
        <v>0.14574314574314573</v>
      </c>
    </row>
    <row r="18" spans="1:8" x14ac:dyDescent="0.15">
      <c r="A18" s="1" t="s">
        <v>41</v>
      </c>
      <c r="B18" s="8">
        <v>9655</v>
      </c>
      <c r="C18" s="8">
        <v>771</v>
      </c>
      <c r="D18" s="8">
        <v>213</v>
      </c>
      <c r="E18" s="8">
        <v>119</v>
      </c>
      <c r="G18">
        <f t="shared" si="0"/>
        <v>0.27626459143968873</v>
      </c>
      <c r="H18">
        <f t="shared" si="1"/>
        <v>0.15434500648508431</v>
      </c>
    </row>
    <row r="19" spans="1:8" x14ac:dyDescent="0.15">
      <c r="A19" s="1" t="s">
        <v>42</v>
      </c>
      <c r="B19" s="8">
        <v>9396</v>
      </c>
      <c r="C19" s="8">
        <v>736</v>
      </c>
      <c r="D19" s="8">
        <v>162</v>
      </c>
      <c r="E19" s="8">
        <v>120</v>
      </c>
      <c r="G19">
        <f t="shared" si="0"/>
        <v>0.22010869565217392</v>
      </c>
      <c r="H19">
        <f t="shared" si="1"/>
        <v>0.16304347826086957</v>
      </c>
    </row>
    <row r="20" spans="1:8" x14ac:dyDescent="0.15">
      <c r="A20" s="1" t="s">
        <v>43</v>
      </c>
      <c r="B20" s="8">
        <v>9262</v>
      </c>
      <c r="C20" s="8">
        <v>727</v>
      </c>
      <c r="D20" s="8">
        <v>201</v>
      </c>
      <c r="E20" s="8">
        <v>96</v>
      </c>
      <c r="G20">
        <f t="shared" si="0"/>
        <v>0.27647867950481431</v>
      </c>
      <c r="H20">
        <f t="shared" si="1"/>
        <v>0.13204951856946354</v>
      </c>
    </row>
    <row r="21" spans="1:8" x14ac:dyDescent="0.15">
      <c r="A21" s="1" t="s">
        <v>44</v>
      </c>
      <c r="B21" s="8">
        <v>9308</v>
      </c>
      <c r="C21" s="8">
        <v>728</v>
      </c>
      <c r="D21" s="8">
        <v>207</v>
      </c>
      <c r="E21" s="8">
        <v>67</v>
      </c>
      <c r="G21">
        <f t="shared" si="0"/>
        <v>0.28434065934065933</v>
      </c>
      <c r="H21">
        <f t="shared" si="1"/>
        <v>9.2032967032967039E-2</v>
      </c>
    </row>
    <row r="22" spans="1:8" x14ac:dyDescent="0.15">
      <c r="A22" s="1" t="s">
        <v>45</v>
      </c>
      <c r="B22" s="8">
        <v>8715</v>
      </c>
      <c r="C22" s="8">
        <v>722</v>
      </c>
      <c r="D22" s="8">
        <v>182</v>
      </c>
      <c r="E22" s="8">
        <v>123</v>
      </c>
      <c r="G22">
        <f t="shared" si="0"/>
        <v>0.25207756232686979</v>
      </c>
      <c r="H22">
        <f t="shared" si="1"/>
        <v>0.17036011080332411</v>
      </c>
    </row>
    <row r="23" spans="1:8" x14ac:dyDescent="0.15">
      <c r="A23" s="1" t="s">
        <v>46</v>
      </c>
      <c r="B23" s="8">
        <v>8448</v>
      </c>
      <c r="C23" s="8">
        <v>695</v>
      </c>
      <c r="D23" s="8">
        <v>142</v>
      </c>
      <c r="E23" s="8">
        <v>100</v>
      </c>
      <c r="G23">
        <f t="shared" si="0"/>
        <v>0.20431654676258992</v>
      </c>
      <c r="H23">
        <f t="shared" si="1"/>
        <v>0.14388489208633093</v>
      </c>
    </row>
    <row r="24" spans="1:8" x14ac:dyDescent="0.15">
      <c r="A24" s="1" t="s">
        <v>47</v>
      </c>
      <c r="B24" s="8">
        <v>8836</v>
      </c>
      <c r="C24" s="8">
        <v>724</v>
      </c>
      <c r="D24" s="8">
        <v>182</v>
      </c>
      <c r="E24" s="8">
        <v>103</v>
      </c>
      <c r="G24">
        <f t="shared" si="0"/>
        <v>0.25138121546961328</v>
      </c>
      <c r="H24">
        <f t="shared" si="1"/>
        <v>0.14226519337016574</v>
      </c>
    </row>
    <row r="25" spans="1:8" x14ac:dyDescent="0.15">
      <c r="A25" s="1" t="s">
        <v>48</v>
      </c>
      <c r="B25" s="8">
        <v>9359</v>
      </c>
      <c r="C25" s="8">
        <v>789</v>
      </c>
      <c r="D25" s="9"/>
      <c r="E25" s="9"/>
    </row>
    <row r="26" spans="1:8" x14ac:dyDescent="0.15">
      <c r="A26" s="1" t="s">
        <v>49</v>
      </c>
      <c r="B26" s="8">
        <v>9427</v>
      </c>
      <c r="C26" s="8">
        <v>743</v>
      </c>
      <c r="D26" s="9"/>
      <c r="E26" s="9"/>
    </row>
    <row r="27" spans="1:8" x14ac:dyDescent="0.15">
      <c r="A27" s="1" t="s">
        <v>50</v>
      </c>
      <c r="B27" s="8">
        <v>9633</v>
      </c>
      <c r="C27" s="8">
        <v>808</v>
      </c>
      <c r="D27" s="9"/>
      <c r="E27" s="9"/>
    </row>
    <row r="28" spans="1:8" x14ac:dyDescent="0.15">
      <c r="A28" s="1" t="s">
        <v>51</v>
      </c>
      <c r="B28" s="8">
        <v>9842</v>
      </c>
      <c r="C28" s="8">
        <v>831</v>
      </c>
      <c r="D28" s="9"/>
      <c r="E28" s="9"/>
    </row>
    <row r="29" spans="1:8" x14ac:dyDescent="0.15">
      <c r="A29" s="1" t="s">
        <v>52</v>
      </c>
      <c r="B29" s="8">
        <v>9272</v>
      </c>
      <c r="C29" s="8">
        <v>767</v>
      </c>
      <c r="D29" s="9"/>
      <c r="E29" s="9"/>
    </row>
    <row r="30" spans="1:8" x14ac:dyDescent="0.15">
      <c r="A30" s="1" t="s">
        <v>53</v>
      </c>
      <c r="B30" s="8">
        <v>8969</v>
      </c>
      <c r="C30" s="8">
        <v>760</v>
      </c>
      <c r="D30" s="9"/>
      <c r="E30" s="9"/>
    </row>
    <row r="31" spans="1:8" x14ac:dyDescent="0.15">
      <c r="A31" s="1" t="s">
        <v>54</v>
      </c>
      <c r="B31" s="8">
        <v>9697</v>
      </c>
      <c r="C31" s="8">
        <v>850</v>
      </c>
      <c r="D31" s="9"/>
      <c r="E31" s="9"/>
    </row>
    <row r="32" spans="1:8" x14ac:dyDescent="0.15">
      <c r="A32" s="1" t="s">
        <v>55</v>
      </c>
      <c r="B32" s="8">
        <v>10445</v>
      </c>
      <c r="C32" s="8">
        <v>851</v>
      </c>
      <c r="D32" s="9"/>
      <c r="E32" s="9"/>
    </row>
    <row r="33" spans="1:5" x14ac:dyDescent="0.15">
      <c r="A33" s="1" t="s">
        <v>56</v>
      </c>
      <c r="B33" s="8">
        <v>9931</v>
      </c>
      <c r="C33" s="8">
        <v>831</v>
      </c>
      <c r="D33" s="9"/>
      <c r="E33" s="9"/>
    </row>
    <row r="34" spans="1:5" x14ac:dyDescent="0.15">
      <c r="A34" s="1" t="s">
        <v>57</v>
      </c>
      <c r="B34" s="8">
        <v>10042</v>
      </c>
      <c r="C34" s="8">
        <v>802</v>
      </c>
      <c r="D34" s="9"/>
      <c r="E34" s="9"/>
    </row>
    <row r="35" spans="1:5" x14ac:dyDescent="0.15">
      <c r="A35" s="1" t="s">
        <v>58</v>
      </c>
      <c r="B35" s="8">
        <v>9721</v>
      </c>
      <c r="C35" s="8">
        <v>829</v>
      </c>
      <c r="D35" s="9"/>
      <c r="E35" s="9"/>
    </row>
    <row r="36" spans="1:5" x14ac:dyDescent="0.15">
      <c r="A36" s="1" t="s">
        <v>59</v>
      </c>
      <c r="B36" s="8">
        <v>9304</v>
      </c>
      <c r="C36" s="8">
        <v>770</v>
      </c>
      <c r="D36" s="9"/>
      <c r="E36" s="9"/>
    </row>
    <row r="37" spans="1:5" x14ac:dyDescent="0.15">
      <c r="A37" s="1" t="s">
        <v>60</v>
      </c>
      <c r="B37" s="8">
        <v>8668</v>
      </c>
      <c r="C37" s="8">
        <v>724</v>
      </c>
      <c r="D37" s="9"/>
      <c r="E37" s="9"/>
    </row>
    <row r="38" spans="1:5" x14ac:dyDescent="0.15">
      <c r="A38" s="1" t="s">
        <v>61</v>
      </c>
      <c r="B38" s="8">
        <v>8988</v>
      </c>
      <c r="C38" s="8">
        <v>710</v>
      </c>
      <c r="D38" s="9"/>
      <c r="E38" s="9"/>
    </row>
    <row r="39" spans="1:5" x14ac:dyDescent="0.15">
      <c r="A39" s="11" t="s">
        <v>106</v>
      </c>
      <c r="B39">
        <f>SUM(B2:B38)</f>
        <v>344660</v>
      </c>
      <c r="C39">
        <f>SUM(C2:C38)</f>
        <v>28325</v>
      </c>
      <c r="D39">
        <f t="shared" ref="D39:E39" si="2">SUM(D2:D38)</f>
        <v>3423</v>
      </c>
      <c r="E39">
        <f t="shared" si="2"/>
        <v>1945</v>
      </c>
    </row>
    <row r="40" spans="1:5" x14ac:dyDescent="0.15">
      <c r="A40" s="11" t="s">
        <v>107</v>
      </c>
      <c r="B40">
        <f>SUM(B2:B24)</f>
        <v>211362</v>
      </c>
      <c r="C40">
        <f t="shared" ref="C40:D40" si="3">SUM(C2:C24)</f>
        <v>17260</v>
      </c>
      <c r="D40">
        <f t="shared" si="3"/>
        <v>3423</v>
      </c>
      <c r="E40">
        <f>SUM(E2:E24)</f>
        <v>1945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0"/>
  <sheetViews>
    <sheetView zoomScale="110" zoomScaleNormal="110" workbookViewId="0">
      <selection activeCell="J42" sqref="J42"/>
    </sheetView>
  </sheetViews>
  <sheetFormatPr baseColWidth="10" defaultRowHeight="13" x14ac:dyDescent="0.15"/>
  <cols>
    <col min="7" max="7" width="15.5" customWidth="1"/>
    <col min="8" max="8" width="13.6640625" bestFit="1" customWidth="1"/>
    <col min="9" max="9" width="3.5" customWidth="1"/>
    <col min="13" max="13" width="24" customWidth="1"/>
    <col min="14" max="14" width="34" customWidth="1"/>
    <col min="15" max="15" width="13.5" bestFit="1" customWidth="1"/>
    <col min="16" max="16" width="5.5" bestFit="1" customWidth="1"/>
    <col min="17" max="17" width="16.6640625" customWidth="1"/>
  </cols>
  <sheetData>
    <row r="1" spans="1:19" s="7" customFormat="1" x14ac:dyDescent="0.15">
      <c r="A1" s="7" t="s">
        <v>21</v>
      </c>
      <c r="B1" s="7" t="s">
        <v>22</v>
      </c>
      <c r="C1" s="7" t="s">
        <v>23</v>
      </c>
      <c r="D1" s="7" t="s">
        <v>18</v>
      </c>
      <c r="E1" s="7" t="s">
        <v>24</v>
      </c>
      <c r="G1" s="7" t="s">
        <v>81</v>
      </c>
      <c r="H1" s="7" t="s">
        <v>91</v>
      </c>
      <c r="J1" s="7" t="s">
        <v>93</v>
      </c>
      <c r="K1" s="7" t="s">
        <v>94</v>
      </c>
    </row>
    <row r="2" spans="1:19" x14ac:dyDescent="0.15">
      <c r="A2" t="s">
        <v>25</v>
      </c>
      <c r="B2">
        <v>7723</v>
      </c>
      <c r="C2">
        <v>687</v>
      </c>
      <c r="D2">
        <v>134</v>
      </c>
      <c r="E2">
        <v>70</v>
      </c>
      <c r="G2">
        <f>D2/C2</f>
        <v>0.1950509461426492</v>
      </c>
      <c r="H2">
        <f>E2/C2</f>
        <v>0.10189228529839883</v>
      </c>
      <c r="J2" t="b">
        <f>G2&gt;Experiment!G2</f>
        <v>1</v>
      </c>
      <c r="K2" t="b">
        <f>H2&gt;Experiment!H2</f>
        <v>1</v>
      </c>
    </row>
    <row r="3" spans="1:19" x14ac:dyDescent="0.15">
      <c r="A3" t="s">
        <v>26</v>
      </c>
      <c r="B3">
        <v>9102</v>
      </c>
      <c r="C3">
        <v>779</v>
      </c>
      <c r="D3">
        <v>147</v>
      </c>
      <c r="E3">
        <v>70</v>
      </c>
      <c r="G3">
        <f t="shared" ref="G3:G24" si="0">D3/C3</f>
        <v>0.18870346598202825</v>
      </c>
      <c r="H3">
        <f t="shared" ref="H3:H24" si="1">E3/C3</f>
        <v>8.9858793324775352E-2</v>
      </c>
      <c r="J3" t="b">
        <f>G3&gt;Experiment!G3</f>
        <v>1</v>
      </c>
      <c r="K3" t="b">
        <f>H3&gt;Experiment!H3</f>
        <v>0</v>
      </c>
      <c r="O3" s="4"/>
      <c r="P3" s="4"/>
      <c r="S3" s="4"/>
    </row>
    <row r="4" spans="1:19" x14ac:dyDescent="0.15">
      <c r="A4" t="s">
        <v>27</v>
      </c>
      <c r="B4">
        <v>10511</v>
      </c>
      <c r="C4">
        <v>909</v>
      </c>
      <c r="D4">
        <v>167</v>
      </c>
      <c r="E4">
        <v>95</v>
      </c>
      <c r="G4">
        <f t="shared" si="0"/>
        <v>0.18371837183718373</v>
      </c>
      <c r="H4">
        <f t="shared" si="1"/>
        <v>0.10451045104510451</v>
      </c>
      <c r="J4" t="b">
        <f>G4&gt;Experiment!G4</f>
        <v>1</v>
      </c>
      <c r="K4" t="b">
        <f>H4&gt;Experiment!H4</f>
        <v>1</v>
      </c>
    </row>
    <row r="5" spans="1:19" x14ac:dyDescent="0.15">
      <c r="A5" t="s">
        <v>28</v>
      </c>
      <c r="B5">
        <v>9871</v>
      </c>
      <c r="C5">
        <v>836</v>
      </c>
      <c r="D5">
        <v>156</v>
      </c>
      <c r="E5">
        <v>105</v>
      </c>
      <c r="G5">
        <f t="shared" si="0"/>
        <v>0.18660287081339713</v>
      </c>
      <c r="H5">
        <f t="shared" si="1"/>
        <v>0.1255980861244019</v>
      </c>
      <c r="J5" t="b">
        <f>G5&gt;Experiment!G5</f>
        <v>1</v>
      </c>
      <c r="K5" t="b">
        <f>H5&gt;Experiment!H5</f>
        <v>1</v>
      </c>
    </row>
    <row r="6" spans="1:19" x14ac:dyDescent="0.15">
      <c r="A6" t="s">
        <v>29</v>
      </c>
      <c r="B6">
        <v>10014</v>
      </c>
      <c r="C6">
        <v>837</v>
      </c>
      <c r="D6">
        <v>163</v>
      </c>
      <c r="E6">
        <v>64</v>
      </c>
      <c r="G6">
        <f t="shared" si="0"/>
        <v>0.19474313022700118</v>
      </c>
      <c r="H6">
        <f t="shared" si="1"/>
        <v>7.6463560334528072E-2</v>
      </c>
      <c r="J6" t="b">
        <f>G6&gt;Experiment!G6</f>
        <v>1</v>
      </c>
      <c r="K6" t="b">
        <f>H6&gt;Experiment!H6</f>
        <v>0</v>
      </c>
    </row>
    <row r="7" spans="1:19" x14ac:dyDescent="0.15">
      <c r="A7" t="s">
        <v>30</v>
      </c>
      <c r="B7">
        <v>9670</v>
      </c>
      <c r="C7">
        <v>823</v>
      </c>
      <c r="D7">
        <v>138</v>
      </c>
      <c r="E7">
        <v>82</v>
      </c>
      <c r="G7">
        <f t="shared" si="0"/>
        <v>0.16767922235722965</v>
      </c>
      <c r="H7">
        <f t="shared" si="1"/>
        <v>9.9635479951397321E-2</v>
      </c>
      <c r="J7" t="b">
        <f>G7&gt;Experiment!G7</f>
        <v>1</v>
      </c>
      <c r="K7" t="b">
        <f>H7&gt;Experiment!H7</f>
        <v>1</v>
      </c>
    </row>
    <row r="8" spans="1:19" x14ac:dyDescent="0.15">
      <c r="A8" t="s">
        <v>31</v>
      </c>
      <c r="B8">
        <v>9008</v>
      </c>
      <c r="C8">
        <v>748</v>
      </c>
      <c r="D8">
        <v>146</v>
      </c>
      <c r="E8">
        <v>76</v>
      </c>
      <c r="G8">
        <f t="shared" si="0"/>
        <v>0.19518716577540107</v>
      </c>
      <c r="H8">
        <f t="shared" si="1"/>
        <v>0.10160427807486631</v>
      </c>
      <c r="J8" t="b">
        <f>G8&gt;Experiment!G8</f>
        <v>1</v>
      </c>
      <c r="K8" t="b">
        <f>H8&gt;Experiment!H8</f>
        <v>1</v>
      </c>
    </row>
    <row r="9" spans="1:19" x14ac:dyDescent="0.15">
      <c r="A9" t="s">
        <v>32</v>
      </c>
      <c r="B9">
        <v>7434</v>
      </c>
      <c r="C9">
        <v>632</v>
      </c>
      <c r="D9">
        <v>110</v>
      </c>
      <c r="E9">
        <v>70</v>
      </c>
      <c r="G9">
        <f t="shared" si="0"/>
        <v>0.17405063291139242</v>
      </c>
      <c r="H9">
        <f t="shared" si="1"/>
        <v>0.11075949367088607</v>
      </c>
      <c r="J9" t="b">
        <f>G9&gt;Experiment!G9</f>
        <v>1</v>
      </c>
      <c r="K9" t="b">
        <f>H9&gt;Experiment!H9</f>
        <v>1</v>
      </c>
    </row>
    <row r="10" spans="1:19" x14ac:dyDescent="0.15">
      <c r="A10" t="s">
        <v>33</v>
      </c>
      <c r="B10">
        <v>8459</v>
      </c>
      <c r="C10">
        <v>691</v>
      </c>
      <c r="D10">
        <v>131</v>
      </c>
      <c r="E10">
        <v>60</v>
      </c>
      <c r="G10">
        <f t="shared" si="0"/>
        <v>0.18958031837916064</v>
      </c>
      <c r="H10">
        <f t="shared" si="1"/>
        <v>8.6830680173661356E-2</v>
      </c>
      <c r="J10" t="b">
        <f>G10&gt;Experiment!G10</f>
        <v>1</v>
      </c>
      <c r="K10" t="b">
        <f>H10&gt;Experiment!H10</f>
        <v>0</v>
      </c>
    </row>
    <row r="11" spans="1:19" x14ac:dyDescent="0.15">
      <c r="A11" t="s">
        <v>34</v>
      </c>
      <c r="B11">
        <v>10667</v>
      </c>
      <c r="C11">
        <v>861</v>
      </c>
      <c r="D11">
        <v>165</v>
      </c>
      <c r="E11">
        <v>97</v>
      </c>
      <c r="G11">
        <f t="shared" si="0"/>
        <v>0.19163763066202091</v>
      </c>
      <c r="H11">
        <f t="shared" si="1"/>
        <v>0.11265969802555169</v>
      </c>
      <c r="J11" t="b">
        <f>G11&gt;Experiment!G11</f>
        <v>1</v>
      </c>
      <c r="K11" t="b">
        <f>H11&gt;Experiment!H11</f>
        <v>0</v>
      </c>
    </row>
    <row r="12" spans="1:19" x14ac:dyDescent="0.15">
      <c r="A12" t="s">
        <v>35</v>
      </c>
      <c r="B12">
        <v>10660</v>
      </c>
      <c r="C12">
        <v>867</v>
      </c>
      <c r="D12">
        <v>196</v>
      </c>
      <c r="E12">
        <v>105</v>
      </c>
      <c r="G12">
        <f t="shared" si="0"/>
        <v>0.22606689734717417</v>
      </c>
      <c r="H12">
        <f t="shared" si="1"/>
        <v>0.12110726643598616</v>
      </c>
      <c r="J12" t="b">
        <f>G12&gt;Experiment!G12</f>
        <v>1</v>
      </c>
      <c r="K12" t="b">
        <f>H12&gt;Experiment!H12</f>
        <v>1</v>
      </c>
    </row>
    <row r="13" spans="1:19" x14ac:dyDescent="0.15">
      <c r="A13" t="s">
        <v>36</v>
      </c>
      <c r="B13">
        <v>9947</v>
      </c>
      <c r="C13">
        <v>838</v>
      </c>
      <c r="D13">
        <v>162</v>
      </c>
      <c r="E13">
        <v>92</v>
      </c>
      <c r="G13">
        <f t="shared" si="0"/>
        <v>0.19331742243436753</v>
      </c>
      <c r="H13">
        <f t="shared" si="1"/>
        <v>0.10978520286396182</v>
      </c>
      <c r="J13" t="b">
        <f>G13&gt;Experiment!G13</f>
        <v>1</v>
      </c>
      <c r="K13" t="b">
        <f>H13&gt;Experiment!H13</f>
        <v>1</v>
      </c>
    </row>
    <row r="14" spans="1:19" x14ac:dyDescent="0.15">
      <c r="A14" t="s">
        <v>37</v>
      </c>
      <c r="B14">
        <v>8324</v>
      </c>
      <c r="C14">
        <v>665</v>
      </c>
      <c r="D14">
        <v>127</v>
      </c>
      <c r="E14">
        <v>56</v>
      </c>
      <c r="G14">
        <f t="shared" si="0"/>
        <v>0.19097744360902255</v>
      </c>
      <c r="H14">
        <f t="shared" si="1"/>
        <v>8.4210526315789472E-2</v>
      </c>
      <c r="J14" t="b">
        <f>G14&gt;Experiment!G14</f>
        <v>1</v>
      </c>
      <c r="K14" t="b">
        <f>H14&gt;Experiment!H14</f>
        <v>0</v>
      </c>
    </row>
    <row r="15" spans="1:19" x14ac:dyDescent="0.15">
      <c r="A15" t="s">
        <v>38</v>
      </c>
      <c r="B15">
        <v>9434</v>
      </c>
      <c r="C15">
        <v>673</v>
      </c>
      <c r="D15">
        <v>220</v>
      </c>
      <c r="E15">
        <v>122</v>
      </c>
      <c r="G15">
        <f t="shared" si="0"/>
        <v>0.32689450222882616</v>
      </c>
      <c r="H15">
        <f t="shared" si="1"/>
        <v>0.1812778603268945</v>
      </c>
      <c r="J15" t="b">
        <f>G15&gt;Experiment!G15</f>
        <v>1</v>
      </c>
      <c r="K15" t="b">
        <f>H15&gt;Experiment!H15</f>
        <v>1</v>
      </c>
    </row>
    <row r="16" spans="1:19" x14ac:dyDescent="0.15">
      <c r="A16" t="s">
        <v>39</v>
      </c>
      <c r="B16">
        <v>8687</v>
      </c>
      <c r="C16">
        <v>691</v>
      </c>
      <c r="D16">
        <v>176</v>
      </c>
      <c r="E16">
        <v>128</v>
      </c>
      <c r="G16">
        <f t="shared" si="0"/>
        <v>0.25470332850940663</v>
      </c>
      <c r="H16">
        <f t="shared" si="1"/>
        <v>0.18523878437047755</v>
      </c>
      <c r="J16" t="b">
        <f>G16&gt;Experiment!G16</f>
        <v>1</v>
      </c>
      <c r="K16" t="b">
        <f>H16&gt;Experiment!H16</f>
        <v>1</v>
      </c>
    </row>
    <row r="17" spans="1:11" x14ac:dyDescent="0.15">
      <c r="A17" t="s">
        <v>40</v>
      </c>
      <c r="B17">
        <v>8896</v>
      </c>
      <c r="C17">
        <v>708</v>
      </c>
      <c r="D17">
        <v>161</v>
      </c>
      <c r="E17">
        <v>104</v>
      </c>
      <c r="G17">
        <f t="shared" si="0"/>
        <v>0.22740112994350281</v>
      </c>
      <c r="H17">
        <f t="shared" si="1"/>
        <v>0.14689265536723164</v>
      </c>
      <c r="J17" t="b">
        <f>G17&gt;Experiment!G17</f>
        <v>1</v>
      </c>
      <c r="K17" t="b">
        <f>H17&gt;Experiment!H17</f>
        <v>1</v>
      </c>
    </row>
    <row r="18" spans="1:11" x14ac:dyDescent="0.15">
      <c r="A18" t="s">
        <v>41</v>
      </c>
      <c r="B18">
        <v>9535</v>
      </c>
      <c r="C18">
        <v>759</v>
      </c>
      <c r="D18">
        <v>233</v>
      </c>
      <c r="E18">
        <v>124</v>
      </c>
      <c r="G18">
        <f t="shared" si="0"/>
        <v>0.30698287220026349</v>
      </c>
      <c r="H18">
        <f t="shared" si="1"/>
        <v>0.16337285902503293</v>
      </c>
      <c r="J18" t="b">
        <f>G18&gt;Experiment!G18</f>
        <v>1</v>
      </c>
      <c r="K18" t="b">
        <f>H18&gt;Experiment!H18</f>
        <v>1</v>
      </c>
    </row>
    <row r="19" spans="1:11" x14ac:dyDescent="0.15">
      <c r="A19" t="s">
        <v>42</v>
      </c>
      <c r="B19">
        <v>9363</v>
      </c>
      <c r="C19">
        <v>736</v>
      </c>
      <c r="D19">
        <v>154</v>
      </c>
      <c r="E19">
        <v>91</v>
      </c>
      <c r="G19">
        <f t="shared" si="0"/>
        <v>0.20923913043478262</v>
      </c>
      <c r="H19">
        <f t="shared" si="1"/>
        <v>0.12364130434782608</v>
      </c>
      <c r="J19" t="b">
        <f>G19&gt;Experiment!G19</f>
        <v>0</v>
      </c>
      <c r="K19" t="b">
        <f>H19&gt;Experiment!H19</f>
        <v>0</v>
      </c>
    </row>
    <row r="20" spans="1:11" x14ac:dyDescent="0.15">
      <c r="A20" t="s">
        <v>43</v>
      </c>
      <c r="B20">
        <v>9327</v>
      </c>
      <c r="C20">
        <v>739</v>
      </c>
      <c r="D20">
        <v>196</v>
      </c>
      <c r="E20">
        <v>86</v>
      </c>
      <c r="G20">
        <f t="shared" si="0"/>
        <v>0.26522327469553453</v>
      </c>
      <c r="H20">
        <f t="shared" si="1"/>
        <v>0.11637347767253045</v>
      </c>
      <c r="J20" t="b">
        <f>G20&gt;Experiment!G20</f>
        <v>0</v>
      </c>
      <c r="K20" t="b">
        <f>H20&gt;Experiment!H20</f>
        <v>0</v>
      </c>
    </row>
    <row r="21" spans="1:11" x14ac:dyDescent="0.15">
      <c r="A21" t="s">
        <v>44</v>
      </c>
      <c r="B21">
        <v>9345</v>
      </c>
      <c r="C21">
        <v>734</v>
      </c>
      <c r="D21">
        <v>167</v>
      </c>
      <c r="E21">
        <v>75</v>
      </c>
      <c r="G21">
        <f t="shared" si="0"/>
        <v>0.22752043596730245</v>
      </c>
      <c r="H21">
        <f t="shared" si="1"/>
        <v>0.10217983651226158</v>
      </c>
      <c r="J21" t="b">
        <f>G21&gt;Experiment!G21</f>
        <v>0</v>
      </c>
      <c r="K21" t="b">
        <f>H21&gt;Experiment!H21</f>
        <v>1</v>
      </c>
    </row>
    <row r="22" spans="1:11" x14ac:dyDescent="0.15">
      <c r="A22" t="s">
        <v>45</v>
      </c>
      <c r="B22">
        <v>8890</v>
      </c>
      <c r="C22">
        <v>706</v>
      </c>
      <c r="D22">
        <v>174</v>
      </c>
      <c r="E22">
        <v>101</v>
      </c>
      <c r="G22">
        <f t="shared" si="0"/>
        <v>0.24645892351274787</v>
      </c>
      <c r="H22">
        <f t="shared" si="1"/>
        <v>0.14305949008498584</v>
      </c>
      <c r="J22" t="b">
        <f>G22&gt;Experiment!G22</f>
        <v>0</v>
      </c>
      <c r="K22" t="b">
        <f>H22&gt;Experiment!H22</f>
        <v>0</v>
      </c>
    </row>
    <row r="23" spans="1:11" x14ac:dyDescent="0.15">
      <c r="A23" t="s">
        <v>46</v>
      </c>
      <c r="B23">
        <v>8460</v>
      </c>
      <c r="C23">
        <v>681</v>
      </c>
      <c r="D23">
        <v>156</v>
      </c>
      <c r="E23">
        <v>93</v>
      </c>
      <c r="G23">
        <f t="shared" si="0"/>
        <v>0.22907488986784141</v>
      </c>
      <c r="H23">
        <f t="shared" si="1"/>
        <v>0.13656387665198239</v>
      </c>
      <c r="J23" t="b">
        <f>G23&gt;Experiment!G23</f>
        <v>1</v>
      </c>
      <c r="K23" t="b">
        <f>H23&gt;Experiment!H23</f>
        <v>0</v>
      </c>
    </row>
    <row r="24" spans="1:11" x14ac:dyDescent="0.15">
      <c r="A24" t="s">
        <v>47</v>
      </c>
      <c r="B24">
        <v>8836</v>
      </c>
      <c r="C24">
        <v>693</v>
      </c>
      <c r="D24">
        <v>206</v>
      </c>
      <c r="E24">
        <v>67</v>
      </c>
      <c r="G24">
        <f t="shared" si="0"/>
        <v>0.29725829725829728</v>
      </c>
      <c r="H24">
        <f t="shared" si="1"/>
        <v>9.6681096681096687E-2</v>
      </c>
      <c r="J24" t="b">
        <f>G24&gt;Experiment!G24</f>
        <v>1</v>
      </c>
      <c r="K24" t="b">
        <f>H24&gt;Experiment!H24</f>
        <v>0</v>
      </c>
    </row>
    <row r="25" spans="1:11" x14ac:dyDescent="0.15">
      <c r="A25" t="s">
        <v>48</v>
      </c>
      <c r="B25">
        <v>9437</v>
      </c>
      <c r="C25">
        <v>788</v>
      </c>
      <c r="J25">
        <f>COUNTIF(J2:J24,TRUE)</f>
        <v>19</v>
      </c>
      <c r="K25">
        <f>COUNTIF(K2:K24,TRUE)</f>
        <v>13</v>
      </c>
    </row>
    <row r="26" spans="1:11" x14ac:dyDescent="0.15">
      <c r="A26" t="s">
        <v>49</v>
      </c>
      <c r="B26">
        <v>9420</v>
      </c>
      <c r="C26">
        <v>781</v>
      </c>
      <c r="H26" s="4" t="s">
        <v>95</v>
      </c>
      <c r="J26">
        <v>23</v>
      </c>
      <c r="K26">
        <v>23</v>
      </c>
    </row>
    <row r="27" spans="1:11" x14ac:dyDescent="0.15">
      <c r="A27" t="s">
        <v>50</v>
      </c>
      <c r="B27">
        <v>9570</v>
      </c>
      <c r="C27">
        <v>805</v>
      </c>
    </row>
    <row r="28" spans="1:11" x14ac:dyDescent="0.15">
      <c r="A28" t="s">
        <v>51</v>
      </c>
      <c r="B28">
        <v>9921</v>
      </c>
      <c r="C28">
        <v>830</v>
      </c>
    </row>
    <row r="29" spans="1:11" x14ac:dyDescent="0.15">
      <c r="A29" t="s">
        <v>52</v>
      </c>
      <c r="B29">
        <v>9424</v>
      </c>
      <c r="C29">
        <v>781</v>
      </c>
    </row>
    <row r="30" spans="1:11" x14ac:dyDescent="0.15">
      <c r="A30" t="s">
        <v>53</v>
      </c>
      <c r="B30">
        <v>9010</v>
      </c>
      <c r="C30">
        <v>756</v>
      </c>
    </row>
    <row r="31" spans="1:11" x14ac:dyDescent="0.15">
      <c r="A31" t="s">
        <v>54</v>
      </c>
      <c r="B31">
        <v>9656</v>
      </c>
      <c r="C31">
        <v>825</v>
      </c>
    </row>
    <row r="32" spans="1:11" x14ac:dyDescent="0.15">
      <c r="A32" t="s">
        <v>55</v>
      </c>
      <c r="B32">
        <v>10419</v>
      </c>
      <c r="C32">
        <v>874</v>
      </c>
    </row>
    <row r="33" spans="1:5" x14ac:dyDescent="0.15">
      <c r="A33" t="s">
        <v>56</v>
      </c>
      <c r="B33">
        <v>9880</v>
      </c>
      <c r="C33">
        <v>830</v>
      </c>
    </row>
    <row r="34" spans="1:5" x14ac:dyDescent="0.15">
      <c r="A34" t="s">
        <v>57</v>
      </c>
      <c r="B34">
        <v>10134</v>
      </c>
      <c r="C34">
        <v>801</v>
      </c>
    </row>
    <row r="35" spans="1:5" x14ac:dyDescent="0.15">
      <c r="A35" t="s">
        <v>58</v>
      </c>
      <c r="B35">
        <v>9717</v>
      </c>
      <c r="C35">
        <v>814</v>
      </c>
    </row>
    <row r="36" spans="1:5" x14ac:dyDescent="0.15">
      <c r="A36" t="s">
        <v>59</v>
      </c>
      <c r="B36">
        <v>9192</v>
      </c>
      <c r="C36">
        <v>735</v>
      </c>
    </row>
    <row r="37" spans="1:5" x14ac:dyDescent="0.15">
      <c r="A37" t="s">
        <v>60</v>
      </c>
      <c r="B37">
        <v>8630</v>
      </c>
      <c r="C37">
        <v>743</v>
      </c>
    </row>
    <row r="38" spans="1:5" x14ac:dyDescent="0.15">
      <c r="A38" t="s">
        <v>61</v>
      </c>
      <c r="B38">
        <v>8970</v>
      </c>
      <c r="C38">
        <v>722</v>
      </c>
    </row>
    <row r="39" spans="1:5" x14ac:dyDescent="0.15">
      <c r="A39" s="4" t="s">
        <v>106</v>
      </c>
      <c r="B39">
        <f>SUM(B2:B38)</f>
        <v>345543</v>
      </c>
      <c r="C39">
        <f>SUM(C2:C38)</f>
        <v>28378</v>
      </c>
      <c r="D39">
        <f>SUM(D2:D38)</f>
        <v>3785</v>
      </c>
      <c r="E39">
        <f>SUM(E2:E38)</f>
        <v>2033</v>
      </c>
    </row>
    <row r="40" spans="1:5" x14ac:dyDescent="0.15">
      <c r="A40" s="4" t="s">
        <v>107</v>
      </c>
      <c r="B40">
        <f>SUM(B2:B24)</f>
        <v>212163</v>
      </c>
      <c r="C40">
        <f>SUM(C2:C24)</f>
        <v>17293</v>
      </c>
      <c r="D40">
        <f t="shared" ref="D40:E40" si="2">SUM(D2:D24)</f>
        <v>3785</v>
      </c>
      <c r="E40">
        <f t="shared" si="2"/>
        <v>2033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Calculations</vt:lpstr>
      <vt:lpstr>Experiment</vt:lpstr>
      <vt:lpstr>Control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2018-11-15T11:17:54Z</dcterms:modified>
</cp:coreProperties>
</file>